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javendano\Documents\aaaCONCURSO NUEVAS INTERVENTORIAS FIN\PACIFICO FERREO\EVALUACION FERREO PACIFICO\INFORME DEFINITIVO\DOCUMENTOS DEFINITIVOS\"/>
    </mc:Choice>
  </mc:AlternateContent>
  <bookViews>
    <workbookView xWindow="0" yWindow="0" windowWidth="13155" windowHeight="7560" tabRatio="699"/>
  </bookViews>
  <sheets>
    <sheet name="CONSOLIDADO" sheetId="27" r:id="rId1"/>
    <sheet name="PARAMETROS" sheetId="26" r:id="rId2"/>
    <sheet name="EXP GENERAL " sheetId="11" r:id="rId3"/>
    <sheet name="EXP ESPECIFICA " sheetId="13" r:id="rId4"/>
    <sheet name="DESEMPATE" sheetId="6" r:id="rId5"/>
    <sheet name="SH TRM" sheetId="28" r:id="rId6"/>
    <sheet name="PROM TRM MES" sheetId="29" r:id="rId7"/>
    <sheet name="019 - Gen." sheetId="18" state="hidden" r:id="rId8"/>
    <sheet name="019 - Espc." sheetId="19" state="hidden" r:id="rId9"/>
    <sheet name="Concur - Exp. General" sheetId="16" state="hidden" r:id="rId10"/>
    <sheet name="Concur - Exp. Especifica" sheetId="1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8" hidden="1">'019 - Espc.'!$A$1:$AA$210</definedName>
    <definedName name="_xlnm._FilterDatabase" localSheetId="7" hidden="1">'019 - Gen.'!$A$1:$AL$281</definedName>
    <definedName name="_xlnm._FilterDatabase" localSheetId="10" hidden="1">'Concur - Exp. Especifica'!$B$1:$Z$17</definedName>
    <definedName name="_xlnm._FilterDatabase" localSheetId="9" hidden="1">'Concur - Exp. General'!$B$1:$AK$445</definedName>
    <definedName name="_xlnm._FilterDatabase" localSheetId="3" hidden="1">'EXP ESPECIFICA '!$A$1:$AC$17</definedName>
    <definedName name="_xlnm._FilterDatabase" localSheetId="2" hidden="1">'EXP GENERAL '!$A$1:$AM$23</definedName>
  </definedNames>
  <calcPr calcId="152511"/>
</workbook>
</file>

<file path=xl/calcChain.xml><?xml version="1.0" encoding="utf-8"?>
<calcChain xmlns="http://schemas.openxmlformats.org/spreadsheetml/2006/main">
  <c r="H40" i="27" l="1"/>
  <c r="H39" i="27"/>
  <c r="H38" i="27"/>
  <c r="H36" i="27"/>
  <c r="H34" i="27"/>
  <c r="H33" i="27"/>
  <c r="H31" i="27"/>
  <c r="H29" i="27"/>
  <c r="H27" i="27"/>
  <c r="H20" i="27"/>
  <c r="H21" i="27"/>
  <c r="H22" i="27"/>
  <c r="H23" i="27"/>
  <c r="H24" i="27"/>
  <c r="H25" i="27"/>
  <c r="H26" i="27"/>
  <c r="H9" i="27"/>
  <c r="H10" i="27"/>
  <c r="H11" i="27"/>
  <c r="H12" i="27"/>
  <c r="H13" i="27"/>
  <c r="H8" i="27"/>
  <c r="H6" i="27"/>
  <c r="H5" i="27"/>
  <c r="I46" i="6"/>
  <c r="I45" i="6"/>
  <c r="K44" i="6"/>
  <c r="F14" i="27"/>
  <c r="H14" i="27" s="1"/>
  <c r="F17" i="27"/>
  <c r="H17" i="27" s="1"/>
  <c r="F18" i="27"/>
  <c r="H18" i="27" s="1"/>
  <c r="L33" i="27"/>
  <c r="F30" i="27"/>
  <c r="H30" i="27" s="1"/>
  <c r="E5" i="26"/>
  <c r="O5" i="26" s="1"/>
  <c r="J36" i="6" s="1"/>
  <c r="K36" i="6" s="1"/>
  <c r="F19" i="27"/>
  <c r="H19" i="27" s="1"/>
  <c r="L16" i="27"/>
  <c r="F16" i="27"/>
  <c r="H16" i="27" s="1"/>
  <c r="F15" i="27"/>
  <c r="H15" i="27" s="1"/>
  <c r="L32" i="27"/>
  <c r="L29" i="27"/>
  <c r="H62" i="6"/>
  <c r="H61" i="6"/>
  <c r="G62" i="6"/>
  <c r="I62" i="6" s="1"/>
  <c r="G61" i="6"/>
  <c r="I61" i="6"/>
  <c r="H55" i="6"/>
  <c r="I55" i="6" s="1"/>
  <c r="J55" i="6" s="1"/>
  <c r="H54" i="6"/>
  <c r="G54" i="6"/>
  <c r="I54" i="6"/>
  <c r="H53" i="6"/>
  <c r="I53" i="6" s="1"/>
  <c r="G53" i="6"/>
  <c r="G49" i="6"/>
  <c r="I49" i="6" s="1"/>
  <c r="H49" i="6"/>
  <c r="G55" i="6"/>
  <c r="O165" i="11"/>
  <c r="Y57" i="11"/>
  <c r="X57" i="11"/>
  <c r="Y51" i="11"/>
  <c r="X51" i="11"/>
  <c r="Y45" i="11"/>
  <c r="X45" i="11"/>
  <c r="Y39" i="11"/>
  <c r="X39" i="11"/>
  <c r="Y33" i="11"/>
  <c r="X33" i="11"/>
  <c r="H32" i="27"/>
  <c r="Z12" i="11"/>
  <c r="Z30" i="11"/>
  <c r="Z8" i="11"/>
  <c r="Z7" i="11"/>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K71" i="6"/>
  <c r="I71" i="6"/>
  <c r="I70" i="6"/>
  <c r="K69" i="6"/>
  <c r="I69" i="6"/>
  <c r="K68" i="6"/>
  <c r="I68" i="6"/>
  <c r="I67" i="6"/>
  <c r="K66" i="6"/>
  <c r="I66" i="6"/>
  <c r="K65" i="6"/>
  <c r="I65" i="6"/>
  <c r="I64" i="6"/>
  <c r="I63" i="6"/>
  <c r="K62" i="6"/>
  <c r="I59" i="6"/>
  <c r="K58" i="6"/>
  <c r="I58" i="6"/>
  <c r="H57" i="6"/>
  <c r="G57" i="6"/>
  <c r="H56" i="6"/>
  <c r="G56" i="6"/>
  <c r="H52" i="6"/>
  <c r="G52" i="6"/>
  <c r="H51" i="6"/>
  <c r="G51" i="6"/>
  <c r="H50" i="6"/>
  <c r="G50" i="6"/>
  <c r="H48" i="6"/>
  <c r="G48" i="6"/>
  <c r="H47" i="6"/>
  <c r="G47" i="6"/>
  <c r="D106" i="13"/>
  <c r="D105" i="13"/>
  <c r="D104" i="13"/>
  <c r="D103" i="13"/>
  <c r="D102" i="13"/>
  <c r="D101" i="13"/>
  <c r="D100" i="13"/>
  <c r="D99" i="13"/>
  <c r="D98" i="13"/>
  <c r="D97" i="13"/>
  <c r="D96" i="13"/>
  <c r="D95" i="13"/>
  <c r="D94" i="13"/>
  <c r="D93" i="13"/>
  <c r="D92" i="13"/>
  <c r="D91" i="13"/>
  <c r="D90" i="13"/>
  <c r="D89" i="13"/>
  <c r="D88" i="13"/>
  <c r="D87" i="13"/>
  <c r="D86" i="13"/>
  <c r="D85" i="13"/>
  <c r="D84" i="13"/>
  <c r="D83" i="13"/>
  <c r="AA106" i="13"/>
  <c r="AA102" i="13"/>
  <c r="AA99" i="13"/>
  <c r="AA98" i="13"/>
  <c r="AA97" i="13"/>
  <c r="AA96" i="13"/>
  <c r="AA95" i="13"/>
  <c r="AA94" i="13"/>
  <c r="AA93" i="13"/>
  <c r="AA89" i="13"/>
  <c r="AA87" i="13"/>
  <c r="AA86" i="13"/>
  <c r="AA84" i="13"/>
  <c r="AA83" i="13"/>
  <c r="H33" i="6"/>
  <c r="H32" i="6"/>
  <c r="H31" i="6"/>
  <c r="H28" i="6"/>
  <c r="H26" i="6"/>
  <c r="D61" i="13"/>
  <c r="D60" i="13"/>
  <c r="D59" i="13"/>
  <c r="D58" i="13"/>
  <c r="D57" i="13"/>
  <c r="D56" i="13"/>
  <c r="D55" i="13"/>
  <c r="D54" i="13"/>
  <c r="D53" i="13"/>
  <c r="D52" i="13"/>
  <c r="D51" i="13"/>
  <c r="D50" i="13"/>
  <c r="D49" i="13"/>
  <c r="D48" i="13"/>
  <c r="D47" i="13"/>
  <c r="D46" i="13"/>
  <c r="D45" i="13"/>
  <c r="D44" i="13"/>
  <c r="D43" i="13"/>
  <c r="G33" i="6"/>
  <c r="G32" i="6"/>
  <c r="G31" i="6"/>
  <c r="G28" i="6"/>
  <c r="G26" i="6"/>
  <c r="G25" i="6"/>
  <c r="D156" i="11"/>
  <c r="D155" i="11"/>
  <c r="D154" i="11"/>
  <c r="D153" i="11"/>
  <c r="D150" i="11"/>
  <c r="D149" i="11"/>
  <c r="D148" i="11"/>
  <c r="D147" i="11"/>
  <c r="D144" i="11"/>
  <c r="D143" i="11"/>
  <c r="D142" i="11"/>
  <c r="D141" i="11"/>
  <c r="D138" i="11"/>
  <c r="D137" i="11"/>
  <c r="D136" i="11"/>
  <c r="D135" i="11"/>
  <c r="D132" i="11"/>
  <c r="D131" i="11"/>
  <c r="D130" i="11"/>
  <c r="D129" i="11"/>
  <c r="D124" i="11"/>
  <c r="D125" i="11"/>
  <c r="D126" i="11"/>
  <c r="D123" i="11"/>
  <c r="U158" i="11"/>
  <c r="N158" i="11"/>
  <c r="O158" i="11" s="1"/>
  <c r="D158" i="11"/>
  <c r="D157" i="11"/>
  <c r="Z156" i="11"/>
  <c r="D152" i="11"/>
  <c r="D151" i="11"/>
  <c r="Z148" i="11"/>
  <c r="Z146" i="11"/>
  <c r="D146" i="11"/>
  <c r="D145" i="11"/>
  <c r="Z143" i="11"/>
  <c r="Z142" i="11"/>
  <c r="Z140" i="11"/>
  <c r="D140" i="11"/>
  <c r="Z139" i="11"/>
  <c r="D139" i="11"/>
  <c r="Z134" i="11"/>
  <c r="D134" i="11"/>
  <c r="D133" i="11"/>
  <c r="Z128" i="11"/>
  <c r="D128" i="11"/>
  <c r="D127" i="11"/>
  <c r="U92" i="11"/>
  <c r="N92" i="11"/>
  <c r="O92" i="11"/>
  <c r="V92" i="11" s="1"/>
  <c r="W92" i="11" s="1"/>
  <c r="Z92" i="11" s="1"/>
  <c r="D92" i="11"/>
  <c r="U91" i="11"/>
  <c r="N91" i="11"/>
  <c r="O91" i="11"/>
  <c r="V91" i="11" s="1"/>
  <c r="W91" i="11" s="1"/>
  <c r="Z91" i="11" s="1"/>
  <c r="D91" i="11"/>
  <c r="D90" i="11"/>
  <c r="D89" i="11"/>
  <c r="D88" i="11"/>
  <c r="D87" i="11"/>
  <c r="Z86" i="11"/>
  <c r="D86" i="11"/>
  <c r="Z85" i="11"/>
  <c r="D85" i="11"/>
  <c r="D84" i="11"/>
  <c r="D83" i="11"/>
  <c r="D82" i="11"/>
  <c r="D81" i="11"/>
  <c r="D80" i="11"/>
  <c r="Z79" i="11"/>
  <c r="D79" i="11"/>
  <c r="D78" i="11"/>
  <c r="D77" i="11"/>
  <c r="D76" i="11"/>
  <c r="D75" i="11"/>
  <c r="Z74" i="11"/>
  <c r="D74" i="11"/>
  <c r="D73" i="11"/>
  <c r="D72" i="11"/>
  <c r="D71" i="11"/>
  <c r="D70" i="11"/>
  <c r="D69" i="11"/>
  <c r="U68" i="11"/>
  <c r="N68" i="11"/>
  <c r="O68" i="11" s="1"/>
  <c r="D68" i="11"/>
  <c r="U67" i="11"/>
  <c r="N67" i="11"/>
  <c r="O67" i="11" s="1"/>
  <c r="V67" i="11" s="1"/>
  <c r="W67" i="11" s="1"/>
  <c r="Z67" i="11" s="1"/>
  <c r="D67" i="11"/>
  <c r="D66" i="11"/>
  <c r="D65" i="11"/>
  <c r="D64" i="11"/>
  <c r="D63" i="11"/>
  <c r="AA88" i="13"/>
  <c r="G24" i="6"/>
  <c r="AA92" i="13"/>
  <c r="Z127" i="11"/>
  <c r="Z144" i="11"/>
  <c r="Z149" i="11"/>
  <c r="Z155" i="11"/>
  <c r="AA100" i="13"/>
  <c r="H29" i="6"/>
  <c r="AA103" i="13"/>
  <c r="H30" i="6"/>
  <c r="G27" i="6"/>
  <c r="Z151" i="11"/>
  <c r="Z145" i="11"/>
  <c r="G29" i="6"/>
  <c r="H24" i="6"/>
  <c r="AA90" i="13"/>
  <c r="AA101" i="13"/>
  <c r="H25" i="6"/>
  <c r="AA105" i="13"/>
  <c r="H27" i="6"/>
  <c r="AA85" i="13"/>
  <c r="AA91" i="13"/>
  <c r="AA104" i="13"/>
  <c r="Z133" i="11"/>
  <c r="Z154" i="11"/>
  <c r="Z152" i="11"/>
  <c r="Z150" i="11"/>
  <c r="Z157" i="11"/>
  <c r="Z141" i="11"/>
  <c r="Z73" i="11"/>
  <c r="Z80" i="11"/>
  <c r="G34" i="6"/>
  <c r="G30" i="6"/>
  <c r="Z147" i="11"/>
  <c r="Z153" i="11"/>
  <c r="L14" i="27"/>
  <c r="X231" i="11"/>
  <c r="Y231" i="11"/>
  <c r="X237" i="11"/>
  <c r="Y237" i="11"/>
  <c r="X243" i="11"/>
  <c r="Y243" i="11"/>
  <c r="X249" i="11"/>
  <c r="Y249" i="11"/>
  <c r="X255" i="11"/>
  <c r="Y255" i="11"/>
  <c r="X261" i="11"/>
  <c r="Y261" i="11"/>
  <c r="X267" i="11"/>
  <c r="Y267" i="11"/>
  <c r="X273" i="11"/>
  <c r="Y273" i="11"/>
  <c r="X279" i="11"/>
  <c r="Y279" i="11"/>
  <c r="X285" i="11"/>
  <c r="Y285" i="11"/>
  <c r="X291" i="11"/>
  <c r="Y291" i="11"/>
  <c r="X297" i="11"/>
  <c r="Y297" i="11"/>
  <c r="X303" i="11"/>
  <c r="Y303" i="11"/>
  <c r="X309" i="11"/>
  <c r="Y309" i="11"/>
  <c r="X315" i="11"/>
  <c r="Y315" i="11"/>
  <c r="X321" i="11"/>
  <c r="Y321" i="11"/>
  <c r="X327" i="11"/>
  <c r="Y327" i="11"/>
  <c r="G5" i="26"/>
  <c r="X93" i="11" s="1"/>
  <c r="K5" i="26"/>
  <c r="Z17" i="11" s="1"/>
  <c r="L40" i="27"/>
  <c r="L39" i="27"/>
  <c r="L38" i="27"/>
  <c r="L36" i="27"/>
  <c r="L34" i="27"/>
  <c r="L27" i="27"/>
  <c r="L26" i="27"/>
  <c r="L25" i="27"/>
  <c r="L24" i="27"/>
  <c r="L23" i="27"/>
  <c r="L22" i="27"/>
  <c r="L21" i="27"/>
  <c r="L20" i="27"/>
  <c r="L19" i="27"/>
  <c r="L18" i="27"/>
  <c r="L17" i="27"/>
  <c r="L15" i="27"/>
  <c r="L13" i="27"/>
  <c r="L12" i="27"/>
  <c r="L11" i="27"/>
  <c r="L10" i="27"/>
  <c r="L9" i="27"/>
  <c r="L8" i="27"/>
  <c r="L6" i="27"/>
  <c r="L5" i="27"/>
  <c r="K5" i="6"/>
  <c r="I48" i="6"/>
  <c r="I51" i="6"/>
  <c r="K81" i="6"/>
  <c r="K74" i="6"/>
  <c r="I57" i="6"/>
  <c r="I56" i="6"/>
  <c r="I52" i="6"/>
  <c r="K49" i="6"/>
  <c r="I47" i="6"/>
  <c r="K45" i="6"/>
  <c r="K41" i="6"/>
  <c r="K39" i="6"/>
  <c r="K37" i="6"/>
  <c r="K30" i="6"/>
  <c r="K27" i="6"/>
  <c r="K24" i="6"/>
  <c r="K12" i="6"/>
  <c r="K6" i="6"/>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6" i="27"/>
  <c r="B5" i="27"/>
  <c r="B4" i="27"/>
  <c r="I50" i="6"/>
  <c r="V366" i="17"/>
  <c r="W366" i="17" s="1"/>
  <c r="X366" i="17" s="1"/>
  <c r="Y366" i="17" s="1"/>
  <c r="O366" i="17"/>
  <c r="P366" i="17" s="1"/>
  <c r="V365" i="17"/>
  <c r="O365" i="17"/>
  <c r="P365" i="17" s="1"/>
  <c r="V364" i="17"/>
  <c r="O364" i="17"/>
  <c r="P364" i="17"/>
  <c r="V363" i="17"/>
  <c r="O363" i="17"/>
  <c r="P363" i="17" s="1"/>
  <c r="W363" i="17" s="1"/>
  <c r="X363" i="17" s="1"/>
  <c r="Y363" i="17" s="1"/>
  <c r="Y362" i="17"/>
  <c r="Y361" i="17"/>
  <c r="V360" i="17"/>
  <c r="P360" i="17"/>
  <c r="V359" i="17"/>
  <c r="O359" i="17"/>
  <c r="P359" i="17" s="1"/>
  <c r="V358" i="17"/>
  <c r="P358" i="17"/>
  <c r="T357" i="17"/>
  <c r="V357" i="17" s="1"/>
  <c r="O357" i="17"/>
  <c r="P357" i="17"/>
  <c r="T356" i="17"/>
  <c r="V356" i="17" s="1"/>
  <c r="O356" i="17"/>
  <c r="P356" i="17"/>
  <c r="T355" i="17"/>
  <c r="V355" i="17" s="1"/>
  <c r="O355" i="17"/>
  <c r="P355" i="17"/>
  <c r="W355" i="17"/>
  <c r="X355" i="17" s="1"/>
  <c r="Y355" i="17" s="1"/>
  <c r="T354" i="17"/>
  <c r="V354" i="17"/>
  <c r="O354" i="17"/>
  <c r="P354" i="17"/>
  <c r="T353" i="17"/>
  <c r="V353" i="17"/>
  <c r="W353" i="17" s="1"/>
  <c r="O353" i="17"/>
  <c r="P353" i="17"/>
  <c r="X353" i="17"/>
  <c r="Y353" i="17" s="1"/>
  <c r="V352" i="17"/>
  <c r="O352" i="17"/>
  <c r="P352" i="17"/>
  <c r="V351" i="17"/>
  <c r="O351" i="17"/>
  <c r="P351" i="17"/>
  <c r="W351" i="17"/>
  <c r="X351" i="17" s="1"/>
  <c r="Y351" i="17" s="1"/>
  <c r="V350" i="17"/>
  <c r="W350" i="17" s="1"/>
  <c r="X350" i="17" s="1"/>
  <c r="O350" i="17"/>
  <c r="P350" i="17" s="1"/>
  <c r="Y350" i="17"/>
  <c r="V349" i="17"/>
  <c r="O349" i="17"/>
  <c r="P349" i="17"/>
  <c r="W349" i="17"/>
  <c r="X349" i="17" s="1"/>
  <c r="Y349" i="17" s="1"/>
  <c r="V348" i="17"/>
  <c r="O348" i="17"/>
  <c r="P348" i="17" s="1"/>
  <c r="V347" i="17"/>
  <c r="O347" i="17"/>
  <c r="P347" i="17"/>
  <c r="V346" i="17"/>
  <c r="O346" i="17"/>
  <c r="P346" i="17"/>
  <c r="V345" i="17"/>
  <c r="W345" i="17" s="1"/>
  <c r="X345" i="17" s="1"/>
  <c r="Y345" i="17" s="1"/>
  <c r="P345" i="17"/>
  <c r="V344" i="17"/>
  <c r="O344" i="17"/>
  <c r="P344" i="17"/>
  <c r="V343" i="17"/>
  <c r="W343" i="17" s="1"/>
  <c r="O343" i="17"/>
  <c r="P343" i="17"/>
  <c r="X343" i="17"/>
  <c r="Y343" i="17" s="1"/>
  <c r="V342" i="17"/>
  <c r="O342" i="17"/>
  <c r="P342" i="17"/>
  <c r="V341" i="17"/>
  <c r="T341" i="17"/>
  <c r="O341" i="17"/>
  <c r="P341" i="17"/>
  <c r="V340" i="17"/>
  <c r="T340" i="17"/>
  <c r="O340" i="17"/>
  <c r="P340" i="17"/>
  <c r="V339" i="17"/>
  <c r="P339" i="17"/>
  <c r="W339" i="17"/>
  <c r="X339" i="17"/>
  <c r="Y339" i="17" s="1"/>
  <c r="V338" i="17"/>
  <c r="O338" i="17"/>
  <c r="P338" i="17"/>
  <c r="Q337" i="17"/>
  <c r="V337" i="17"/>
  <c r="O337" i="17"/>
  <c r="P337" i="17"/>
  <c r="V336" i="17"/>
  <c r="W336" i="17" s="1"/>
  <c r="X336" i="17" s="1"/>
  <c r="Y336" i="17" s="1"/>
  <c r="O336" i="17"/>
  <c r="P336" i="17"/>
  <c r="V335" i="17"/>
  <c r="W335" i="17" s="1"/>
  <c r="X335" i="17" s="1"/>
  <c r="Y335" i="17" s="1"/>
  <c r="O335" i="17"/>
  <c r="P335" i="17"/>
  <c r="T334" i="17"/>
  <c r="V334" i="17" s="1"/>
  <c r="O334" i="17"/>
  <c r="P334" i="17"/>
  <c r="T333" i="17"/>
  <c r="V333" i="17" s="1"/>
  <c r="O333" i="17"/>
  <c r="P333" i="17"/>
  <c r="X332" i="17"/>
  <c r="Y332" i="17" s="1"/>
  <c r="O332" i="17"/>
  <c r="P332" i="17"/>
  <c r="V331" i="17"/>
  <c r="O331" i="17"/>
  <c r="P331" i="17"/>
  <c r="V330" i="17"/>
  <c r="O330" i="17"/>
  <c r="P330" i="17" s="1"/>
  <c r="T329" i="17"/>
  <c r="V329" i="17"/>
  <c r="O329" i="17"/>
  <c r="P329" i="17"/>
  <c r="T328" i="17"/>
  <c r="V328" i="17"/>
  <c r="W328" i="17" s="1"/>
  <c r="X328" i="17" s="1"/>
  <c r="O328" i="17"/>
  <c r="P328" i="17"/>
  <c r="V327" i="17"/>
  <c r="O327" i="17"/>
  <c r="P327" i="17" s="1"/>
  <c r="X326" i="17"/>
  <c r="Y326" i="17"/>
  <c r="O326" i="17"/>
  <c r="P326" i="17" s="1"/>
  <c r="V325" i="17"/>
  <c r="O325" i="17"/>
  <c r="P325" i="17"/>
  <c r="V324" i="17"/>
  <c r="O324" i="17"/>
  <c r="P324" i="17"/>
  <c r="W324" i="17"/>
  <c r="X324" i="17" s="1"/>
  <c r="Y324" i="17" s="1"/>
  <c r="T323" i="17"/>
  <c r="V323" i="17"/>
  <c r="O323" i="17"/>
  <c r="P323" i="17"/>
  <c r="V322" i="17"/>
  <c r="O322" i="17"/>
  <c r="P322" i="17" s="1"/>
  <c r="V321" i="17"/>
  <c r="W321" i="17" s="1"/>
  <c r="X321" i="17" s="1"/>
  <c r="Y321" i="17" s="1"/>
  <c r="O321" i="17"/>
  <c r="P321" i="17"/>
  <c r="V320" i="17"/>
  <c r="W320" i="17" s="1"/>
  <c r="X320" i="17" s="1"/>
  <c r="Y320" i="17" s="1"/>
  <c r="O320" i="17"/>
  <c r="P320" i="17"/>
  <c r="V319" i="17"/>
  <c r="O319" i="17"/>
  <c r="P319" i="17"/>
  <c r="V318" i="17"/>
  <c r="O318" i="17"/>
  <c r="P318" i="17"/>
  <c r="V317" i="17"/>
  <c r="O317" i="17"/>
  <c r="P317" i="17"/>
  <c r="V316" i="17"/>
  <c r="W316" i="17" s="1"/>
  <c r="X316" i="17" s="1"/>
  <c r="Y316" i="17" s="1"/>
  <c r="O316" i="17"/>
  <c r="P316" i="17" s="1"/>
  <c r="V315" i="17"/>
  <c r="O315" i="17"/>
  <c r="P315" i="17"/>
  <c r="V314" i="17"/>
  <c r="W314" i="17" s="1"/>
  <c r="O314" i="17"/>
  <c r="P314" i="17"/>
  <c r="X314" i="17"/>
  <c r="Y314" i="17" s="1"/>
  <c r="V313" i="17"/>
  <c r="O313" i="17"/>
  <c r="P313" i="17"/>
  <c r="V312" i="17"/>
  <c r="O312" i="17"/>
  <c r="P312" i="17"/>
  <c r="Q311" i="17"/>
  <c r="V311" i="17"/>
  <c r="O311" i="17"/>
  <c r="P311" i="17"/>
  <c r="V310" i="17"/>
  <c r="T310" i="17"/>
  <c r="O310" i="17"/>
  <c r="P310" i="17"/>
  <c r="T309" i="17"/>
  <c r="V309" i="17"/>
  <c r="O309" i="17"/>
  <c r="P309" i="17"/>
  <c r="V308" i="17"/>
  <c r="O308" i="17"/>
  <c r="P308" i="17" s="1"/>
  <c r="Q307" i="17"/>
  <c r="V307" i="17"/>
  <c r="O307" i="17"/>
  <c r="P307" i="17" s="1"/>
  <c r="V306" i="17"/>
  <c r="P306" i="17"/>
  <c r="P305" i="17"/>
  <c r="Q305" i="17" s="1"/>
  <c r="V305" i="17" s="1"/>
  <c r="W305" i="17" s="1"/>
  <c r="X305" i="17"/>
  <c r="Y305" i="17" s="1"/>
  <c r="V304" i="17"/>
  <c r="P304" i="17"/>
  <c r="T303" i="17"/>
  <c r="V303" i="17" s="1"/>
  <c r="O303" i="17"/>
  <c r="P303" i="17"/>
  <c r="V302" i="17"/>
  <c r="O302" i="17"/>
  <c r="P302" i="17"/>
  <c r="T301" i="17"/>
  <c r="V301" i="17" s="1"/>
  <c r="O301" i="17"/>
  <c r="P301" i="17"/>
  <c r="T300" i="17"/>
  <c r="V300" i="17" s="1"/>
  <c r="O300" i="17"/>
  <c r="P300" i="17"/>
  <c r="V299" i="17"/>
  <c r="O299" i="17"/>
  <c r="P299" i="17" s="1"/>
  <c r="V298" i="17"/>
  <c r="O298" i="17"/>
  <c r="P298" i="17" s="1"/>
  <c r="V297" i="17"/>
  <c r="O297" i="17"/>
  <c r="P297" i="17"/>
  <c r="W297" i="17" s="1"/>
  <c r="X297" i="17" s="1"/>
  <c r="Y297" i="17" s="1"/>
  <c r="V296" i="17"/>
  <c r="O296" i="17"/>
  <c r="P296" i="17" s="1"/>
  <c r="V295" i="17"/>
  <c r="O295" i="17"/>
  <c r="P295" i="17" s="1"/>
  <c r="Q294" i="17"/>
  <c r="V294" i="17" s="1"/>
  <c r="W294" i="17" s="1"/>
  <c r="X294" i="17" s="1"/>
  <c r="Y294" i="17" s="1"/>
  <c r="O294" i="17"/>
  <c r="P294" i="17"/>
  <c r="T293" i="17"/>
  <c r="V293" i="17" s="1"/>
  <c r="O293" i="17"/>
  <c r="P293" i="17"/>
  <c r="T292" i="17"/>
  <c r="V292" i="17" s="1"/>
  <c r="O292" i="17"/>
  <c r="P292" i="17"/>
  <c r="T291" i="17"/>
  <c r="V291" i="17" s="1"/>
  <c r="O291" i="17"/>
  <c r="P291" i="17"/>
  <c r="V290" i="17"/>
  <c r="O290" i="17"/>
  <c r="P290" i="17" s="1"/>
  <c r="V289" i="17"/>
  <c r="O289" i="17"/>
  <c r="P289" i="17"/>
  <c r="W289" i="17" s="1"/>
  <c r="X289" i="17" s="1"/>
  <c r="Y289" i="17" s="1"/>
  <c r="V288" i="17"/>
  <c r="P288" i="17"/>
  <c r="V287" i="17"/>
  <c r="O287" i="17"/>
  <c r="P287" i="17" s="1"/>
  <c r="V286" i="17"/>
  <c r="O286" i="17"/>
  <c r="P286" i="17" s="1"/>
  <c r="W286" i="17" s="1"/>
  <c r="X286" i="17" s="1"/>
  <c r="Y286" i="17"/>
  <c r="V285" i="17"/>
  <c r="O285" i="17"/>
  <c r="P285" i="17" s="1"/>
  <c r="V284" i="17"/>
  <c r="O284" i="17"/>
  <c r="P284" i="17" s="1"/>
  <c r="V283" i="17"/>
  <c r="O283" i="17"/>
  <c r="P283" i="17"/>
  <c r="T282" i="17"/>
  <c r="V282" i="17"/>
  <c r="O282" i="17"/>
  <c r="P282" i="17"/>
  <c r="T281" i="17"/>
  <c r="V281" i="17"/>
  <c r="O281" i="17"/>
  <c r="P281" i="17"/>
  <c r="T280" i="17"/>
  <c r="V280" i="17"/>
  <c r="O280" i="17"/>
  <c r="P280" i="17"/>
  <c r="V279" i="17"/>
  <c r="O279" i="17"/>
  <c r="P279" i="17" s="1"/>
  <c r="V278" i="17"/>
  <c r="O278" i="17"/>
  <c r="P278" i="17" s="1"/>
  <c r="V277" i="17"/>
  <c r="O277" i="17"/>
  <c r="P277" i="17"/>
  <c r="V276" i="17"/>
  <c r="O276" i="17"/>
  <c r="P276" i="17" s="1"/>
  <c r="V275" i="17"/>
  <c r="W275" i="17" s="1"/>
  <c r="X275" i="17" s="1"/>
  <c r="Y275" i="17" s="1"/>
  <c r="O275" i="17"/>
  <c r="P275" i="17" s="1"/>
  <c r="V274" i="17"/>
  <c r="O274" i="17"/>
  <c r="P274" i="17"/>
  <c r="W274" i="17"/>
  <c r="X274" i="17" s="1"/>
  <c r="Y274" i="17" s="1"/>
  <c r="V273" i="17"/>
  <c r="O273" i="17"/>
  <c r="P273" i="17"/>
  <c r="V272" i="17"/>
  <c r="O272" i="17"/>
  <c r="P272" i="17"/>
  <c r="V271" i="17"/>
  <c r="W271" i="17" s="1"/>
  <c r="O271" i="17"/>
  <c r="P271" i="17"/>
  <c r="X271" i="17"/>
  <c r="Y271" i="17" s="1"/>
  <c r="V270" i="17"/>
  <c r="O270" i="17"/>
  <c r="P270" i="17"/>
  <c r="V269" i="17"/>
  <c r="O269" i="17"/>
  <c r="P269" i="17" s="1"/>
  <c r="W269" i="17" s="1"/>
  <c r="X269" i="17" s="1"/>
  <c r="Y269" i="17"/>
  <c r="V268" i="17"/>
  <c r="O268" i="17"/>
  <c r="P268" i="17" s="1"/>
  <c r="V267" i="17"/>
  <c r="O267" i="17"/>
  <c r="P267" i="17" s="1"/>
  <c r="V266" i="17"/>
  <c r="W266" i="17" s="1"/>
  <c r="X266" i="17" s="1"/>
  <c r="Y266" i="17" s="1"/>
  <c r="O266" i="17"/>
  <c r="P266" i="17"/>
  <c r="V265" i="17"/>
  <c r="O265" i="17"/>
  <c r="P265" i="17"/>
  <c r="V264" i="17"/>
  <c r="O264" i="17"/>
  <c r="P264" i="17"/>
  <c r="V263" i="17"/>
  <c r="O263" i="17"/>
  <c r="P263" i="17" s="1"/>
  <c r="Q262" i="17"/>
  <c r="V262" i="17"/>
  <c r="W262" i="17" s="1"/>
  <c r="X262" i="17" s="1"/>
  <c r="O262" i="17"/>
  <c r="P262" i="17" s="1"/>
  <c r="Y262" i="17"/>
  <c r="V261" i="17"/>
  <c r="O261" i="17"/>
  <c r="P261" i="17"/>
  <c r="V260" i="17"/>
  <c r="O260" i="17"/>
  <c r="P260" i="17"/>
  <c r="V259" i="17"/>
  <c r="O259" i="17"/>
  <c r="P259" i="17" s="1"/>
  <c r="V258" i="17"/>
  <c r="O258" i="17"/>
  <c r="P258" i="17"/>
  <c r="V257" i="17"/>
  <c r="O257" i="17"/>
  <c r="P257" i="17"/>
  <c r="V256" i="17"/>
  <c r="O256" i="17"/>
  <c r="P256" i="17" s="1"/>
  <c r="V255" i="17"/>
  <c r="O255" i="17"/>
  <c r="P255" i="17" s="1"/>
  <c r="V254" i="17"/>
  <c r="O254" i="17"/>
  <c r="P254" i="17"/>
  <c r="V253" i="17"/>
  <c r="O253" i="17"/>
  <c r="P253" i="17"/>
  <c r="V252" i="17"/>
  <c r="O252" i="17"/>
  <c r="P252" i="17" s="1"/>
  <c r="V251" i="17"/>
  <c r="O251" i="17"/>
  <c r="P251" i="17"/>
  <c r="T250" i="17"/>
  <c r="V250" i="17"/>
  <c r="O250" i="17"/>
  <c r="P250" i="17"/>
  <c r="V249" i="17"/>
  <c r="W249" i="17" s="1"/>
  <c r="X249" i="17" s="1"/>
  <c r="Y249" i="17" s="1"/>
  <c r="O249" i="17"/>
  <c r="P249" i="17"/>
  <c r="U248" i="17"/>
  <c r="V248" i="17" s="1"/>
  <c r="O248" i="17"/>
  <c r="P248" i="17" s="1"/>
  <c r="U247" i="17"/>
  <c r="T247" i="17"/>
  <c r="O247" i="17"/>
  <c r="P247" i="17" s="1"/>
  <c r="V246" i="17"/>
  <c r="O246" i="17"/>
  <c r="P246" i="17"/>
  <c r="V245" i="17"/>
  <c r="O245" i="17"/>
  <c r="P245" i="17"/>
  <c r="T244" i="17"/>
  <c r="V244" i="17" s="1"/>
  <c r="O244" i="17"/>
  <c r="P244" i="17" s="1"/>
  <c r="R244" i="17"/>
  <c r="T243" i="17"/>
  <c r="V243" i="17"/>
  <c r="O243" i="17"/>
  <c r="P243" i="17"/>
  <c r="O242" i="17"/>
  <c r="P242" i="17"/>
  <c r="W242" i="17" s="1"/>
  <c r="X242" i="17" s="1"/>
  <c r="Y242" i="17" s="1"/>
  <c r="O241" i="17"/>
  <c r="P241" i="17" s="1"/>
  <c r="W241" i="17" s="1"/>
  <c r="X241" i="17" s="1"/>
  <c r="Y241" i="17" s="1"/>
  <c r="V240" i="17"/>
  <c r="W240" i="17" s="1"/>
  <c r="X240" i="17" s="1"/>
  <c r="O240" i="17"/>
  <c r="P240" i="17" s="1"/>
  <c r="Y240" i="17"/>
  <c r="V239" i="17"/>
  <c r="O239" i="17"/>
  <c r="P239" i="17"/>
  <c r="V238" i="17"/>
  <c r="W238" i="17" s="1"/>
  <c r="X238" i="17" s="1"/>
  <c r="Y238" i="17" s="1"/>
  <c r="O238" i="17"/>
  <c r="P238" i="17"/>
  <c r="V237" i="17"/>
  <c r="O237" i="17"/>
  <c r="P237" i="17" s="1"/>
  <c r="V236" i="17"/>
  <c r="O236" i="17"/>
  <c r="P236" i="17" s="1"/>
  <c r="T236" i="17"/>
  <c r="T237" i="17" s="1"/>
  <c r="T238" i="17"/>
  <c r="T239" i="17" s="1"/>
  <c r="T240" i="17" s="1"/>
  <c r="T241" i="17" s="1"/>
  <c r="T242" i="17" s="1"/>
  <c r="R236" i="17"/>
  <c r="R237" i="17" s="1"/>
  <c r="R238" i="17" s="1"/>
  <c r="R239" i="17" s="1"/>
  <c r="R240" i="17" s="1"/>
  <c r="R241" i="17" s="1"/>
  <c r="R242" i="17" s="1"/>
  <c r="V235" i="17"/>
  <c r="O235" i="17"/>
  <c r="P235" i="17"/>
  <c r="T234" i="17"/>
  <c r="V234" i="17"/>
  <c r="O234" i="17"/>
  <c r="P234" i="17"/>
  <c r="R234" i="17"/>
  <c r="T233" i="17"/>
  <c r="V233" i="17"/>
  <c r="O233" i="17"/>
  <c r="P233" i="17" s="1"/>
  <c r="V232" i="17"/>
  <c r="O232" i="17"/>
  <c r="P232" i="17" s="1"/>
  <c r="V231" i="17"/>
  <c r="O231" i="17"/>
  <c r="P231" i="17"/>
  <c r="T230" i="17"/>
  <c r="V230" i="17" s="1"/>
  <c r="O230" i="17"/>
  <c r="P230" i="17"/>
  <c r="T229" i="17"/>
  <c r="V229" i="17" s="1"/>
  <c r="O229" i="17"/>
  <c r="P229" i="17"/>
  <c r="V228" i="17"/>
  <c r="R228" i="17"/>
  <c r="O228" i="17"/>
  <c r="P228" i="17"/>
  <c r="W228" i="17" s="1"/>
  <c r="X228" i="17" s="1"/>
  <c r="Y228" i="17" s="1"/>
  <c r="V227" i="17"/>
  <c r="O227" i="17"/>
  <c r="P227" i="17" s="1"/>
  <c r="V226" i="17"/>
  <c r="W226" i="17" s="1"/>
  <c r="X226" i="17" s="1"/>
  <c r="Y226" i="17" s="1"/>
  <c r="T226" i="17"/>
  <c r="T227" i="17"/>
  <c r="T228" i="17"/>
  <c r="S226" i="17"/>
  <c r="S227" i="17" s="1"/>
  <c r="S228" i="17" s="1"/>
  <c r="R226" i="17"/>
  <c r="O226" i="17"/>
  <c r="P226" i="17"/>
  <c r="V225" i="17"/>
  <c r="O225" i="17"/>
  <c r="P225" i="17" s="1"/>
  <c r="V224" i="17"/>
  <c r="O224" i="17"/>
  <c r="P224" i="17" s="1"/>
  <c r="V223" i="17"/>
  <c r="O223" i="17"/>
  <c r="P223" i="17"/>
  <c r="W223" i="17"/>
  <c r="X223" i="17" s="1"/>
  <c r="Y223" i="17" s="1"/>
  <c r="V222" i="17"/>
  <c r="O222" i="17"/>
  <c r="P222" i="17" s="1"/>
  <c r="V221" i="17"/>
  <c r="O221" i="17"/>
  <c r="P221" i="17" s="1"/>
  <c r="V220" i="17"/>
  <c r="O220" i="17"/>
  <c r="P220" i="17" s="1"/>
  <c r="W220" i="17" s="1"/>
  <c r="X220" i="17" s="1"/>
  <c r="Y220" i="17" s="1"/>
  <c r="V219" i="17"/>
  <c r="O219" i="17"/>
  <c r="P219" i="17" s="1"/>
  <c r="V218" i="17"/>
  <c r="O218" i="17"/>
  <c r="P218" i="17" s="1"/>
  <c r="W218" i="17" s="1"/>
  <c r="X218" i="17" s="1"/>
  <c r="Y218" i="17" s="1"/>
  <c r="T218" i="17"/>
  <c r="V217" i="17"/>
  <c r="T217" i="17"/>
  <c r="O217" i="17"/>
  <c r="P217" i="17" s="1"/>
  <c r="V216" i="17"/>
  <c r="O216" i="17"/>
  <c r="P216" i="17"/>
  <c r="W216" i="17" s="1"/>
  <c r="X216" i="17" s="1"/>
  <c r="Y216" i="17" s="1"/>
  <c r="V215" i="17"/>
  <c r="O215" i="17"/>
  <c r="P215" i="17" s="1"/>
  <c r="V214" i="17"/>
  <c r="O214" i="17"/>
  <c r="P214" i="17"/>
  <c r="V213" i="17"/>
  <c r="T213" i="17"/>
  <c r="O213" i="17"/>
  <c r="P213" i="17"/>
  <c r="W213" i="17" s="1"/>
  <c r="X213" i="17" s="1"/>
  <c r="Y213" i="17" s="1"/>
  <c r="V212" i="17"/>
  <c r="O212" i="17"/>
  <c r="P212" i="17" s="1"/>
  <c r="T212" i="17"/>
  <c r="V211" i="17"/>
  <c r="T211" i="17"/>
  <c r="O211" i="17"/>
  <c r="P211" i="17"/>
  <c r="V210" i="17"/>
  <c r="W210" i="17" s="1"/>
  <c r="O210" i="17"/>
  <c r="P210" i="17" s="1"/>
  <c r="X210" i="17"/>
  <c r="Y210" i="17" s="1"/>
  <c r="T209" i="17"/>
  <c r="V209" i="17"/>
  <c r="O209" i="17"/>
  <c r="P209" i="17" s="1"/>
  <c r="V208" i="17"/>
  <c r="O208" i="17"/>
  <c r="P208" i="17"/>
  <c r="V207" i="17"/>
  <c r="W207" i="17" s="1"/>
  <c r="O207" i="17"/>
  <c r="P207" i="17" s="1"/>
  <c r="X207" i="17"/>
  <c r="Y207" i="17" s="1"/>
  <c r="V206" i="17"/>
  <c r="O206" i="17"/>
  <c r="P206" i="17"/>
  <c r="W206" i="17" s="1"/>
  <c r="X206" i="17" s="1"/>
  <c r="Y206" i="17" s="1"/>
  <c r="V205" i="17"/>
  <c r="O205" i="17"/>
  <c r="P205" i="17"/>
  <c r="V204" i="17"/>
  <c r="W204" i="17" s="1"/>
  <c r="X204" i="17" s="1"/>
  <c r="Y204" i="17" s="1"/>
  <c r="O204" i="17"/>
  <c r="P204" i="17" s="1"/>
  <c r="V203" i="17"/>
  <c r="O203" i="17"/>
  <c r="P203" i="17"/>
  <c r="T445" i="16"/>
  <c r="M445" i="16"/>
  <c r="N445" i="16"/>
  <c r="U445" i="16"/>
  <c r="V445" i="16" s="1"/>
  <c r="AJ445" i="16" s="1"/>
  <c r="T444" i="16"/>
  <c r="M444" i="16"/>
  <c r="N444" i="16" s="1"/>
  <c r="T443" i="16"/>
  <c r="M443" i="16"/>
  <c r="N443" i="16"/>
  <c r="U443" i="16" s="1"/>
  <c r="V443" i="16" s="1"/>
  <c r="AJ443" i="16" s="1"/>
  <c r="T442" i="16"/>
  <c r="M442" i="16"/>
  <c r="N442" i="16" s="1"/>
  <c r="T441" i="16"/>
  <c r="M441" i="16"/>
  <c r="N441" i="16" s="1"/>
  <c r="T440" i="16"/>
  <c r="M440" i="16"/>
  <c r="N440" i="16" s="1"/>
  <c r="AJ439" i="16"/>
  <c r="T438" i="16"/>
  <c r="M438" i="16"/>
  <c r="N438" i="16" s="1"/>
  <c r="T437" i="16"/>
  <c r="M437" i="16"/>
  <c r="N437" i="16" s="1"/>
  <c r="U437" i="16" s="1"/>
  <c r="V437" i="16" s="1"/>
  <c r="AJ437" i="16" s="1"/>
  <c r="T436" i="16"/>
  <c r="M436" i="16"/>
  <c r="N436" i="16"/>
  <c r="R435" i="16"/>
  <c r="T435" i="16" s="1"/>
  <c r="M435" i="16"/>
  <c r="N435" i="16"/>
  <c r="R434" i="16"/>
  <c r="T434" i="16" s="1"/>
  <c r="M434" i="16"/>
  <c r="N434" i="16"/>
  <c r="R433" i="16"/>
  <c r="T433" i="16" s="1"/>
  <c r="M433" i="16"/>
  <c r="N433" i="16"/>
  <c r="U433" i="16"/>
  <c r="V433" i="16" s="1"/>
  <c r="AJ432" i="16"/>
  <c r="AJ431" i="16"/>
  <c r="AJ430" i="16"/>
  <c r="AJ429" i="16"/>
  <c r="R428" i="16"/>
  <c r="T428" i="16"/>
  <c r="N428" i="16"/>
  <c r="R427" i="16"/>
  <c r="T427" i="16"/>
  <c r="N427" i="16"/>
  <c r="U427" i="16" s="1"/>
  <c r="V427" i="16" s="1"/>
  <c r="T426" i="16"/>
  <c r="N426" i="16"/>
  <c r="T425" i="16"/>
  <c r="M425" i="16"/>
  <c r="N425" i="16"/>
  <c r="U425" i="16"/>
  <c r="V425" i="16" s="1"/>
  <c r="AJ425" i="16" s="1"/>
  <c r="T424" i="16"/>
  <c r="M424" i="16"/>
  <c r="N424" i="16" s="1"/>
  <c r="U424" i="16" s="1"/>
  <c r="V424" i="16" s="1"/>
  <c r="AJ424" i="16" s="1"/>
  <c r="T423" i="16"/>
  <c r="M423" i="16"/>
  <c r="N423" i="16"/>
  <c r="U423" i="16" s="1"/>
  <c r="V423" i="16" s="1"/>
  <c r="AJ423" i="16" s="1"/>
  <c r="T422" i="16"/>
  <c r="M422" i="16"/>
  <c r="N422" i="16" s="1"/>
  <c r="T421" i="16"/>
  <c r="M421" i="16"/>
  <c r="N421" i="16"/>
  <c r="T420" i="16"/>
  <c r="M420" i="16"/>
  <c r="N420" i="16"/>
  <c r="T419" i="16"/>
  <c r="N419" i="16"/>
  <c r="T418" i="16"/>
  <c r="M418" i="16"/>
  <c r="N418" i="16"/>
  <c r="T417" i="16"/>
  <c r="M417" i="16"/>
  <c r="N417" i="16"/>
  <c r="T416" i="16"/>
  <c r="M416" i="16"/>
  <c r="N416" i="16" s="1"/>
  <c r="R415" i="16"/>
  <c r="T415" i="16"/>
  <c r="M415" i="16"/>
  <c r="N415" i="16" s="1"/>
  <c r="R414" i="16"/>
  <c r="T414" i="16"/>
  <c r="M414" i="16"/>
  <c r="N414" i="16" s="1"/>
  <c r="T413" i="16"/>
  <c r="N413" i="16"/>
  <c r="R412" i="16"/>
  <c r="T412" i="16" s="1"/>
  <c r="M412" i="16"/>
  <c r="N412" i="16"/>
  <c r="T411" i="16"/>
  <c r="N411" i="16"/>
  <c r="T410" i="16"/>
  <c r="M410" i="16"/>
  <c r="N410" i="16" s="1"/>
  <c r="T409" i="16"/>
  <c r="U409" i="16" s="1"/>
  <c r="V409" i="16" s="1"/>
  <c r="AJ409" i="16" s="1"/>
  <c r="M409" i="16"/>
  <c r="N409" i="16"/>
  <c r="T408" i="16"/>
  <c r="M408" i="16"/>
  <c r="N408" i="16" s="1"/>
  <c r="T407" i="16"/>
  <c r="M407" i="16"/>
  <c r="N407" i="16"/>
  <c r="T406" i="16"/>
  <c r="M406" i="16"/>
  <c r="N406" i="16" s="1"/>
  <c r="U406" i="16" s="1"/>
  <c r="V406" i="16" s="1"/>
  <c r="AJ406" i="16" s="1"/>
  <c r="R405" i="16"/>
  <c r="T405" i="16"/>
  <c r="M405" i="16"/>
  <c r="N405" i="16" s="1"/>
  <c r="V404" i="16"/>
  <c r="AJ404" i="16"/>
  <c r="T404" i="16"/>
  <c r="M404" i="16"/>
  <c r="N404" i="16"/>
  <c r="T403" i="16"/>
  <c r="M403" i="16"/>
  <c r="N403" i="16" s="1"/>
  <c r="T402" i="16"/>
  <c r="M402" i="16"/>
  <c r="N402" i="16" s="1"/>
  <c r="T401" i="16"/>
  <c r="M401" i="16"/>
  <c r="N401" i="16"/>
  <c r="U401" i="16" s="1"/>
  <c r="V401" i="16" s="1"/>
  <c r="AI401" i="16" s="1"/>
  <c r="T400" i="16"/>
  <c r="M400" i="16"/>
  <c r="N400" i="16" s="1"/>
  <c r="T399" i="16"/>
  <c r="M399" i="16"/>
  <c r="N399" i="16"/>
  <c r="R398" i="16"/>
  <c r="T398" i="16"/>
  <c r="M398" i="16"/>
  <c r="N398" i="16"/>
  <c r="R397" i="16"/>
  <c r="T397" i="16"/>
  <c r="M397" i="16"/>
  <c r="N397" i="16"/>
  <c r="T396" i="16"/>
  <c r="M396" i="16"/>
  <c r="N396" i="16" s="1"/>
  <c r="T395" i="16"/>
  <c r="U395" i="16" s="1"/>
  <c r="V395" i="16" s="1"/>
  <c r="AJ395" i="16" s="1"/>
  <c r="M395" i="16"/>
  <c r="N395" i="16"/>
  <c r="R394" i="16"/>
  <c r="T394" i="16" s="1"/>
  <c r="U394" i="16" s="1"/>
  <c r="V394" i="16" s="1"/>
  <c r="AJ394" i="16" s="1"/>
  <c r="M394" i="16"/>
  <c r="N394" i="16" s="1"/>
  <c r="R393" i="16"/>
  <c r="T393" i="16"/>
  <c r="M393" i="16"/>
  <c r="N393" i="16" s="1"/>
  <c r="T392" i="16"/>
  <c r="M392" i="16"/>
  <c r="N392" i="16"/>
  <c r="U392" i="16" s="1"/>
  <c r="V392" i="16" s="1"/>
  <c r="AJ392" i="16" s="1"/>
  <c r="T391" i="16"/>
  <c r="M391" i="16"/>
  <c r="N391" i="16"/>
  <c r="T390" i="16"/>
  <c r="U390" i="16" s="1"/>
  <c r="V390" i="16" s="1"/>
  <c r="AJ390" i="16" s="1"/>
  <c r="M390" i="16"/>
  <c r="N390" i="16" s="1"/>
  <c r="T389" i="16"/>
  <c r="M389" i="16"/>
  <c r="N389" i="16"/>
  <c r="T388" i="16"/>
  <c r="M388" i="16"/>
  <c r="N388" i="16"/>
  <c r="T387" i="16"/>
  <c r="M387" i="16"/>
  <c r="N387" i="16"/>
  <c r="T386" i="16"/>
  <c r="M386" i="16"/>
  <c r="N386" i="16" s="1"/>
  <c r="T385" i="16"/>
  <c r="U385" i="16" s="1"/>
  <c r="M385" i="16"/>
  <c r="N385" i="16"/>
  <c r="V385" i="16"/>
  <c r="AJ385" i="16" s="1"/>
  <c r="T384" i="16"/>
  <c r="M384" i="16"/>
  <c r="N384" i="16"/>
  <c r="U384" i="16" s="1"/>
  <c r="V384" i="16" s="1"/>
  <c r="AJ384" i="16" s="1"/>
  <c r="T383" i="16"/>
  <c r="M383" i="16"/>
  <c r="N383" i="16" s="1"/>
  <c r="T382" i="16"/>
  <c r="M382" i="16"/>
  <c r="N382" i="16"/>
  <c r="T381" i="16"/>
  <c r="M381" i="16"/>
  <c r="N381" i="16" s="1"/>
  <c r="T380" i="16"/>
  <c r="U380" i="16" s="1"/>
  <c r="M380" i="16"/>
  <c r="N380" i="16"/>
  <c r="V380" i="16"/>
  <c r="AJ380" i="16" s="1"/>
  <c r="T379" i="16"/>
  <c r="M379" i="16"/>
  <c r="N379" i="16"/>
  <c r="U379" i="16" s="1"/>
  <c r="V379" i="16" s="1"/>
  <c r="AJ379" i="16" s="1"/>
  <c r="T378" i="16"/>
  <c r="M378" i="16"/>
  <c r="N378" i="16" s="1"/>
  <c r="O377" i="16"/>
  <c r="T377" i="16"/>
  <c r="M377" i="16"/>
  <c r="N377" i="16" s="1"/>
  <c r="R376" i="16"/>
  <c r="T376" i="16"/>
  <c r="M376" i="16"/>
  <c r="N376" i="16" s="1"/>
  <c r="R375" i="16"/>
  <c r="T375" i="16"/>
  <c r="M375" i="16"/>
  <c r="N375" i="16" s="1"/>
  <c r="O374" i="16"/>
  <c r="R374" i="16" s="1"/>
  <c r="T374" i="16" s="1"/>
  <c r="U374" i="16" s="1"/>
  <c r="V374" i="16" s="1"/>
  <c r="AJ374" i="16" s="1"/>
  <c r="M374" i="16"/>
  <c r="N374" i="16"/>
  <c r="T373" i="16"/>
  <c r="M373" i="16"/>
  <c r="N373" i="16" s="1"/>
  <c r="U373" i="16" s="1"/>
  <c r="V373" i="16" s="1"/>
  <c r="AJ373" i="16" s="1"/>
  <c r="T372" i="16"/>
  <c r="U372" i="16" s="1"/>
  <c r="V372" i="16" s="1"/>
  <c r="M372" i="16"/>
  <c r="N372" i="16" s="1"/>
  <c r="T371" i="16"/>
  <c r="M371" i="16"/>
  <c r="N371" i="16"/>
  <c r="N370" i="16"/>
  <c r="O370" i="16" s="1"/>
  <c r="T370" i="16" s="1"/>
  <c r="U370" i="16" s="1"/>
  <c r="V370" i="16" s="1"/>
  <c r="AJ370" i="16" s="1"/>
  <c r="T369" i="16"/>
  <c r="N369" i="16"/>
  <c r="T368" i="16"/>
  <c r="U368" i="16" s="1"/>
  <c r="V368" i="16" s="1"/>
  <c r="AJ368" i="16" s="1"/>
  <c r="N368" i="16"/>
  <c r="R367" i="16"/>
  <c r="T367" i="16" s="1"/>
  <c r="M367" i="16"/>
  <c r="N367" i="16"/>
  <c r="O366" i="16"/>
  <c r="R366" i="16" s="1"/>
  <c r="T366" i="16" s="1"/>
  <c r="M366" i="16"/>
  <c r="N366" i="16" s="1"/>
  <c r="T365" i="16"/>
  <c r="M365" i="16"/>
  <c r="N365" i="16"/>
  <c r="U365" i="16" s="1"/>
  <c r="V365" i="16" s="1"/>
  <c r="AJ365" i="16" s="1"/>
  <c r="M364" i="16"/>
  <c r="N364" i="16" s="1"/>
  <c r="U364" i="16" s="1"/>
  <c r="V364" i="16" s="1"/>
  <c r="AJ364" i="16" s="1"/>
  <c r="R363" i="16"/>
  <c r="T363" i="16"/>
  <c r="M363" i="16"/>
  <c r="N363" i="16" s="1"/>
  <c r="R362" i="16"/>
  <c r="T362" i="16"/>
  <c r="M362" i="16"/>
  <c r="N362" i="16" s="1"/>
  <c r="R361" i="16"/>
  <c r="T361" i="16"/>
  <c r="M361" i="16"/>
  <c r="N361" i="16" s="1"/>
  <c r="T360" i="16"/>
  <c r="M360" i="16"/>
  <c r="N360" i="16"/>
  <c r="U360" i="16" s="1"/>
  <c r="V360" i="16" s="1"/>
  <c r="AJ360" i="16" s="1"/>
  <c r="T359" i="16"/>
  <c r="M359" i="16"/>
  <c r="N359" i="16" s="1"/>
  <c r="T358" i="16"/>
  <c r="M358" i="16"/>
  <c r="N358" i="16"/>
  <c r="T357" i="16"/>
  <c r="M357" i="16"/>
  <c r="N357" i="16"/>
  <c r="T356" i="16"/>
  <c r="M356" i="16"/>
  <c r="N356" i="16" s="1"/>
  <c r="T355" i="16"/>
  <c r="N355" i="16"/>
  <c r="T354" i="16"/>
  <c r="M354" i="16"/>
  <c r="N354" i="16"/>
  <c r="U354" i="16"/>
  <c r="V354" i="16" s="1"/>
  <c r="AJ354" i="16" s="1"/>
  <c r="O353" i="16"/>
  <c r="T353" i="16"/>
  <c r="U353" i="16" s="1"/>
  <c r="V353" i="16" s="1"/>
  <c r="M353" i="16"/>
  <c r="N353" i="16" s="1"/>
  <c r="O352" i="16"/>
  <c r="R352" i="16"/>
  <c r="T352" i="16" s="1"/>
  <c r="U352" i="16" s="1"/>
  <c r="V352" i="16" s="1"/>
  <c r="M352" i="16"/>
  <c r="N352" i="16"/>
  <c r="T351" i="16"/>
  <c r="M351" i="16"/>
  <c r="N351" i="16"/>
  <c r="U351" i="16" s="1"/>
  <c r="V351" i="16" s="1"/>
  <c r="T350" i="16"/>
  <c r="M350" i="16"/>
  <c r="N350" i="16"/>
  <c r="T349" i="16"/>
  <c r="M349" i="16"/>
  <c r="N349" i="16" s="1"/>
  <c r="T348" i="16"/>
  <c r="M348" i="16"/>
  <c r="N348" i="16" s="1"/>
  <c r="O347" i="16"/>
  <c r="T347" i="16"/>
  <c r="M347" i="16"/>
  <c r="N347" i="16" s="1"/>
  <c r="T346" i="16"/>
  <c r="M346" i="16"/>
  <c r="N346" i="16"/>
  <c r="U346" i="16" s="1"/>
  <c r="V346" i="16" s="1"/>
  <c r="AJ346" i="16" s="1"/>
  <c r="T345" i="16"/>
  <c r="M345" i="16"/>
  <c r="N345" i="16"/>
  <c r="T344" i="16"/>
  <c r="M344" i="16"/>
  <c r="N344" i="16" s="1"/>
  <c r="T343" i="16"/>
  <c r="M343" i="16"/>
  <c r="N343" i="16" s="1"/>
  <c r="T342" i="16"/>
  <c r="M342" i="16"/>
  <c r="N342" i="16"/>
  <c r="R341" i="16"/>
  <c r="T341" i="16" s="1"/>
  <c r="U341" i="16" s="1"/>
  <c r="V341" i="16" s="1"/>
  <c r="M341" i="16"/>
  <c r="N341" i="16"/>
  <c r="R340" i="16"/>
  <c r="T340" i="16" s="1"/>
  <c r="M340" i="16"/>
  <c r="N340" i="16"/>
  <c r="T339" i="16"/>
  <c r="M339" i="16"/>
  <c r="N339" i="16" s="1"/>
  <c r="T338" i="16"/>
  <c r="U338" i="16" s="1"/>
  <c r="V338" i="16" s="1"/>
  <c r="M338" i="16"/>
  <c r="N338" i="16" s="1"/>
  <c r="T337" i="16"/>
  <c r="M337" i="16"/>
  <c r="N337" i="16" s="1"/>
  <c r="T336" i="16"/>
  <c r="M336" i="16"/>
  <c r="N336" i="16" s="1"/>
  <c r="T335" i="16"/>
  <c r="M335" i="16"/>
  <c r="N335" i="16"/>
  <c r="U335" i="16" s="1"/>
  <c r="V335" i="16" s="1"/>
  <c r="T334" i="16"/>
  <c r="M334" i="16"/>
  <c r="N334" i="16" s="1"/>
  <c r="T333" i="16"/>
  <c r="M333" i="16"/>
  <c r="N333" i="16"/>
  <c r="T332" i="16"/>
  <c r="U332" i="16" s="1"/>
  <c r="V332" i="16" s="1"/>
  <c r="AJ332" i="16" s="1"/>
  <c r="M332" i="16"/>
  <c r="N332" i="16" s="1"/>
  <c r="O331" i="16"/>
  <c r="T331" i="16"/>
  <c r="M331" i="16"/>
  <c r="N331" i="16" s="1"/>
  <c r="T330" i="16"/>
  <c r="M330" i="16"/>
  <c r="N330" i="16"/>
  <c r="U330" i="16" s="1"/>
  <c r="V330" i="16" s="1"/>
  <c r="AJ330" i="16" s="1"/>
  <c r="T329" i="16"/>
  <c r="U329" i="16" s="1"/>
  <c r="V329" i="16" s="1"/>
  <c r="M329" i="16"/>
  <c r="N329" i="16" s="1"/>
  <c r="T328" i="16"/>
  <c r="M328" i="16"/>
  <c r="N328" i="16"/>
  <c r="U328" i="16"/>
  <c r="V328" i="16" s="1"/>
  <c r="AJ328" i="16" s="1"/>
  <c r="N327" i="16"/>
  <c r="U327" i="16"/>
  <c r="V327" i="16" s="1"/>
  <c r="AJ327" i="16" s="1"/>
  <c r="T326" i="16"/>
  <c r="M326" i="16"/>
  <c r="N326" i="16" s="1"/>
  <c r="T325" i="16"/>
  <c r="M325" i="16"/>
  <c r="N325" i="16"/>
  <c r="T324" i="16"/>
  <c r="M324" i="16"/>
  <c r="N324" i="16"/>
  <c r="T323" i="16"/>
  <c r="M323" i="16"/>
  <c r="N323" i="16" s="1"/>
  <c r="T322" i="16"/>
  <c r="U322" i="16" s="1"/>
  <c r="V322" i="16" s="1"/>
  <c r="AJ322" i="16" s="1"/>
  <c r="M322" i="16"/>
  <c r="N322" i="16" s="1"/>
  <c r="T321" i="16"/>
  <c r="M321" i="16"/>
  <c r="N321" i="16"/>
  <c r="T320" i="16"/>
  <c r="M320" i="16"/>
  <c r="N320" i="16" s="1"/>
  <c r="O319" i="16"/>
  <c r="T319" i="16" s="1"/>
  <c r="U319" i="16" s="1"/>
  <c r="V319" i="16" s="1"/>
  <c r="M319" i="16"/>
  <c r="N319" i="16"/>
  <c r="T318" i="16"/>
  <c r="M318" i="16"/>
  <c r="N318" i="16" s="1"/>
  <c r="T317" i="16"/>
  <c r="M317" i="16"/>
  <c r="N317" i="16"/>
  <c r="U317" i="16" s="1"/>
  <c r="V317" i="16" s="1"/>
  <c r="AJ317" i="16" s="1"/>
  <c r="T316" i="16"/>
  <c r="U316" i="16" s="1"/>
  <c r="V316" i="16" s="1"/>
  <c r="M316" i="16"/>
  <c r="N316" i="16" s="1"/>
  <c r="T315" i="16"/>
  <c r="M315" i="16"/>
  <c r="N315" i="16"/>
  <c r="U315" i="16"/>
  <c r="V315" i="16" s="1"/>
  <c r="AJ315" i="16" s="1"/>
  <c r="T314" i="16"/>
  <c r="M314" i="16"/>
  <c r="N314" i="16" s="1"/>
  <c r="T313" i="16"/>
  <c r="M313" i="16"/>
  <c r="N313" i="16"/>
  <c r="T312" i="16"/>
  <c r="M312" i="16"/>
  <c r="N312" i="16"/>
  <c r="T311" i="16"/>
  <c r="M311" i="16"/>
  <c r="N311" i="16" s="1"/>
  <c r="T310" i="16"/>
  <c r="M310" i="16"/>
  <c r="N310" i="16" s="1"/>
  <c r="R309" i="16"/>
  <c r="T309" i="16"/>
  <c r="U309" i="16" s="1"/>
  <c r="V309" i="16" s="1"/>
  <c r="AJ309" i="16" s="1"/>
  <c r="M309" i="16"/>
  <c r="N309" i="16" s="1"/>
  <c r="P309" i="16"/>
  <c r="R308" i="16"/>
  <c r="T308" i="16"/>
  <c r="U308" i="16" s="1"/>
  <c r="V308" i="16" s="1"/>
  <c r="AJ308" i="16" s="1"/>
  <c r="M308" i="16"/>
  <c r="N308" i="16" s="1"/>
  <c r="T307" i="16"/>
  <c r="M307" i="16"/>
  <c r="N307" i="16"/>
  <c r="R306" i="16"/>
  <c r="T306" i="16" s="1"/>
  <c r="M306" i="16"/>
  <c r="N306" i="16"/>
  <c r="T305" i="16"/>
  <c r="U305" i="16" s="1"/>
  <c r="V305" i="16" s="1"/>
  <c r="M305" i="16"/>
  <c r="N305" i="16" s="1"/>
  <c r="T304" i="16"/>
  <c r="M304" i="16"/>
  <c r="N304" i="16"/>
  <c r="R303" i="16"/>
  <c r="T303" i="16" s="1"/>
  <c r="M303" i="16"/>
  <c r="N303" i="16"/>
  <c r="R302" i="16"/>
  <c r="T302" i="16" s="1"/>
  <c r="M302" i="16"/>
  <c r="N302" i="16"/>
  <c r="R301" i="16"/>
  <c r="T301" i="16" s="1"/>
  <c r="M301" i="16"/>
  <c r="N301" i="16"/>
  <c r="P301" i="16"/>
  <c r="P302" i="16" s="1"/>
  <c r="P303" i="16" s="1"/>
  <c r="R300" i="16"/>
  <c r="T300" i="16"/>
  <c r="M300" i="16"/>
  <c r="N300" i="16" s="1"/>
  <c r="T299" i="16"/>
  <c r="U299" i="16" s="1"/>
  <c r="V299" i="16" s="1"/>
  <c r="AJ299" i="16" s="1"/>
  <c r="M299" i="16"/>
  <c r="N299" i="16" s="1"/>
  <c r="T298" i="16"/>
  <c r="M298" i="16"/>
  <c r="N298" i="16"/>
  <c r="T297" i="16"/>
  <c r="M297" i="16"/>
  <c r="N297" i="16" s="1"/>
  <c r="T296" i="16"/>
  <c r="M296" i="16"/>
  <c r="N296" i="16"/>
  <c r="U296" i="16" s="1"/>
  <c r="V296" i="16" s="1"/>
  <c r="AJ296" i="16" s="1"/>
  <c r="T295" i="16"/>
  <c r="M295" i="16"/>
  <c r="N295" i="16"/>
  <c r="T294" i="16"/>
  <c r="M294" i="16"/>
  <c r="N294" i="16" s="1"/>
  <c r="T293" i="16"/>
  <c r="R293" i="16"/>
  <c r="R294" i="16"/>
  <c r="R295" i="16" s="1"/>
  <c r="R296" i="16" s="1"/>
  <c r="R297" i="16" s="1"/>
  <c r="R298" i="16" s="1"/>
  <c r="R299" i="16" s="1"/>
  <c r="M293" i="16"/>
  <c r="N293" i="16"/>
  <c r="U293" i="16"/>
  <c r="V293" i="16" s="1"/>
  <c r="AJ293" i="16" s="1"/>
  <c r="T292" i="16"/>
  <c r="M292" i="16"/>
  <c r="N292" i="16" s="1"/>
  <c r="T291" i="16"/>
  <c r="P291" i="16"/>
  <c r="P292" i="16"/>
  <c r="P293" i="16"/>
  <c r="P294" i="16" s="1"/>
  <c r="P295" i="16" s="1"/>
  <c r="P296" i="16" s="1"/>
  <c r="P297" i="16" s="1"/>
  <c r="P298" i="16" s="1"/>
  <c r="P299" i="16" s="1"/>
  <c r="M291" i="16"/>
  <c r="N291" i="16"/>
  <c r="U291" i="16" s="1"/>
  <c r="V291" i="16" s="1"/>
  <c r="AJ291" i="16" s="1"/>
  <c r="T290" i="16"/>
  <c r="M290" i="16"/>
  <c r="N290" i="16" s="1"/>
  <c r="T289" i="16"/>
  <c r="M289" i="16"/>
  <c r="N289" i="16" s="1"/>
  <c r="T288" i="16"/>
  <c r="M288" i="16"/>
  <c r="N288" i="16"/>
  <c r="U288" i="16"/>
  <c r="V288" i="16" s="1"/>
  <c r="AJ288" i="16" s="1"/>
  <c r="R287" i="16"/>
  <c r="T287" i="16"/>
  <c r="M287" i="16"/>
  <c r="N287" i="16" s="1"/>
  <c r="R286" i="16"/>
  <c r="T286" i="16"/>
  <c r="P286" i="16"/>
  <c r="P287" i="16" s="1"/>
  <c r="M286" i="16"/>
  <c r="N286" i="16"/>
  <c r="R285" i="16"/>
  <c r="T285" i="16" s="1"/>
  <c r="M285" i="16"/>
  <c r="N285" i="16"/>
  <c r="R284" i="16"/>
  <c r="T284" i="16" s="1"/>
  <c r="P284" i="16"/>
  <c r="M284" i="16"/>
  <c r="N284" i="16" s="1"/>
  <c r="R283" i="16"/>
  <c r="T283" i="16"/>
  <c r="U283" i="16" s="1"/>
  <c r="V283" i="16" s="1"/>
  <c r="AJ284" i="16" s="1"/>
  <c r="M283" i="16"/>
  <c r="N283" i="16" s="1"/>
  <c r="T282" i="16"/>
  <c r="M282" i="16"/>
  <c r="N282" i="16"/>
  <c r="T281" i="16"/>
  <c r="M281" i="16"/>
  <c r="N281" i="16" s="1"/>
  <c r="T280" i="16"/>
  <c r="M280" i="16"/>
  <c r="N280" i="16" s="1"/>
  <c r="T279" i="16"/>
  <c r="M279" i="16"/>
  <c r="N279" i="16"/>
  <c r="U279" i="16" s="1"/>
  <c r="V279" i="16" s="1"/>
  <c r="M278" i="16"/>
  <c r="N278" i="16"/>
  <c r="S277" i="16"/>
  <c r="S278" i="16" s="1"/>
  <c r="T278" i="16" s="1"/>
  <c r="M277" i="16"/>
  <c r="N277" i="16" s="1"/>
  <c r="T276" i="16"/>
  <c r="M276" i="16"/>
  <c r="N276" i="16"/>
  <c r="T275" i="16"/>
  <c r="R275" i="16"/>
  <c r="R276" i="16"/>
  <c r="R277" i="16"/>
  <c r="R278" i="16" s="1"/>
  <c r="P275" i="16"/>
  <c r="P276" i="16"/>
  <c r="P277" i="16"/>
  <c r="P278" i="16" s="1"/>
  <c r="M275" i="16"/>
  <c r="N275" i="16"/>
  <c r="U275" i="16"/>
  <c r="V275" i="16" s="1"/>
  <c r="AJ275" i="16" s="1"/>
  <c r="T274" i="16"/>
  <c r="M274" i="16"/>
  <c r="N274" i="16" s="1"/>
  <c r="R273" i="16"/>
  <c r="T273" i="16"/>
  <c r="M273" i="16"/>
  <c r="N273" i="16" s="1"/>
  <c r="T272" i="16"/>
  <c r="M272" i="16"/>
  <c r="N272" i="16"/>
  <c r="U272" i="16" s="1"/>
  <c r="V272" i="16" s="1"/>
  <c r="AJ272" i="16" s="1"/>
  <c r="T271" i="16"/>
  <c r="M271" i="16"/>
  <c r="N271" i="16" s="1"/>
  <c r="T270" i="16"/>
  <c r="M270" i="16"/>
  <c r="N270" i="16" s="1"/>
  <c r="T269" i="16"/>
  <c r="M269" i="16"/>
  <c r="N269" i="16" s="1"/>
  <c r="R268" i="16"/>
  <c r="T268" i="16"/>
  <c r="M268" i="16"/>
  <c r="N268" i="16" s="1"/>
  <c r="R267" i="16"/>
  <c r="T267" i="16"/>
  <c r="M267" i="16"/>
  <c r="N267" i="16" s="1"/>
  <c r="T266" i="16"/>
  <c r="M266" i="16"/>
  <c r="N266" i="16" s="1"/>
  <c r="T265" i="16"/>
  <c r="M265" i="16"/>
  <c r="N265" i="16" s="1"/>
  <c r="T264" i="16"/>
  <c r="M264" i="16"/>
  <c r="N264" i="16" s="1"/>
  <c r="T263" i="16"/>
  <c r="M263" i="16"/>
  <c r="N263" i="16"/>
  <c r="U263" i="16" s="1"/>
  <c r="V263" i="16" s="1"/>
  <c r="AJ263" i="16" s="1"/>
  <c r="R262" i="16"/>
  <c r="T262" i="16" s="1"/>
  <c r="M262" i="16"/>
  <c r="N262" i="16"/>
  <c r="R261" i="16"/>
  <c r="T261" i="16" s="1"/>
  <c r="U261" i="16" s="1"/>
  <c r="V261" i="16" s="1"/>
  <c r="AJ261" i="16" s="1"/>
  <c r="M261" i="16"/>
  <c r="N261" i="16"/>
  <c r="R260" i="16"/>
  <c r="T260" i="16"/>
  <c r="M260" i="16"/>
  <c r="N260" i="16" s="1"/>
  <c r="T259" i="16"/>
  <c r="M259" i="16"/>
  <c r="N259" i="16" s="1"/>
  <c r="R258" i="16"/>
  <c r="T258" i="16" s="1"/>
  <c r="U258" i="16" s="1"/>
  <c r="V258" i="16" s="1"/>
  <c r="M258" i="16"/>
  <c r="N258" i="16"/>
  <c r="R257" i="16"/>
  <c r="T257" i="16"/>
  <c r="M257" i="16"/>
  <c r="N257" i="16" s="1"/>
  <c r="M256" i="16"/>
  <c r="N256" i="16"/>
  <c r="U256" i="16" s="1"/>
  <c r="V256" i="16" s="1"/>
  <c r="AJ256" i="16" s="1"/>
  <c r="T255" i="16"/>
  <c r="M255" i="16"/>
  <c r="N255" i="16" s="1"/>
  <c r="T254" i="16"/>
  <c r="M254" i="16"/>
  <c r="N254" i="16" s="1"/>
  <c r="T253" i="16"/>
  <c r="M253" i="16"/>
  <c r="N253" i="16"/>
  <c r="U253" i="16"/>
  <c r="V253" i="16" s="1"/>
  <c r="AJ253" i="16" s="1"/>
  <c r="T252" i="16"/>
  <c r="M252" i="16"/>
  <c r="N252" i="16" s="1"/>
  <c r="T251" i="16"/>
  <c r="M251" i="16"/>
  <c r="N251" i="16"/>
  <c r="W303" i="17"/>
  <c r="X303" i="17" s="1"/>
  <c r="Y303" i="17" s="1"/>
  <c r="W280" i="17"/>
  <c r="X280" i="17" s="1"/>
  <c r="Y280" i="17" s="1"/>
  <c r="W253" i="17"/>
  <c r="X253" i="17"/>
  <c r="Y253" i="17" s="1"/>
  <c r="J4" i="6"/>
  <c r="K4" i="6"/>
  <c r="J53" i="6"/>
  <c r="K53" i="6"/>
  <c r="J77" i="6"/>
  <c r="K77" i="6"/>
  <c r="K34" i="6"/>
  <c r="J21" i="6"/>
  <c r="K21" i="6" s="1"/>
  <c r="J73" i="6"/>
  <c r="K73" i="6"/>
  <c r="J15" i="6"/>
  <c r="K15" i="6" s="1"/>
  <c r="J72" i="6"/>
  <c r="K72" i="6" s="1"/>
  <c r="J83" i="6"/>
  <c r="K83" i="6"/>
  <c r="J7" i="6"/>
  <c r="K7" i="6"/>
  <c r="J8" i="6"/>
  <c r="K8" i="6" s="1"/>
  <c r="J78" i="6"/>
  <c r="K78" i="6"/>
  <c r="J22" i="6"/>
  <c r="K22" i="6"/>
  <c r="J9" i="6"/>
  <c r="K9" i="6"/>
  <c r="J79" i="6"/>
  <c r="K79" i="6"/>
  <c r="J56" i="6"/>
  <c r="K56" i="6"/>
  <c r="J17" i="6"/>
  <c r="K17" i="6"/>
  <c r="J6" i="6"/>
  <c r="J5" i="6"/>
  <c r="J12" i="6"/>
  <c r="J76" i="6"/>
  <c r="K76" i="6" s="1"/>
  <c r="J14" i="6"/>
  <c r="K14" i="6"/>
  <c r="K42" i="6"/>
  <c r="J19" i="6"/>
  <c r="K19" i="6"/>
  <c r="J23" i="6"/>
  <c r="K23" i="6" s="1"/>
  <c r="J81" i="6"/>
  <c r="J10" i="6"/>
  <c r="K10" i="6"/>
  <c r="K29" i="6"/>
  <c r="J75" i="6"/>
  <c r="K75" i="6"/>
  <c r="J80" i="6"/>
  <c r="K80" i="6" s="1"/>
  <c r="J18" i="6"/>
  <c r="K18" i="6"/>
  <c r="J47" i="6"/>
  <c r="K47" i="6"/>
  <c r="J3" i="6"/>
  <c r="K3" i="6"/>
  <c r="J50" i="6"/>
  <c r="K50" i="6" s="1"/>
  <c r="J49" i="6"/>
  <c r="J13" i="6"/>
  <c r="K13" i="6" s="1"/>
  <c r="J20" i="6"/>
  <c r="K20" i="6"/>
  <c r="J74" i="6"/>
  <c r="U403" i="16"/>
  <c r="V403" i="16"/>
  <c r="AJ403" i="16"/>
  <c r="U436" i="16"/>
  <c r="V436" i="16" s="1"/>
  <c r="U405" i="16"/>
  <c r="V405" i="16"/>
  <c r="U438" i="16"/>
  <c r="V438" i="16" s="1"/>
  <c r="U342" i="16"/>
  <c r="V342" i="16"/>
  <c r="AJ342" i="16"/>
  <c r="U345" i="16"/>
  <c r="V345" i="16" s="1"/>
  <c r="U411" i="16"/>
  <c r="V411" i="16" s="1"/>
  <c r="AJ411" i="16" s="1"/>
  <c r="W333" i="17"/>
  <c r="X333" i="17"/>
  <c r="U413" i="16"/>
  <c r="V413" i="16" s="1"/>
  <c r="AJ413" i="16" s="1"/>
  <c r="U435" i="16"/>
  <c r="V435" i="16" s="1"/>
  <c r="W311" i="17"/>
  <c r="X311" i="17" s="1"/>
  <c r="Y311" i="17" s="1"/>
  <c r="W318" i="17"/>
  <c r="X318" i="17" s="1"/>
  <c r="Y318" i="17" s="1"/>
  <c r="W356" i="17"/>
  <c r="X356" i="17"/>
  <c r="Y356" i="17" s="1"/>
  <c r="W364" i="17"/>
  <c r="X364" i="17"/>
  <c r="Y364" i="17"/>
  <c r="W219" i="17"/>
  <c r="X219" i="17"/>
  <c r="Y219" i="17" s="1"/>
  <c r="W211" i="17"/>
  <c r="X211" i="17"/>
  <c r="Y211" i="17"/>
  <c r="W331" i="17"/>
  <c r="X331" i="17" s="1"/>
  <c r="Y331" i="17" s="1"/>
  <c r="W261" i="17"/>
  <c r="X261" i="17" s="1"/>
  <c r="Y261" i="17" s="1"/>
  <c r="W340" i="17"/>
  <c r="X340" i="17"/>
  <c r="Y340" i="17" s="1"/>
  <c r="W347" i="17"/>
  <c r="X347" i="17"/>
  <c r="Y347" i="17"/>
  <c r="W296" i="17"/>
  <c r="X296" i="17" s="1"/>
  <c r="Y296" i="17" s="1"/>
  <c r="W348" i="17"/>
  <c r="X348" i="17"/>
  <c r="Y348" i="17" s="1"/>
  <c r="W317" i="17"/>
  <c r="X317" i="17"/>
  <c r="Y317" i="17"/>
  <c r="U434" i="16"/>
  <c r="V434" i="16" s="1"/>
  <c r="AJ434" i="16" s="1"/>
  <c r="U442" i="16"/>
  <c r="V442" i="16" s="1"/>
  <c r="AJ442" i="16" s="1"/>
  <c r="T277" i="16"/>
  <c r="U420" i="16"/>
  <c r="V420" i="16" s="1"/>
  <c r="E202"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35" i="17"/>
  <c r="E36" i="17"/>
  <c r="E37" i="17"/>
  <c r="E38" i="17"/>
  <c r="V202" i="17"/>
  <c r="O202" i="17"/>
  <c r="P202" i="17"/>
  <c r="W202" i="17"/>
  <c r="X202" i="17" s="1"/>
  <c r="Y202" i="17" s="1"/>
  <c r="Q201" i="17"/>
  <c r="V201" i="17"/>
  <c r="W201" i="17" s="1"/>
  <c r="X201" i="17" s="1"/>
  <c r="Y201" i="17" s="1"/>
  <c r="O201" i="17"/>
  <c r="P201" i="17"/>
  <c r="V200" i="17"/>
  <c r="O200" i="17"/>
  <c r="P200" i="17"/>
  <c r="V199" i="17"/>
  <c r="O199" i="17"/>
  <c r="P199" i="17"/>
  <c r="V198" i="17"/>
  <c r="O198" i="17"/>
  <c r="P198" i="17"/>
  <c r="V197" i="17"/>
  <c r="O197" i="17"/>
  <c r="P197" i="17" s="1"/>
  <c r="V196" i="17"/>
  <c r="O196" i="17"/>
  <c r="P196" i="17"/>
  <c r="W196" i="17"/>
  <c r="X196" i="17" s="1"/>
  <c r="Y196" i="17" s="1"/>
  <c r="V195" i="17"/>
  <c r="O195" i="17"/>
  <c r="P195" i="17" s="1"/>
  <c r="V194" i="17"/>
  <c r="O194" i="17"/>
  <c r="P194" i="17"/>
  <c r="V193" i="17"/>
  <c r="O193" i="17"/>
  <c r="P193" i="17"/>
  <c r="V192" i="17"/>
  <c r="O192" i="17"/>
  <c r="P192" i="17"/>
  <c r="V191" i="17"/>
  <c r="O191" i="17"/>
  <c r="P191" i="17" s="1"/>
  <c r="V190" i="17"/>
  <c r="O190" i="17"/>
  <c r="P190" i="17"/>
  <c r="V189" i="17"/>
  <c r="T189" i="17"/>
  <c r="O189" i="17"/>
  <c r="P189" i="17"/>
  <c r="V188" i="17"/>
  <c r="T188" i="17"/>
  <c r="O188" i="17"/>
  <c r="P188" i="17"/>
  <c r="V187" i="17"/>
  <c r="O187" i="17"/>
  <c r="P187" i="17"/>
  <c r="W187" i="17"/>
  <c r="X187" i="17" s="1"/>
  <c r="Y187" i="17" s="1"/>
  <c r="V186" i="17"/>
  <c r="O186" i="17"/>
  <c r="P186" i="17" s="1"/>
  <c r="V185" i="17"/>
  <c r="O185" i="17"/>
  <c r="P185" i="17"/>
  <c r="V184" i="17"/>
  <c r="O184" i="17"/>
  <c r="P184" i="17"/>
  <c r="W184" i="17"/>
  <c r="X184" i="17" s="1"/>
  <c r="Y184" i="17" s="1"/>
  <c r="V183" i="17"/>
  <c r="O183" i="17"/>
  <c r="P183" i="17" s="1"/>
  <c r="V182" i="17"/>
  <c r="O182" i="17"/>
  <c r="P182" i="17"/>
  <c r="V181" i="17"/>
  <c r="W181" i="17" s="1"/>
  <c r="X181" i="17" s="1"/>
  <c r="Y181" i="17" s="1"/>
  <c r="O181" i="17"/>
  <c r="P181" i="17"/>
  <c r="V180" i="17"/>
  <c r="O180" i="17"/>
  <c r="P180" i="17"/>
  <c r="V179" i="17"/>
  <c r="O179" i="17"/>
  <c r="P179" i="17"/>
  <c r="W179" i="17"/>
  <c r="X179" i="17" s="1"/>
  <c r="Y179" i="17" s="1"/>
  <c r="V178" i="17"/>
  <c r="O178" i="17"/>
  <c r="P178" i="17" s="1"/>
  <c r="V177" i="17"/>
  <c r="O177" i="17"/>
  <c r="P177" i="17"/>
  <c r="V176" i="17"/>
  <c r="W176" i="17" s="1"/>
  <c r="X176" i="17" s="1"/>
  <c r="Y176" i="17" s="1"/>
  <c r="O176" i="17"/>
  <c r="P176" i="17"/>
  <c r="V175" i="17"/>
  <c r="O175" i="17"/>
  <c r="P175" i="17"/>
  <c r="V174" i="17"/>
  <c r="O174" i="17"/>
  <c r="P174" i="17"/>
  <c r="W174" i="17"/>
  <c r="X174" i="17" s="1"/>
  <c r="Y174" i="17" s="1"/>
  <c r="V173" i="17"/>
  <c r="O173" i="17"/>
  <c r="P173" i="17" s="1"/>
  <c r="V172" i="17"/>
  <c r="O172" i="17"/>
  <c r="P172" i="17"/>
  <c r="V171" i="17"/>
  <c r="O171" i="17"/>
  <c r="P171" i="17"/>
  <c r="W171" i="17"/>
  <c r="X171" i="17" s="1"/>
  <c r="Y171" i="17" s="1"/>
  <c r="Q170" i="17"/>
  <c r="V170" i="17"/>
  <c r="O170" i="17"/>
  <c r="P170" i="17" s="1"/>
  <c r="V169" i="17"/>
  <c r="O169" i="17"/>
  <c r="P169" i="17" s="1"/>
  <c r="V168" i="17"/>
  <c r="O168" i="17"/>
  <c r="P168" i="17"/>
  <c r="W168" i="17"/>
  <c r="X168" i="17" s="1"/>
  <c r="Y168" i="17" s="1"/>
  <c r="O167" i="17"/>
  <c r="P167" i="17"/>
  <c r="W167" i="17"/>
  <c r="X167" i="17" s="1"/>
  <c r="Y167" i="17" s="1"/>
  <c r="V166" i="17"/>
  <c r="O166" i="17"/>
  <c r="P166" i="17" s="1"/>
  <c r="V165" i="17"/>
  <c r="O165" i="17"/>
  <c r="P165" i="17" s="1"/>
  <c r="V164" i="17"/>
  <c r="O164" i="17"/>
  <c r="P164" i="17"/>
  <c r="W164" i="17"/>
  <c r="X164" i="17" s="1"/>
  <c r="Y164" i="17" s="1"/>
  <c r="V163" i="17"/>
  <c r="O163" i="17"/>
  <c r="P163" i="17"/>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T250" i="16"/>
  <c r="M250" i="16"/>
  <c r="N250" i="16" s="1"/>
  <c r="U250" i="16" s="1"/>
  <c r="V250" i="16" s="1"/>
  <c r="AJ250" i="16" s="1"/>
  <c r="O249" i="16"/>
  <c r="T249" i="16" s="1"/>
  <c r="M249" i="16"/>
  <c r="N249" i="16"/>
  <c r="T248" i="16"/>
  <c r="M248" i="16"/>
  <c r="N248" i="16" s="1"/>
  <c r="T247" i="16"/>
  <c r="U247" i="16" s="1"/>
  <c r="V247" i="16" s="1"/>
  <c r="M247" i="16"/>
  <c r="N247" i="16"/>
  <c r="T246" i="16"/>
  <c r="M246" i="16"/>
  <c r="N246" i="16"/>
  <c r="T245" i="16"/>
  <c r="M245" i="16"/>
  <c r="N245" i="16"/>
  <c r="T244" i="16"/>
  <c r="M244" i="16"/>
  <c r="N244" i="16" s="1"/>
  <c r="T243" i="16"/>
  <c r="M243" i="16"/>
  <c r="N243" i="16" s="1"/>
  <c r="T242" i="16"/>
  <c r="U242" i="16" s="1"/>
  <c r="M242" i="16"/>
  <c r="N242" i="16"/>
  <c r="V242" i="16"/>
  <c r="AJ242" i="16" s="1"/>
  <c r="T241" i="16"/>
  <c r="M241" i="16"/>
  <c r="N241" i="16"/>
  <c r="T240" i="16"/>
  <c r="M240" i="16"/>
  <c r="N240" i="16" s="1"/>
  <c r="T239" i="16"/>
  <c r="M239" i="16"/>
  <c r="N239" i="16"/>
  <c r="T238" i="16"/>
  <c r="M238" i="16"/>
  <c r="N238" i="16" s="1"/>
  <c r="T237" i="16"/>
  <c r="M237" i="16"/>
  <c r="N237" i="16" s="1"/>
  <c r="T236" i="16"/>
  <c r="M236" i="16"/>
  <c r="N236" i="16"/>
  <c r="U236" i="16"/>
  <c r="V236" i="16" s="1"/>
  <c r="AJ236" i="16" s="1"/>
  <c r="T235" i="16"/>
  <c r="M235" i="16"/>
  <c r="N235" i="16"/>
  <c r="T234" i="16"/>
  <c r="N234" i="16"/>
  <c r="U234" i="16"/>
  <c r="V234" i="16"/>
  <c r="AJ234" i="16" s="1"/>
  <c r="T233" i="16"/>
  <c r="N233" i="16"/>
  <c r="U233" i="16"/>
  <c r="V233" i="16" s="1"/>
  <c r="AJ233" i="16"/>
  <c r="T232" i="16"/>
  <c r="M232" i="16"/>
  <c r="N232" i="16" s="1"/>
  <c r="U232" i="16"/>
  <c r="V232" i="16"/>
  <c r="AJ232" i="16" s="1"/>
  <c r="T231" i="16"/>
  <c r="R231" i="16"/>
  <c r="M231" i="16"/>
  <c r="N231" i="16" s="1"/>
  <c r="T230" i="16"/>
  <c r="M230" i="16"/>
  <c r="N230" i="16" s="1"/>
  <c r="T229" i="16"/>
  <c r="M229" i="16"/>
  <c r="N229" i="16"/>
  <c r="U229" i="16" s="1"/>
  <c r="V229" i="16" s="1"/>
  <c r="AJ229" i="16" s="1"/>
  <c r="T228" i="16"/>
  <c r="M228" i="16"/>
  <c r="N228" i="16"/>
  <c r="T227" i="16"/>
  <c r="M227" i="16"/>
  <c r="N227" i="16"/>
  <c r="T226" i="16"/>
  <c r="U226" i="16" s="1"/>
  <c r="V226" i="16" s="1"/>
  <c r="M226" i="16"/>
  <c r="N226" i="16"/>
  <c r="T225" i="16"/>
  <c r="M225" i="16"/>
  <c r="N225" i="16"/>
  <c r="T224" i="16"/>
  <c r="M224" i="16"/>
  <c r="N224" i="16" s="1"/>
  <c r="T223" i="16"/>
  <c r="M223" i="16"/>
  <c r="N223" i="16"/>
  <c r="T222" i="16"/>
  <c r="M222" i="16"/>
  <c r="N222" i="16" s="1"/>
  <c r="T221" i="16"/>
  <c r="M221" i="16"/>
  <c r="N221" i="16"/>
  <c r="T220" i="16"/>
  <c r="M220" i="16"/>
  <c r="N220" i="16" s="1"/>
  <c r="U220" i="16"/>
  <c r="V220" i="16" s="1"/>
  <c r="T219" i="16"/>
  <c r="N219" i="16"/>
  <c r="T218" i="16"/>
  <c r="M218" i="16"/>
  <c r="N218" i="16" s="1"/>
  <c r="U218" i="16" s="1"/>
  <c r="V218" i="16" s="1"/>
  <c r="AJ218" i="16" s="1"/>
  <c r="T217" i="16"/>
  <c r="U217" i="16" s="1"/>
  <c r="V217" i="16" s="1"/>
  <c r="AJ217" i="16" s="1"/>
  <c r="M217" i="16"/>
  <c r="N217" i="16" s="1"/>
  <c r="T216" i="16"/>
  <c r="M216" i="16"/>
  <c r="N216" i="16"/>
  <c r="T215" i="16"/>
  <c r="M215" i="16"/>
  <c r="N215" i="16"/>
  <c r="U215" i="16"/>
  <c r="V215" i="16" s="1"/>
  <c r="T214" i="16"/>
  <c r="M214" i="16"/>
  <c r="N214" i="16"/>
  <c r="T213" i="16"/>
  <c r="M213" i="16"/>
  <c r="N213" i="16" s="1"/>
  <c r="T212" i="16"/>
  <c r="M212" i="16"/>
  <c r="N212" i="16" s="1"/>
  <c r="U212" i="16" s="1"/>
  <c r="V212" i="16" s="1"/>
  <c r="AJ212" i="16" s="1"/>
  <c r="T211" i="16"/>
  <c r="M211" i="16"/>
  <c r="N211" i="16" s="1"/>
  <c r="T210" i="16"/>
  <c r="M210" i="16"/>
  <c r="N210" i="16"/>
  <c r="O209" i="16"/>
  <c r="T209" i="16" s="1"/>
  <c r="M209" i="16"/>
  <c r="N209" i="16"/>
  <c r="T208" i="16"/>
  <c r="M208" i="16"/>
  <c r="N208" i="16" s="1"/>
  <c r="T207" i="16"/>
  <c r="M207" i="16"/>
  <c r="N207" i="16" s="1"/>
  <c r="T206" i="16"/>
  <c r="M206" i="16"/>
  <c r="N206" i="16"/>
  <c r="U206" i="16" s="1"/>
  <c r="V206" i="16" s="1"/>
  <c r="T205" i="16"/>
  <c r="M205" i="16"/>
  <c r="N205" i="16" s="1"/>
  <c r="U205" i="16" s="1"/>
  <c r="V205" i="16" s="1"/>
  <c r="AJ205" i="16" s="1"/>
  <c r="T204" i="16"/>
  <c r="M204" i="16"/>
  <c r="N204" i="16"/>
  <c r="T203" i="16"/>
  <c r="M203" i="16"/>
  <c r="N203" i="16"/>
  <c r="T202" i="16"/>
  <c r="M202" i="16"/>
  <c r="N202" i="16"/>
  <c r="T201" i="16"/>
  <c r="M201" i="16"/>
  <c r="N201" i="16" s="1"/>
  <c r="T200" i="16"/>
  <c r="M200" i="16"/>
  <c r="N200" i="16" s="1"/>
  <c r="U200" i="16"/>
  <c r="V200" i="16" s="1"/>
  <c r="AJ200" i="16" s="1"/>
  <c r="V162" i="17"/>
  <c r="O162" i="17"/>
  <c r="P162" i="17" s="1"/>
  <c r="W162" i="17" s="1"/>
  <c r="X162" i="17" s="1"/>
  <c r="Y162" i="17" s="1"/>
  <c r="X161" i="17"/>
  <c r="Y161" i="17"/>
  <c r="O161" i="17"/>
  <c r="P161" i="17" s="1"/>
  <c r="V160" i="17"/>
  <c r="O160" i="17"/>
  <c r="P160" i="17" s="1"/>
  <c r="V159" i="17"/>
  <c r="O159" i="17"/>
  <c r="P159" i="17"/>
  <c r="V158" i="17"/>
  <c r="O158" i="17"/>
  <c r="P158" i="17" s="1"/>
  <c r="V157" i="17"/>
  <c r="O157" i="17"/>
  <c r="P157" i="17" s="1"/>
  <c r="V156" i="17"/>
  <c r="O156" i="17"/>
  <c r="P156" i="17" s="1"/>
  <c r="W156" i="17" s="1"/>
  <c r="V155" i="17"/>
  <c r="O155" i="17"/>
  <c r="P155" i="17"/>
  <c r="W155" i="17" s="1"/>
  <c r="X155" i="17" s="1"/>
  <c r="Y155" i="17" s="1"/>
  <c r="V154" i="17"/>
  <c r="O154" i="17"/>
  <c r="P154" i="17"/>
  <c r="V153" i="17"/>
  <c r="O153" i="17"/>
  <c r="P153" i="17" s="1"/>
  <c r="V152" i="17"/>
  <c r="O152" i="17"/>
  <c r="P152" i="17" s="1"/>
  <c r="W152" i="17" s="1"/>
  <c r="X152" i="17" s="1"/>
  <c r="Y152" i="17" s="1"/>
  <c r="V151" i="17"/>
  <c r="T151" i="17"/>
  <c r="O151" i="17"/>
  <c r="P151" i="17" s="1"/>
  <c r="V150" i="17"/>
  <c r="O150" i="17"/>
  <c r="P150" i="17"/>
  <c r="V149" i="17"/>
  <c r="O149" i="17"/>
  <c r="P149" i="17"/>
  <c r="W149" i="17"/>
  <c r="X149" i="17" s="1"/>
  <c r="Y149" i="17" s="1"/>
  <c r="V148" i="17"/>
  <c r="O148" i="17"/>
  <c r="P148" i="17"/>
  <c r="W148" i="17" s="1"/>
  <c r="X148" i="17" s="1"/>
  <c r="Y148" i="17" s="1"/>
  <c r="Q147" i="17"/>
  <c r="V147" i="17"/>
  <c r="O147" i="17"/>
  <c r="P147" i="17" s="1"/>
  <c r="W147" i="17" s="1"/>
  <c r="X147" i="17" s="1"/>
  <c r="V146" i="17"/>
  <c r="O146" i="17"/>
  <c r="P146" i="17"/>
  <c r="V145" i="17"/>
  <c r="O145" i="17"/>
  <c r="P145" i="17"/>
  <c r="V144" i="17"/>
  <c r="W144" i="17" s="1"/>
  <c r="X144" i="17" s="1"/>
  <c r="Y144" i="17" s="1"/>
  <c r="O144" i="17"/>
  <c r="P144" i="17" s="1"/>
  <c r="T143" i="17"/>
  <c r="V143" i="17"/>
  <c r="O143" i="17"/>
  <c r="P143" i="17"/>
  <c r="V142" i="17"/>
  <c r="O142" i="17"/>
  <c r="P142" i="17" s="1"/>
  <c r="V141" i="17"/>
  <c r="O141" i="17"/>
  <c r="P141" i="17" s="1"/>
  <c r="V140" i="17"/>
  <c r="O140" i="17"/>
  <c r="P140" i="17" s="1"/>
  <c r="V139" i="17"/>
  <c r="O139" i="17"/>
  <c r="P139" i="17"/>
  <c r="W139" i="17" s="1"/>
  <c r="X139" i="17" s="1"/>
  <c r="Y139" i="17" s="1"/>
  <c r="V138" i="17"/>
  <c r="O138" i="17"/>
  <c r="P138" i="17" s="1"/>
  <c r="W138" i="17" s="1"/>
  <c r="X138" i="17" s="1"/>
  <c r="Y138" i="17" s="1"/>
  <c r="V137" i="17"/>
  <c r="O137" i="17"/>
  <c r="P137" i="17"/>
  <c r="V136" i="17"/>
  <c r="O136" i="17"/>
  <c r="P136" i="17" s="1"/>
  <c r="V135" i="17"/>
  <c r="O135" i="17"/>
  <c r="P135" i="17" s="1"/>
  <c r="V134" i="17"/>
  <c r="O134" i="17"/>
  <c r="P134" i="17"/>
  <c r="W134" i="17" s="1"/>
  <c r="X134" i="17" s="1"/>
  <c r="Y134" i="17" s="1"/>
  <c r="V133" i="17"/>
  <c r="O133" i="17"/>
  <c r="P133" i="17"/>
  <c r="T132" i="17"/>
  <c r="V132" i="17" s="1"/>
  <c r="O132" i="17"/>
  <c r="P132" i="17"/>
  <c r="T131" i="17"/>
  <c r="V131" i="17" s="1"/>
  <c r="O131" i="17"/>
  <c r="P131" i="17"/>
  <c r="T199" i="16"/>
  <c r="U199" i="16" s="1"/>
  <c r="V199" i="16" s="1"/>
  <c r="AJ199" i="16" s="1"/>
  <c r="M199" i="16"/>
  <c r="N199" i="16" s="1"/>
  <c r="T198" i="16"/>
  <c r="M198" i="16"/>
  <c r="N198" i="16" s="1"/>
  <c r="T197" i="16"/>
  <c r="M197" i="16"/>
  <c r="N197" i="16"/>
  <c r="T196" i="16"/>
  <c r="M196" i="16"/>
  <c r="N196" i="16" s="1"/>
  <c r="U196" i="16" s="1"/>
  <c r="V196" i="16" s="1"/>
  <c r="AJ196" i="16" s="1"/>
  <c r="V195" i="16"/>
  <c r="AJ195" i="16" s="1"/>
  <c r="M195" i="16"/>
  <c r="N195" i="16" s="1"/>
  <c r="T194" i="16"/>
  <c r="M194" i="16"/>
  <c r="N194" i="16" s="1"/>
  <c r="U194" i="16" s="1"/>
  <c r="V194" i="16" s="1"/>
  <c r="T193" i="16"/>
  <c r="M193" i="16"/>
  <c r="N193" i="16"/>
  <c r="T192" i="16"/>
  <c r="M192" i="16"/>
  <c r="N192" i="16"/>
  <c r="T191" i="16"/>
  <c r="U191" i="16" s="1"/>
  <c r="V191" i="16" s="1"/>
  <c r="AJ191" i="16" s="1"/>
  <c r="M191" i="16"/>
  <c r="N191" i="16" s="1"/>
  <c r="T190" i="16"/>
  <c r="M190" i="16"/>
  <c r="N190" i="16" s="1"/>
  <c r="T189" i="16"/>
  <c r="M189" i="16"/>
  <c r="N189" i="16"/>
  <c r="R188" i="16"/>
  <c r="T188" i="16" s="1"/>
  <c r="M188" i="16"/>
  <c r="N188" i="16" s="1"/>
  <c r="U188" i="16"/>
  <c r="V188" i="16" s="1"/>
  <c r="AJ188" i="16" s="1"/>
  <c r="R187" i="16"/>
  <c r="T187" i="16" s="1"/>
  <c r="M187" i="16"/>
  <c r="N187" i="16"/>
  <c r="T186" i="16"/>
  <c r="M186" i="16"/>
  <c r="N186" i="16"/>
  <c r="T185" i="16"/>
  <c r="M185" i="16"/>
  <c r="N185" i="16" s="1"/>
  <c r="T184" i="16"/>
  <c r="M184" i="16"/>
  <c r="N184" i="16"/>
  <c r="T183" i="16"/>
  <c r="M183" i="16"/>
  <c r="N183" i="16" s="1"/>
  <c r="T182" i="16"/>
  <c r="M182" i="16"/>
  <c r="N182" i="16"/>
  <c r="T181" i="16"/>
  <c r="M181" i="16"/>
  <c r="N181" i="16" s="1"/>
  <c r="T180" i="16"/>
  <c r="M180" i="16"/>
  <c r="N180" i="16" s="1"/>
  <c r="T179" i="16"/>
  <c r="M179" i="16"/>
  <c r="N179" i="16" s="1"/>
  <c r="T178" i="16"/>
  <c r="M178" i="16"/>
  <c r="N178" i="16"/>
  <c r="U178" i="16" s="1"/>
  <c r="V178" i="16" s="1"/>
  <c r="AJ178" i="16" s="1"/>
  <c r="R177" i="16"/>
  <c r="T177" i="16" s="1"/>
  <c r="M177" i="16"/>
  <c r="N177" i="16"/>
  <c r="R176" i="16"/>
  <c r="T176" i="16" s="1"/>
  <c r="M176" i="16"/>
  <c r="N176" i="16"/>
  <c r="T175" i="16"/>
  <c r="M175" i="16"/>
  <c r="N175" i="16" s="1"/>
  <c r="R174" i="16"/>
  <c r="T174" i="16"/>
  <c r="M174" i="16"/>
  <c r="N174" i="16" s="1"/>
  <c r="T173" i="16"/>
  <c r="U173" i="16"/>
  <c r="V173" i="16" s="1"/>
  <c r="AJ173" i="16" s="1"/>
  <c r="M173" i="16"/>
  <c r="T172" i="16"/>
  <c r="M172" i="16"/>
  <c r="N172" i="16"/>
  <c r="U172" i="16" s="1"/>
  <c r="V172" i="16" s="1"/>
  <c r="AJ172" i="16" s="1"/>
  <c r="T171" i="16"/>
  <c r="M171" i="16"/>
  <c r="N171" i="16"/>
  <c r="T170" i="16"/>
  <c r="M170" i="16"/>
  <c r="N170" i="16" s="1"/>
  <c r="T169" i="16"/>
  <c r="M169" i="16"/>
  <c r="N169" i="16"/>
  <c r="U169" i="16" s="1"/>
  <c r="V169" i="16" s="1"/>
  <c r="T168" i="16"/>
  <c r="M168" i="16"/>
  <c r="N168" i="16" s="1"/>
  <c r="T167" i="16"/>
  <c r="M167" i="16"/>
  <c r="N167" i="16"/>
  <c r="M166" i="16"/>
  <c r="N166" i="16"/>
  <c r="U166" i="16" s="1"/>
  <c r="V166" i="16" s="1"/>
  <c r="T165" i="16"/>
  <c r="M165" i="16"/>
  <c r="N165" i="16" s="1"/>
  <c r="T164" i="16"/>
  <c r="U164" i="16" s="1"/>
  <c r="V164" i="16" s="1"/>
  <c r="AJ164" i="16" s="1"/>
  <c r="M164" i="16"/>
  <c r="N164" i="16"/>
  <c r="T163" i="16"/>
  <c r="M163" i="16"/>
  <c r="N163" i="16"/>
  <c r="R162" i="16"/>
  <c r="T162" i="16"/>
  <c r="M162" i="16"/>
  <c r="N162" i="16"/>
  <c r="R161" i="16"/>
  <c r="T161" i="16"/>
  <c r="M161" i="16"/>
  <c r="N161" i="16"/>
  <c r="R160" i="16"/>
  <c r="T160" i="16"/>
  <c r="M160" i="16"/>
  <c r="N160" i="16"/>
  <c r="R159" i="16"/>
  <c r="T159" i="16"/>
  <c r="M159" i="16"/>
  <c r="N159" i="16"/>
  <c r="V130" i="17"/>
  <c r="O130" i="17"/>
  <c r="P130" i="17" s="1"/>
  <c r="W130" i="17" s="1"/>
  <c r="V129" i="17"/>
  <c r="O129" i="17"/>
  <c r="P129" i="17" s="1"/>
  <c r="W129" i="17"/>
  <c r="X129" i="17" s="1"/>
  <c r="Y129" i="17" s="1"/>
  <c r="V128" i="17"/>
  <c r="P128" i="17"/>
  <c r="W128" i="17"/>
  <c r="X128" i="17" s="1"/>
  <c r="Y128" i="17" s="1"/>
  <c r="V127" i="17"/>
  <c r="O127" i="17"/>
  <c r="P127" i="17"/>
  <c r="V126" i="17"/>
  <c r="O126" i="17"/>
  <c r="P126" i="17"/>
  <c r="W126" i="17"/>
  <c r="X126" i="17" s="1"/>
  <c r="Y126" i="17" s="1"/>
  <c r="T125" i="17"/>
  <c r="V125" i="17"/>
  <c r="O125" i="17"/>
  <c r="P125" i="17"/>
  <c r="T124" i="17"/>
  <c r="V124" i="17"/>
  <c r="W124" i="17" s="1"/>
  <c r="O124" i="17"/>
  <c r="P124" i="17"/>
  <c r="X124" i="17"/>
  <c r="Y124" i="17" s="1"/>
  <c r="V123" i="17"/>
  <c r="O123" i="17"/>
  <c r="P123" i="17" s="1"/>
  <c r="V122" i="17"/>
  <c r="P122" i="17"/>
  <c r="T121" i="17"/>
  <c r="V121" i="17"/>
  <c r="O121" i="17"/>
  <c r="P121" i="17" s="1"/>
  <c r="T120" i="17"/>
  <c r="V120" i="17"/>
  <c r="O120" i="17"/>
  <c r="P120" i="17" s="1"/>
  <c r="T119" i="17"/>
  <c r="V119" i="17"/>
  <c r="P119" i="17"/>
  <c r="W119" i="17"/>
  <c r="X119" i="17" s="1"/>
  <c r="Y119" i="17"/>
  <c r="V118" i="17"/>
  <c r="O118" i="17"/>
  <c r="P118" i="17" s="1"/>
  <c r="W118" i="17"/>
  <c r="X118" i="17"/>
  <c r="Y118" i="17" s="1"/>
  <c r="V117" i="17"/>
  <c r="O117" i="17"/>
  <c r="P117" i="17" s="1"/>
  <c r="W117" i="17" s="1"/>
  <c r="X117" i="17" s="1"/>
  <c r="Y117" i="17" s="1"/>
  <c r="V116" i="17"/>
  <c r="O116" i="17"/>
  <c r="P116" i="17" s="1"/>
  <c r="V115" i="17"/>
  <c r="O115" i="17"/>
  <c r="P115" i="17"/>
  <c r="V114" i="17"/>
  <c r="O114" i="17"/>
  <c r="P114" i="17"/>
  <c r="V113" i="17"/>
  <c r="O113" i="17"/>
  <c r="P113" i="17" s="1"/>
  <c r="V112" i="17"/>
  <c r="O112" i="17"/>
  <c r="P112" i="17" s="1"/>
  <c r="T111" i="17"/>
  <c r="V111" i="17"/>
  <c r="O111" i="17"/>
  <c r="P111" i="17" s="1"/>
  <c r="V110" i="17"/>
  <c r="O110" i="17"/>
  <c r="P110" i="17"/>
  <c r="W110" i="17" s="1"/>
  <c r="X110" i="17" s="1"/>
  <c r="V109" i="17"/>
  <c r="O109" i="17"/>
  <c r="P109" i="17"/>
  <c r="W109" i="17"/>
  <c r="X109" i="17" s="1"/>
  <c r="Y109" i="17" s="1"/>
  <c r="V108" i="17"/>
  <c r="O108" i="17"/>
  <c r="P108" i="17"/>
  <c r="V107" i="17"/>
  <c r="W107" i="17" s="1"/>
  <c r="X107" i="17" s="1"/>
  <c r="Y107" i="17" s="1"/>
  <c r="P107" i="17"/>
  <c r="T106" i="17"/>
  <c r="V106" i="17"/>
  <c r="O106" i="17"/>
  <c r="P106" i="17"/>
  <c r="Q105" i="17"/>
  <c r="V105" i="17"/>
  <c r="P105" i="17"/>
  <c r="T104" i="17"/>
  <c r="V104" i="17" s="1"/>
  <c r="O104" i="17"/>
  <c r="P104" i="17" s="1"/>
  <c r="T103" i="17"/>
  <c r="V103" i="17" s="1"/>
  <c r="O103" i="17"/>
  <c r="P103" i="17"/>
  <c r="W103" i="17" s="1"/>
  <c r="X103" i="17" s="1"/>
  <c r="Y103" i="17" s="1"/>
  <c r="V102" i="17"/>
  <c r="O102" i="17"/>
  <c r="P102" i="17" s="1"/>
  <c r="V101" i="17"/>
  <c r="O101" i="17"/>
  <c r="P101" i="17" s="1"/>
  <c r="W101" i="17"/>
  <c r="X101" i="17" s="1"/>
  <c r="Y101" i="17" s="1"/>
  <c r="V100" i="17"/>
  <c r="O100" i="17"/>
  <c r="P100" i="17" s="1"/>
  <c r="W100" i="17"/>
  <c r="X100" i="17" s="1"/>
  <c r="Y100" i="17" s="1"/>
  <c r="V99" i="17"/>
  <c r="O99" i="17"/>
  <c r="P99" i="17"/>
  <c r="W99" i="17" s="1"/>
  <c r="X99" i="17" s="1"/>
  <c r="Y99" i="17" s="1"/>
  <c r="T158" i="16"/>
  <c r="M158" i="16"/>
  <c r="N158" i="16" s="1"/>
  <c r="T157" i="16"/>
  <c r="M157" i="16"/>
  <c r="N157" i="16"/>
  <c r="T156" i="16"/>
  <c r="M156" i="16"/>
  <c r="N156" i="16" s="1"/>
  <c r="U156" i="16"/>
  <c r="V156" i="16" s="1"/>
  <c r="AM156" i="16" s="1"/>
  <c r="T155" i="16"/>
  <c r="M155" i="16"/>
  <c r="N155" i="16" s="1"/>
  <c r="T154" i="16"/>
  <c r="N154" i="16"/>
  <c r="T153" i="16"/>
  <c r="M153" i="16"/>
  <c r="N153" i="16"/>
  <c r="T152" i="16"/>
  <c r="M152" i="16"/>
  <c r="N152" i="16" s="1"/>
  <c r="T151" i="16"/>
  <c r="M151" i="16"/>
  <c r="N151" i="16" s="1"/>
  <c r="T150" i="16"/>
  <c r="M150" i="16"/>
  <c r="N150" i="16"/>
  <c r="U150" i="16" s="1"/>
  <c r="V150" i="16" s="1"/>
  <c r="AM150" i="16" s="1"/>
  <c r="R149" i="16"/>
  <c r="T149" i="16"/>
  <c r="M149" i="16"/>
  <c r="N149" i="16" s="1"/>
  <c r="R148" i="16"/>
  <c r="T148" i="16"/>
  <c r="M148" i="16"/>
  <c r="N148" i="16" s="1"/>
  <c r="O147" i="16"/>
  <c r="R147" i="16" s="1"/>
  <c r="T147" i="16"/>
  <c r="M147" i="16"/>
  <c r="N147" i="16" s="1"/>
  <c r="U147" i="16" s="1"/>
  <c r="V147" i="16" s="1"/>
  <c r="R146" i="16"/>
  <c r="T146" i="16"/>
  <c r="N146" i="16"/>
  <c r="R145" i="16"/>
  <c r="T145" i="16"/>
  <c r="M145" i="16"/>
  <c r="N145" i="16" s="1"/>
  <c r="R144" i="16"/>
  <c r="T144" i="16"/>
  <c r="U144" i="16" s="1"/>
  <c r="V144" i="16" s="1"/>
  <c r="M144" i="16"/>
  <c r="N144" i="16" s="1"/>
  <c r="O143" i="16"/>
  <c r="R143" i="16"/>
  <c r="T143" i="16"/>
  <c r="M143" i="16"/>
  <c r="N143" i="16" s="1"/>
  <c r="T142" i="16"/>
  <c r="M142" i="16"/>
  <c r="N142" i="16" s="1"/>
  <c r="T141" i="16"/>
  <c r="M141" i="16"/>
  <c r="N141" i="16" s="1"/>
  <c r="T140" i="16"/>
  <c r="M140" i="16"/>
  <c r="N140" i="16" s="1"/>
  <c r="T139" i="16"/>
  <c r="M139" i="16"/>
  <c r="N139" i="16"/>
  <c r="U139" i="16" s="1"/>
  <c r="V139" i="16" s="1"/>
  <c r="AM139" i="16"/>
  <c r="T138" i="16"/>
  <c r="M138" i="16"/>
  <c r="N138" i="16" s="1"/>
  <c r="U138" i="16"/>
  <c r="V138" i="16"/>
  <c r="AM138" i="16" s="1"/>
  <c r="T137" i="16"/>
  <c r="M137" i="16"/>
  <c r="N137" i="16"/>
  <c r="T136" i="16"/>
  <c r="M136" i="16"/>
  <c r="N136" i="16"/>
  <c r="T135" i="16"/>
  <c r="M135" i="16"/>
  <c r="N135" i="16" s="1"/>
  <c r="U135" i="16" s="1"/>
  <c r="V135" i="16" s="1"/>
  <c r="T134" i="16"/>
  <c r="M134" i="16"/>
  <c r="N134" i="16" s="1"/>
  <c r="O133" i="16"/>
  <c r="T133" i="16"/>
  <c r="M133" i="16"/>
  <c r="N133" i="16" s="1"/>
  <c r="O132" i="16"/>
  <c r="R132" i="16"/>
  <c r="T132" i="16"/>
  <c r="M132" i="16"/>
  <c r="N132" i="16" s="1"/>
  <c r="T131" i="16"/>
  <c r="M131" i="16"/>
  <c r="N131" i="16" s="1"/>
  <c r="T130" i="16"/>
  <c r="M130" i="16"/>
  <c r="N130" i="16"/>
  <c r="T129" i="16"/>
  <c r="M129" i="16"/>
  <c r="N129" i="16"/>
  <c r="U129" i="16"/>
  <c r="V129" i="16" s="1"/>
  <c r="AM129" i="16" s="1"/>
  <c r="T128" i="16"/>
  <c r="M128" i="16"/>
  <c r="N128" i="16" s="1"/>
  <c r="T127" i="16"/>
  <c r="M127" i="16"/>
  <c r="N127" i="16"/>
  <c r="T126" i="16"/>
  <c r="U126" i="16" s="1"/>
  <c r="N126" i="16"/>
  <c r="V126" i="16"/>
  <c r="AM126" i="16" s="1"/>
  <c r="R125" i="16"/>
  <c r="T125" i="16" s="1"/>
  <c r="M125" i="16"/>
  <c r="N125" i="16"/>
  <c r="R124" i="16"/>
  <c r="T124" i="16" s="1"/>
  <c r="M124" i="16"/>
  <c r="N124" i="16"/>
  <c r="R123" i="16"/>
  <c r="T123" i="16" s="1"/>
  <c r="U123" i="16" s="1"/>
  <c r="V123" i="16" s="1"/>
  <c r="M123" i="16"/>
  <c r="N123" i="16"/>
  <c r="R122" i="16"/>
  <c r="T122" i="16"/>
  <c r="M122" i="16"/>
  <c r="N122" i="16" s="1"/>
  <c r="T121" i="16"/>
  <c r="M121" i="16"/>
  <c r="N121" i="16" s="1"/>
  <c r="T120" i="16"/>
  <c r="M120" i="16"/>
  <c r="N120" i="16"/>
  <c r="U120" i="16" s="1"/>
  <c r="V120" i="16" s="1"/>
  <c r="T119" i="16"/>
  <c r="M119" i="16"/>
  <c r="N119" i="16" s="1"/>
  <c r="T118" i="16"/>
  <c r="M118" i="16"/>
  <c r="N118" i="16" s="1"/>
  <c r="T117" i="16"/>
  <c r="M117" i="16"/>
  <c r="N117" i="16"/>
  <c r="T116" i="16"/>
  <c r="M116" i="16"/>
  <c r="N116" i="16"/>
  <c r="V98" i="17"/>
  <c r="W98" i="17" s="1"/>
  <c r="X98" i="17" s="1"/>
  <c r="Y98" i="17" s="1"/>
  <c r="O98" i="17"/>
  <c r="P98" i="17" s="1"/>
  <c r="T97" i="17"/>
  <c r="V97" i="17"/>
  <c r="W97" i="17" s="1"/>
  <c r="X97" i="17" s="1"/>
  <c r="Y97" i="17" s="1"/>
  <c r="O97" i="17"/>
  <c r="P97" i="17" s="1"/>
  <c r="T96" i="17"/>
  <c r="V96" i="17" s="1"/>
  <c r="O96" i="17"/>
  <c r="P96" i="17"/>
  <c r="V95" i="17"/>
  <c r="P95" i="17"/>
  <c r="V94" i="17"/>
  <c r="O94" i="17"/>
  <c r="P94" i="17" s="1"/>
  <c r="V93" i="17"/>
  <c r="P93" i="17"/>
  <c r="V92" i="17"/>
  <c r="O92" i="17"/>
  <c r="P92" i="17" s="1"/>
  <c r="W92" i="17"/>
  <c r="X92" i="17"/>
  <c r="Y92" i="17" s="1"/>
  <c r="V91" i="17"/>
  <c r="O91" i="17"/>
  <c r="P91" i="17"/>
  <c r="V90" i="17"/>
  <c r="O90" i="17"/>
  <c r="P90" i="17"/>
  <c r="V89" i="17"/>
  <c r="O89" i="17"/>
  <c r="P89" i="17" s="1"/>
  <c r="V88" i="17"/>
  <c r="O88" i="17"/>
  <c r="P88" i="17" s="1"/>
  <c r="V87" i="17"/>
  <c r="O87" i="17"/>
  <c r="P87" i="17" s="1"/>
  <c r="W87" i="17" s="1"/>
  <c r="V86" i="17"/>
  <c r="O86" i="17"/>
  <c r="P86" i="17"/>
  <c r="T85" i="17"/>
  <c r="V85" i="17" s="1"/>
  <c r="O85" i="17"/>
  <c r="P85" i="17"/>
  <c r="T84" i="17"/>
  <c r="V84" i="17" s="1"/>
  <c r="W84" i="17" s="1"/>
  <c r="X84" i="17" s="1"/>
  <c r="Y84" i="17" s="1"/>
  <c r="O84" i="17"/>
  <c r="P84" i="17"/>
  <c r="T83" i="17"/>
  <c r="V83" i="17" s="1"/>
  <c r="W83" i="17" s="1"/>
  <c r="X83" i="17" s="1"/>
  <c r="Y83" i="17" s="1"/>
  <c r="O83" i="17"/>
  <c r="P83" i="17" s="1"/>
  <c r="T82" i="17"/>
  <c r="V82" i="17"/>
  <c r="O82" i="17"/>
  <c r="P82" i="17" s="1"/>
  <c r="T81" i="17"/>
  <c r="V81" i="17"/>
  <c r="O81" i="17"/>
  <c r="P81" i="17" s="1"/>
  <c r="V80" i="17"/>
  <c r="O80" i="17"/>
  <c r="P80" i="17" s="1"/>
  <c r="V79" i="17"/>
  <c r="O79" i="17"/>
  <c r="P79" i="17"/>
  <c r="V78" i="17"/>
  <c r="O78" i="17"/>
  <c r="P78" i="17" s="1"/>
  <c r="W78" i="17"/>
  <c r="X78" i="17"/>
  <c r="Y78" i="17" s="1"/>
  <c r="V77" i="17"/>
  <c r="O77" i="17"/>
  <c r="P77" i="17"/>
  <c r="W77" i="17" s="1"/>
  <c r="X77" i="17" s="1"/>
  <c r="Y77" i="17"/>
  <c r="T76" i="17"/>
  <c r="V76" i="17" s="1"/>
  <c r="O76" i="17"/>
  <c r="P76" i="17"/>
  <c r="V75" i="17"/>
  <c r="W75" i="17" s="1"/>
  <c r="X75" i="17" s="1"/>
  <c r="Y75" i="17" s="1"/>
  <c r="P75" i="17"/>
  <c r="T74" i="17"/>
  <c r="V74" i="17" s="1"/>
  <c r="O74" i="17"/>
  <c r="P74" i="17"/>
  <c r="V73" i="17"/>
  <c r="P73" i="17"/>
  <c r="V72" i="17"/>
  <c r="P72" i="17"/>
  <c r="V71" i="17"/>
  <c r="W71" i="17" s="1"/>
  <c r="X71" i="17" s="1"/>
  <c r="P71" i="17"/>
  <c r="V70" i="17"/>
  <c r="O70" i="17"/>
  <c r="P70" i="17"/>
  <c r="W70" i="17" s="1"/>
  <c r="X70" i="17" s="1"/>
  <c r="Y70" i="17" s="1"/>
  <c r="V69" i="17"/>
  <c r="O69" i="17"/>
  <c r="P69" i="17" s="1"/>
  <c r="W69" i="17"/>
  <c r="X69" i="17" s="1"/>
  <c r="Y69" i="17" s="1"/>
  <c r="V68" i="17"/>
  <c r="O68" i="17"/>
  <c r="P68" i="17"/>
  <c r="V67" i="17"/>
  <c r="P67" i="17"/>
  <c r="W67" i="17"/>
  <c r="X67" i="17"/>
  <c r="Y67" i="17" s="1"/>
  <c r="T115" i="16"/>
  <c r="M115" i="16"/>
  <c r="N115" i="16"/>
  <c r="R114" i="16"/>
  <c r="T114" i="16" s="1"/>
  <c r="M114" i="16"/>
  <c r="N114" i="16"/>
  <c r="R113" i="16"/>
  <c r="T113" i="16" s="1"/>
  <c r="M113" i="16"/>
  <c r="N113" i="16" s="1"/>
  <c r="U113" i="16" s="1"/>
  <c r="T112" i="16"/>
  <c r="N112" i="16"/>
  <c r="T111" i="16"/>
  <c r="N111" i="16"/>
  <c r="T110" i="16"/>
  <c r="M110" i="16"/>
  <c r="N110" i="16"/>
  <c r="U110" i="16" s="1"/>
  <c r="V110" i="16" s="1"/>
  <c r="AJ110" i="16" s="1"/>
  <c r="T109" i="16"/>
  <c r="M109" i="16"/>
  <c r="N109" i="16" s="1"/>
  <c r="T108" i="16"/>
  <c r="M108" i="16"/>
  <c r="N108" i="16"/>
  <c r="T107" i="16"/>
  <c r="M107" i="16"/>
  <c r="N107" i="16" s="1"/>
  <c r="T106" i="16"/>
  <c r="M106" i="16"/>
  <c r="N106" i="16" s="1"/>
  <c r="T105" i="16"/>
  <c r="M105" i="16"/>
  <c r="N105" i="16"/>
  <c r="T104" i="16"/>
  <c r="M104" i="16"/>
  <c r="N104" i="16"/>
  <c r="U104" i="16"/>
  <c r="V104" i="16" s="1"/>
  <c r="AJ104" i="16" s="1"/>
  <c r="T103" i="16"/>
  <c r="M103" i="16"/>
  <c r="N103" i="16" s="1"/>
  <c r="T102" i="16"/>
  <c r="M102" i="16"/>
  <c r="N102" i="16"/>
  <c r="U102" i="16" s="1"/>
  <c r="V102" i="16" s="1"/>
  <c r="AJ102" i="16" s="1"/>
  <c r="R101" i="16"/>
  <c r="T101" i="16" s="1"/>
  <c r="M101" i="16"/>
  <c r="N101" i="16"/>
  <c r="R100" i="16"/>
  <c r="T100" i="16" s="1"/>
  <c r="M100" i="16"/>
  <c r="N100" i="16"/>
  <c r="R99" i="16"/>
  <c r="T99" i="16" s="1"/>
  <c r="U99" i="16" s="1"/>
  <c r="V99" i="16" s="1"/>
  <c r="M99" i="16"/>
  <c r="N99" i="16"/>
  <c r="T98" i="16"/>
  <c r="M98" i="16"/>
  <c r="N98" i="16" s="1"/>
  <c r="T97" i="16"/>
  <c r="M97" i="16"/>
  <c r="N97" i="16" s="1"/>
  <c r="T96" i="16"/>
  <c r="M96" i="16"/>
  <c r="N96" i="16" s="1"/>
  <c r="U96" i="16" s="1"/>
  <c r="T95" i="16"/>
  <c r="M95" i="16"/>
  <c r="N95" i="16"/>
  <c r="R94" i="16"/>
  <c r="T94" i="16" s="1"/>
  <c r="M94" i="16"/>
  <c r="N94" i="16"/>
  <c r="R93" i="16"/>
  <c r="T93" i="16" s="1"/>
  <c r="U93" i="16" s="1"/>
  <c r="V93" i="16" s="1"/>
  <c r="AJ93" i="16" s="1"/>
  <c r="M93" i="16"/>
  <c r="N93" i="16"/>
  <c r="T92" i="16"/>
  <c r="U92" i="16" s="1"/>
  <c r="V92" i="16" s="1"/>
  <c r="AJ92" i="16" s="1"/>
  <c r="M92" i="16"/>
  <c r="N92" i="16" s="1"/>
  <c r="T91" i="16"/>
  <c r="M91" i="16"/>
  <c r="N91" i="16"/>
  <c r="R90" i="16"/>
  <c r="T90" i="16" s="1"/>
  <c r="M90" i="16"/>
  <c r="N90" i="16"/>
  <c r="T89" i="16"/>
  <c r="N89" i="16"/>
  <c r="T88" i="16"/>
  <c r="N88" i="16"/>
  <c r="R87" i="16"/>
  <c r="T87" i="16" s="1"/>
  <c r="M87" i="16"/>
  <c r="N87" i="16"/>
  <c r="T86" i="16"/>
  <c r="N86" i="16"/>
  <c r="T85" i="16"/>
  <c r="N85" i="16"/>
  <c r="U85" i="16" s="1"/>
  <c r="V85" i="16" s="1"/>
  <c r="AJ85" i="16" s="1"/>
  <c r="T84" i="16"/>
  <c r="M84" i="16"/>
  <c r="N84" i="16"/>
  <c r="U84" i="16" s="1"/>
  <c r="V84" i="16" s="1"/>
  <c r="AJ84" i="16" s="1"/>
  <c r="T83" i="16"/>
  <c r="N83" i="16"/>
  <c r="T82" i="16"/>
  <c r="M82" i="16"/>
  <c r="N82" i="16"/>
  <c r="T81" i="16"/>
  <c r="M81" i="16"/>
  <c r="N81" i="16"/>
  <c r="T80" i="16"/>
  <c r="M80" i="16"/>
  <c r="N80" i="16" s="1"/>
  <c r="U80" i="16"/>
  <c r="V80" i="16" s="1"/>
  <c r="AJ80" i="16" s="1"/>
  <c r="V66" i="17"/>
  <c r="O66" i="17"/>
  <c r="P66" i="17"/>
  <c r="W66" i="17" s="1"/>
  <c r="X66" i="17" s="1"/>
  <c r="Y66" i="17" s="1"/>
  <c r="V65" i="17"/>
  <c r="O65" i="17"/>
  <c r="P65" i="17" s="1"/>
  <c r="W65" i="17"/>
  <c r="X65" i="17" s="1"/>
  <c r="Y65" i="17" s="1"/>
  <c r="T64" i="17"/>
  <c r="V64" i="17"/>
  <c r="O64" i="17"/>
  <c r="P64" i="17" s="1"/>
  <c r="T63" i="17"/>
  <c r="V63" i="17"/>
  <c r="O63" i="17"/>
  <c r="P63" i="17" s="1"/>
  <c r="V62" i="17"/>
  <c r="O62" i="17"/>
  <c r="P62" i="17"/>
  <c r="W62" i="17" s="1"/>
  <c r="X62" i="17" s="1"/>
  <c r="Y62" i="17" s="1"/>
  <c r="T61" i="17"/>
  <c r="V61" i="17"/>
  <c r="O61" i="17"/>
  <c r="P61" i="17" s="1"/>
  <c r="T60" i="17"/>
  <c r="V60" i="17"/>
  <c r="O60" i="17"/>
  <c r="P60" i="17" s="1"/>
  <c r="W60" i="17"/>
  <c r="X60" i="17" s="1"/>
  <c r="Y60" i="17" s="1"/>
  <c r="T59" i="17"/>
  <c r="V59" i="17"/>
  <c r="O59" i="17"/>
  <c r="P59" i="17" s="1"/>
  <c r="V58" i="17"/>
  <c r="O58" i="17"/>
  <c r="P58" i="17"/>
  <c r="V57" i="17"/>
  <c r="O57" i="17"/>
  <c r="P57" i="17"/>
  <c r="V56" i="17"/>
  <c r="O56" i="17"/>
  <c r="P56" i="17" s="1"/>
  <c r="V55" i="17"/>
  <c r="O55" i="17"/>
  <c r="P55" i="17" s="1"/>
  <c r="V54" i="17"/>
  <c r="P54" i="17"/>
  <c r="W54" i="17" s="1"/>
  <c r="X54" i="17" s="1"/>
  <c r="Y54" i="17" s="1"/>
  <c r="V53" i="17"/>
  <c r="O53" i="17"/>
  <c r="P53" i="17" s="1"/>
  <c r="V52" i="17"/>
  <c r="O52" i="17"/>
  <c r="P52" i="17"/>
  <c r="V51" i="17"/>
  <c r="O51" i="17"/>
  <c r="P51" i="17" s="1"/>
  <c r="V50" i="17"/>
  <c r="O50" i="17"/>
  <c r="P50" i="17" s="1"/>
  <c r="V49" i="17"/>
  <c r="O49" i="17"/>
  <c r="P49" i="17"/>
  <c r="V48" i="17"/>
  <c r="O48" i="17"/>
  <c r="P48" i="17"/>
  <c r="V47" i="17"/>
  <c r="O47" i="17"/>
  <c r="P47" i="17" s="1"/>
  <c r="T46" i="17"/>
  <c r="V46" i="17"/>
  <c r="O46" i="17"/>
  <c r="P46" i="17" s="1"/>
  <c r="W46" i="17"/>
  <c r="X46" i="17" s="1"/>
  <c r="Y46" i="17" s="1"/>
  <c r="T45" i="17"/>
  <c r="V45" i="17"/>
  <c r="O45" i="17"/>
  <c r="P45" i="17" s="1"/>
  <c r="V44" i="17"/>
  <c r="O44" i="17"/>
  <c r="P44" i="17"/>
  <c r="V43" i="17"/>
  <c r="O43" i="17"/>
  <c r="P43" i="17"/>
  <c r="W43" i="17"/>
  <c r="X43" i="17" s="1"/>
  <c r="Y43" i="17" s="1"/>
  <c r="T42" i="17"/>
  <c r="V42" i="17" s="1"/>
  <c r="W42" i="17" s="1"/>
  <c r="X42" i="17" s="1"/>
  <c r="Y42" i="17" s="1"/>
  <c r="O42" i="17"/>
  <c r="P42" i="17" s="1"/>
  <c r="T41" i="17"/>
  <c r="V41" i="17"/>
  <c r="O41" i="17"/>
  <c r="P41" i="17" s="1"/>
  <c r="T40" i="17"/>
  <c r="V40" i="17"/>
  <c r="O40" i="17"/>
  <c r="P40" i="17" s="1"/>
  <c r="V39" i="17"/>
  <c r="O39" i="17"/>
  <c r="P39" i="17" s="1"/>
  <c r="W39" i="17" s="1"/>
  <c r="X39" i="17" s="1"/>
  <c r="Y39" i="17" s="1"/>
  <c r="V38" i="17"/>
  <c r="W38" i="17" s="1"/>
  <c r="X38" i="17" s="1"/>
  <c r="Y38" i="17" s="1"/>
  <c r="O38" i="17"/>
  <c r="P38" i="17" s="1"/>
  <c r="V37" i="17"/>
  <c r="O37" i="17"/>
  <c r="P37" i="17" s="1"/>
  <c r="W37" i="17" s="1"/>
  <c r="X37" i="17" s="1"/>
  <c r="Y37" i="17" s="1"/>
  <c r="V36" i="17"/>
  <c r="W36" i="17" s="1"/>
  <c r="X36" i="17" s="1"/>
  <c r="Y36" i="17" s="1"/>
  <c r="O36" i="17"/>
  <c r="P36" i="17" s="1"/>
  <c r="V35" i="17"/>
  <c r="O35" i="17"/>
  <c r="P35" i="17" s="1"/>
  <c r="R79" i="16"/>
  <c r="T79" i="16" s="1"/>
  <c r="M79" i="16"/>
  <c r="N79" i="16"/>
  <c r="U79" i="16" s="1"/>
  <c r="V79" i="16" s="1"/>
  <c r="T78" i="16"/>
  <c r="M78" i="16"/>
  <c r="N78" i="16"/>
  <c r="U78" i="16"/>
  <c r="V78" i="16" s="1"/>
  <c r="AJ78" i="16" s="1"/>
  <c r="R77" i="16"/>
  <c r="T77" i="16"/>
  <c r="M77" i="16"/>
  <c r="N77" i="16" s="1"/>
  <c r="R76" i="16"/>
  <c r="T76" i="16" s="1"/>
  <c r="M76" i="16"/>
  <c r="N76" i="16" s="1"/>
  <c r="R75" i="16"/>
  <c r="T75" i="16"/>
  <c r="M75" i="16"/>
  <c r="N75" i="16" s="1"/>
  <c r="R74" i="16"/>
  <c r="T74" i="16"/>
  <c r="U74" i="16" s="1"/>
  <c r="V74" i="16" s="1"/>
  <c r="M74" i="16"/>
  <c r="N74" i="16" s="1"/>
  <c r="R73" i="16"/>
  <c r="T73" i="16" s="1"/>
  <c r="M73" i="16"/>
  <c r="N73" i="16" s="1"/>
  <c r="T72" i="16"/>
  <c r="U72" i="16" s="1"/>
  <c r="V72" i="16" s="1"/>
  <c r="AJ72" i="16" s="1"/>
  <c r="M72" i="16"/>
  <c r="N72" i="16" s="1"/>
  <c r="T71" i="16"/>
  <c r="M71" i="16"/>
  <c r="N71" i="16" s="1"/>
  <c r="U71" i="16" s="1"/>
  <c r="T70" i="16"/>
  <c r="M70" i="16"/>
  <c r="N70" i="16"/>
  <c r="U70" i="16" s="1"/>
  <c r="V70" i="16" s="1"/>
  <c r="AJ70" i="16" s="1"/>
  <c r="T69" i="16"/>
  <c r="M69" i="16"/>
  <c r="N69" i="16" s="1"/>
  <c r="T68" i="16"/>
  <c r="M68" i="16"/>
  <c r="N68" i="16"/>
  <c r="U68" i="16" s="1"/>
  <c r="V68" i="16" s="1"/>
  <c r="AJ68" i="16" s="1"/>
  <c r="T67" i="16"/>
  <c r="M67" i="16"/>
  <c r="N67" i="16" s="1"/>
  <c r="T66" i="16"/>
  <c r="M66" i="16"/>
  <c r="N66" i="16"/>
  <c r="T65" i="16"/>
  <c r="N65" i="16"/>
  <c r="T64" i="16"/>
  <c r="M64" i="16"/>
  <c r="N64" i="16" s="1"/>
  <c r="T63" i="16"/>
  <c r="M63" i="16"/>
  <c r="N63" i="16" s="1"/>
  <c r="U63" i="16" s="1"/>
  <c r="V63" i="16" s="1"/>
  <c r="AJ63" i="16" s="1"/>
  <c r="T62" i="16"/>
  <c r="M62" i="16"/>
  <c r="N62" i="16" s="1"/>
  <c r="U62" i="16" s="1"/>
  <c r="T61" i="16"/>
  <c r="M61" i="16"/>
  <c r="N61" i="16" s="1"/>
  <c r="T60" i="16"/>
  <c r="M60" i="16"/>
  <c r="N60" i="16" s="1"/>
  <c r="T59" i="16"/>
  <c r="M59" i="16"/>
  <c r="N59" i="16" s="1"/>
  <c r="T58" i="16"/>
  <c r="M58" i="16"/>
  <c r="N58" i="16"/>
  <c r="R57" i="16"/>
  <c r="T57" i="16" s="1"/>
  <c r="M57" i="16"/>
  <c r="N57" i="16" s="1"/>
  <c r="R56" i="16"/>
  <c r="T56" i="16" s="1"/>
  <c r="M56" i="16"/>
  <c r="N56" i="16"/>
  <c r="R55" i="16"/>
  <c r="T55" i="16"/>
  <c r="M55" i="16"/>
  <c r="N55" i="16" s="1"/>
  <c r="T54" i="16"/>
  <c r="U54" i="16" s="1"/>
  <c r="V54" i="16" s="1"/>
  <c r="AJ54" i="16" s="1"/>
  <c r="M54" i="16"/>
  <c r="N54" i="16" s="1"/>
  <c r="T53" i="16"/>
  <c r="M53" i="16"/>
  <c r="N53" i="16"/>
  <c r="T52" i="16"/>
  <c r="U52" i="16" s="1"/>
  <c r="V52" i="16" s="1"/>
  <c r="AJ52" i="16" s="1"/>
  <c r="M52" i="16"/>
  <c r="N52" i="16" s="1"/>
  <c r="T51" i="16"/>
  <c r="M51" i="16"/>
  <c r="N51" i="16" s="1"/>
  <c r="U51" i="16" s="1"/>
  <c r="V51" i="16" s="1"/>
  <c r="AJ51" i="16" s="1"/>
  <c r="R50" i="16"/>
  <c r="T50" i="16" s="1"/>
  <c r="M50" i="16"/>
  <c r="N50" i="16"/>
  <c r="R49" i="16"/>
  <c r="T49" i="16" s="1"/>
  <c r="U49" i="16" s="1"/>
  <c r="V49" i="16" s="1"/>
  <c r="AJ49" i="16" s="1"/>
  <c r="M49" i="16"/>
  <c r="N49" i="16"/>
  <c r="R48" i="16"/>
  <c r="T48" i="16"/>
  <c r="M48" i="16"/>
  <c r="N48" i="16" s="1"/>
  <c r="R47" i="16"/>
  <c r="T47" i="16"/>
  <c r="M47" i="16"/>
  <c r="N47" i="16" s="1"/>
  <c r="U47" i="16"/>
  <c r="V47" i="16" s="1"/>
  <c r="T46" i="16"/>
  <c r="M46" i="16"/>
  <c r="N46" i="16"/>
  <c r="U46" i="16" s="1"/>
  <c r="V46" i="16" s="1"/>
  <c r="AJ46" i="16" s="1"/>
  <c r="T45" i="16"/>
  <c r="M45" i="16"/>
  <c r="N45" i="16" s="1"/>
  <c r="T44" i="16"/>
  <c r="M44" i="16"/>
  <c r="N44" i="16"/>
  <c r="U44" i="16" s="1"/>
  <c r="V44" i="16" s="1"/>
  <c r="W199" i="17"/>
  <c r="X199" i="17"/>
  <c r="Y199" i="17" s="1"/>
  <c r="W183" i="17"/>
  <c r="X183" i="17"/>
  <c r="Y183" i="17"/>
  <c r="W198" i="17"/>
  <c r="X198" i="17" s="1"/>
  <c r="Y198" i="17" s="1"/>
  <c r="W191" i="17"/>
  <c r="X191" i="17" s="1"/>
  <c r="Y191" i="17" s="1"/>
  <c r="W175" i="17"/>
  <c r="X175" i="17"/>
  <c r="Y175" i="17" s="1"/>
  <c r="W200" i="17"/>
  <c r="X200" i="17"/>
  <c r="Y200" i="17"/>
  <c r="W194" i="17"/>
  <c r="X194" i="17" s="1"/>
  <c r="Y194" i="17" s="1"/>
  <c r="W192" i="17"/>
  <c r="X192" i="17" s="1"/>
  <c r="Y192" i="17" s="1"/>
  <c r="V34" i="17"/>
  <c r="O34" i="17"/>
  <c r="P34" i="17" s="1"/>
  <c r="E34" i="17"/>
  <c r="V33" i="17"/>
  <c r="O33" i="17"/>
  <c r="P33" i="17"/>
  <c r="W33" i="17" s="1"/>
  <c r="X33" i="17" s="1"/>
  <c r="Y33" i="17"/>
  <c r="E33" i="17"/>
  <c r="V32" i="17"/>
  <c r="O32" i="17"/>
  <c r="P32" i="17"/>
  <c r="E32" i="17"/>
  <c r="V31" i="17"/>
  <c r="O31" i="17"/>
  <c r="P31" i="17"/>
  <c r="E31" i="17"/>
  <c r="V30" i="17"/>
  <c r="O30" i="17"/>
  <c r="P30" i="17"/>
  <c r="E30" i="17"/>
  <c r="T29" i="17"/>
  <c r="V29" i="17" s="1"/>
  <c r="O29" i="17"/>
  <c r="P29" i="17"/>
  <c r="E29" i="17"/>
  <c r="T28" i="17"/>
  <c r="V28" i="17"/>
  <c r="O28" i="17"/>
  <c r="P28" i="17" s="1"/>
  <c r="E28" i="17"/>
  <c r="T27" i="17"/>
  <c r="V27" i="17"/>
  <c r="W27" i="17" s="1"/>
  <c r="X27" i="17" s="1"/>
  <c r="O27" i="17"/>
  <c r="P27" i="17" s="1"/>
  <c r="E27" i="17"/>
  <c r="V26" i="17"/>
  <c r="O26" i="17"/>
  <c r="P26" i="17" s="1"/>
  <c r="W26" i="17" s="1"/>
  <c r="E26" i="17"/>
  <c r="V25" i="17"/>
  <c r="O25" i="17"/>
  <c r="P25" i="17" s="1"/>
  <c r="E25" i="17"/>
  <c r="V24" i="17"/>
  <c r="O24" i="17"/>
  <c r="P24" i="17" s="1"/>
  <c r="E24" i="17"/>
  <c r="V23" i="17"/>
  <c r="O23" i="17"/>
  <c r="P23" i="17"/>
  <c r="E23" i="17"/>
  <c r="Q22" i="17"/>
  <c r="V22" i="17"/>
  <c r="O22" i="17"/>
  <c r="P22" i="17" s="1"/>
  <c r="E22" i="17"/>
  <c r="Q21" i="17"/>
  <c r="V21" i="17"/>
  <c r="O21" i="17"/>
  <c r="P21" i="17" s="1"/>
  <c r="E21" i="17"/>
  <c r="Q20" i="17"/>
  <c r="V20" i="17" s="1"/>
  <c r="W20" i="17" s="1"/>
  <c r="O20" i="17"/>
  <c r="P20" i="17" s="1"/>
  <c r="X20" i="17"/>
  <c r="Y20" i="17" s="1"/>
  <c r="E20" i="17"/>
  <c r="V19" i="17"/>
  <c r="T19" i="17"/>
  <c r="O19" i="17"/>
  <c r="P19" i="17" s="1"/>
  <c r="W19" i="17" s="1"/>
  <c r="E19" i="17"/>
  <c r="V18" i="17"/>
  <c r="O18" i="17"/>
  <c r="P18" i="17" s="1"/>
  <c r="W18" i="17"/>
  <c r="X18" i="17" s="1"/>
  <c r="Y18" i="17" s="1"/>
  <c r="E18" i="17"/>
  <c r="V17" i="17"/>
  <c r="O17" i="17"/>
  <c r="P17" i="17" s="1"/>
  <c r="E17" i="17"/>
  <c r="V16" i="17"/>
  <c r="O16" i="17"/>
  <c r="P16" i="17"/>
  <c r="E16" i="17"/>
  <c r="V15" i="17"/>
  <c r="O15" i="17"/>
  <c r="P15" i="17"/>
  <c r="W15" i="17"/>
  <c r="X15" i="17" s="1"/>
  <c r="Y15" i="17"/>
  <c r="E15" i="17"/>
  <c r="V14" i="17"/>
  <c r="W14" i="17" s="1"/>
  <c r="X14" i="17" s="1"/>
  <c r="Y14" i="17" s="1"/>
  <c r="O14" i="17"/>
  <c r="P14" i="17"/>
  <c r="E14" i="17"/>
  <c r="V13" i="17"/>
  <c r="W13" i="17" s="1"/>
  <c r="X13" i="17" s="1"/>
  <c r="Y13" i="17" s="1"/>
  <c r="O13" i="17"/>
  <c r="P13" i="17" s="1"/>
  <c r="E13" i="17"/>
  <c r="V12" i="17"/>
  <c r="O12" i="17"/>
  <c r="P12" i="17"/>
  <c r="E12" i="17"/>
  <c r="X11" i="17"/>
  <c r="Y11" i="17"/>
  <c r="V11" i="17"/>
  <c r="O11" i="17"/>
  <c r="P11" i="17"/>
  <c r="E11" i="17"/>
  <c r="V10" i="17"/>
  <c r="O10" i="17"/>
  <c r="P10" i="17"/>
  <c r="E10" i="17"/>
  <c r="V9" i="17"/>
  <c r="W9" i="17" s="1"/>
  <c r="O9" i="17"/>
  <c r="P9" i="17"/>
  <c r="X9" i="17"/>
  <c r="Y9" i="17" s="1"/>
  <c r="E9" i="17"/>
  <c r="V8" i="17"/>
  <c r="O8" i="17"/>
  <c r="P8" i="17" s="1"/>
  <c r="W8" i="17"/>
  <c r="X8" i="17" s="1"/>
  <c r="Y8" i="17" s="1"/>
  <c r="E8" i="17"/>
  <c r="V7" i="17"/>
  <c r="W7" i="17" s="1"/>
  <c r="X7" i="17" s="1"/>
  <c r="Y7" i="17" s="1"/>
  <c r="O7" i="17"/>
  <c r="P7" i="17"/>
  <c r="E7" i="17"/>
  <c r="V6" i="17"/>
  <c r="T6" i="17"/>
  <c r="O6" i="17"/>
  <c r="P6" i="17" s="1"/>
  <c r="W6" i="17" s="1"/>
  <c r="X6" i="17" s="1"/>
  <c r="Y6" i="17" s="1"/>
  <c r="E6" i="17"/>
  <c r="V5" i="17"/>
  <c r="O5" i="17"/>
  <c r="P5" i="17"/>
  <c r="T5" i="17"/>
  <c r="E5" i="17"/>
  <c r="V4" i="17"/>
  <c r="P4" i="17"/>
  <c r="W4" i="17"/>
  <c r="X4" i="17" s="1"/>
  <c r="Y4" i="17" s="1"/>
  <c r="E4" i="17"/>
  <c r="V3" i="17"/>
  <c r="W3" i="17" s="1"/>
  <c r="X3" i="17" s="1"/>
  <c r="Y3" i="17" s="1"/>
  <c r="O3" i="17"/>
  <c r="P3" i="17"/>
  <c r="E3" i="17"/>
  <c r="T43" i="16"/>
  <c r="M43" i="16"/>
  <c r="N43" i="16" s="1"/>
  <c r="U43" i="16"/>
  <c r="V43" i="16"/>
  <c r="E43" i="16"/>
  <c r="T42" i="16"/>
  <c r="M42" i="16"/>
  <c r="N42" i="16"/>
  <c r="E42" i="16"/>
  <c r="T41" i="16"/>
  <c r="M41" i="16"/>
  <c r="N41" i="16"/>
  <c r="U41" i="16" s="1"/>
  <c r="V41" i="16" s="1"/>
  <c r="E41" i="16"/>
  <c r="T40" i="16"/>
  <c r="M40" i="16"/>
  <c r="N40" i="16" s="1"/>
  <c r="E40" i="16"/>
  <c r="T39" i="16"/>
  <c r="U39" i="16" s="1"/>
  <c r="V39" i="16" s="1"/>
  <c r="M39" i="16"/>
  <c r="N39" i="16"/>
  <c r="E39" i="16"/>
  <c r="T38" i="16"/>
  <c r="M38" i="16"/>
  <c r="N38" i="16" s="1"/>
  <c r="U38" i="16"/>
  <c r="V38" i="16"/>
  <c r="AJ38" i="16" s="1"/>
  <c r="E38" i="16"/>
  <c r="T37" i="16"/>
  <c r="M37" i="16"/>
  <c r="N37" i="16" s="1"/>
  <c r="E37" i="16"/>
  <c r="R36" i="16"/>
  <c r="T36" i="16"/>
  <c r="M36" i="16"/>
  <c r="N36" i="16" s="1"/>
  <c r="E36" i="16"/>
  <c r="R35" i="16"/>
  <c r="T35" i="16"/>
  <c r="M35" i="16"/>
  <c r="N35" i="16"/>
  <c r="E35" i="16"/>
  <c r="R34" i="16"/>
  <c r="T34" i="16" s="1"/>
  <c r="M34" i="16"/>
  <c r="N34" i="16"/>
  <c r="E34" i="16"/>
  <c r="R33" i="16"/>
  <c r="T33" i="16"/>
  <c r="M33" i="16"/>
  <c r="N33" i="16"/>
  <c r="E33" i="16"/>
  <c r="T32" i="16"/>
  <c r="M32" i="16"/>
  <c r="N32" i="16"/>
  <c r="U32" i="16"/>
  <c r="V32" i="16" s="1"/>
  <c r="AJ32" i="16" s="1"/>
  <c r="E32" i="16"/>
  <c r="T31" i="16"/>
  <c r="U31" i="16" s="1"/>
  <c r="V31" i="16" s="1"/>
  <c r="AJ31" i="16" s="1"/>
  <c r="M31" i="16"/>
  <c r="N31" i="16"/>
  <c r="E31" i="16"/>
  <c r="T30" i="16"/>
  <c r="U30" i="16" s="1"/>
  <c r="V30" i="16" s="1"/>
  <c r="M30" i="16"/>
  <c r="N30" i="16" s="1"/>
  <c r="AJ30" i="16"/>
  <c r="E30" i="16"/>
  <c r="T29" i="16"/>
  <c r="M29" i="16"/>
  <c r="N29" i="16"/>
  <c r="E29" i="16"/>
  <c r="R28" i="16"/>
  <c r="T28" i="16"/>
  <c r="M28" i="16"/>
  <c r="N28" i="16"/>
  <c r="E28" i="16"/>
  <c r="R27" i="16"/>
  <c r="T27" i="16"/>
  <c r="M27" i="16"/>
  <c r="N27" i="16" s="1"/>
  <c r="E27" i="16"/>
  <c r="O26" i="16"/>
  <c r="T26" i="16"/>
  <c r="U26" i="16" s="1"/>
  <c r="M26" i="16"/>
  <c r="N26" i="16"/>
  <c r="E26" i="16"/>
  <c r="O25" i="16"/>
  <c r="T25" i="16" s="1"/>
  <c r="M25" i="16"/>
  <c r="N25" i="16"/>
  <c r="E25" i="16"/>
  <c r="O24" i="16"/>
  <c r="T24" i="16"/>
  <c r="U24" i="16" s="1"/>
  <c r="V24" i="16" s="1"/>
  <c r="AJ24" i="16" s="1"/>
  <c r="M24" i="16"/>
  <c r="N24" i="16"/>
  <c r="E24" i="16"/>
  <c r="R23" i="16"/>
  <c r="T23" i="16"/>
  <c r="M23" i="16"/>
  <c r="N23" i="16"/>
  <c r="E23" i="16"/>
  <c r="O22" i="16"/>
  <c r="R22" i="16"/>
  <c r="T22" i="16"/>
  <c r="U22" i="16" s="1"/>
  <c r="V22" i="16" s="1"/>
  <c r="AJ22" i="16" s="1"/>
  <c r="M22" i="16"/>
  <c r="N22" i="16"/>
  <c r="E22" i="16"/>
  <c r="T21" i="16"/>
  <c r="M21" i="16"/>
  <c r="N21" i="16" s="1"/>
  <c r="E21" i="16"/>
  <c r="T20" i="16"/>
  <c r="M20" i="16"/>
  <c r="N20" i="16" s="1"/>
  <c r="E20" i="16"/>
  <c r="T19" i="16"/>
  <c r="U19" i="16" s="1"/>
  <c r="V19" i="16" s="1"/>
  <c r="AJ19" i="16" s="1"/>
  <c r="M19" i="16"/>
  <c r="N19" i="16"/>
  <c r="E19" i="16"/>
  <c r="T18" i="16"/>
  <c r="M18" i="16"/>
  <c r="N18" i="16"/>
  <c r="E18" i="16"/>
  <c r="T17" i="16"/>
  <c r="M17" i="16"/>
  <c r="N17" i="16"/>
  <c r="E17" i="16"/>
  <c r="T16" i="16"/>
  <c r="M16" i="16"/>
  <c r="N16" i="16"/>
  <c r="E16" i="16"/>
  <c r="T15" i="16"/>
  <c r="M15" i="16"/>
  <c r="N15" i="16"/>
  <c r="E15" i="16"/>
  <c r="T14" i="16"/>
  <c r="M14" i="16"/>
  <c r="N14" i="16"/>
  <c r="U14" i="16"/>
  <c r="V14" i="16" s="1"/>
  <c r="E14" i="16"/>
  <c r="V13" i="16"/>
  <c r="AJ13" i="16"/>
  <c r="T13" i="16"/>
  <c r="M13" i="16"/>
  <c r="N13" i="16"/>
  <c r="E13" i="16"/>
  <c r="O12" i="16"/>
  <c r="R12" i="16"/>
  <c r="T12" i="16"/>
  <c r="M12" i="16"/>
  <c r="N12" i="16" s="1"/>
  <c r="E12" i="16"/>
  <c r="T11" i="16"/>
  <c r="M11" i="16"/>
  <c r="N11" i="16" s="1"/>
  <c r="E11" i="16"/>
  <c r="T10" i="16"/>
  <c r="N10" i="16"/>
  <c r="U10" i="16"/>
  <c r="V10" i="16" s="1"/>
  <c r="AJ10" i="16" s="1"/>
  <c r="E10" i="16"/>
  <c r="T9" i="16"/>
  <c r="U9" i="16" s="1"/>
  <c r="M9" i="16"/>
  <c r="N9" i="16"/>
  <c r="V9" i="16"/>
  <c r="AJ9" i="16" s="1"/>
  <c r="E9" i="16"/>
  <c r="T8" i="16"/>
  <c r="M8" i="16"/>
  <c r="N8" i="16" s="1"/>
  <c r="E8" i="16"/>
  <c r="AJ7" i="16"/>
  <c r="M7" i="16"/>
  <c r="N7" i="16" s="1"/>
  <c r="E7" i="16"/>
  <c r="T6" i="16"/>
  <c r="U6" i="16" s="1"/>
  <c r="V6" i="16" s="1"/>
  <c r="AJ6" i="16" s="1"/>
  <c r="N6" i="16"/>
  <c r="E6" i="16"/>
  <c r="T5" i="16"/>
  <c r="M5" i="16"/>
  <c r="N5" i="16"/>
  <c r="U5" i="16"/>
  <c r="V5" i="16" s="1"/>
  <c r="AJ5" i="16" s="1"/>
  <c r="E5" i="16"/>
  <c r="R4" i="16"/>
  <c r="T4" i="16" s="1"/>
  <c r="U4" i="16" s="1"/>
  <c r="M4" i="16"/>
  <c r="N4" i="16"/>
  <c r="E4" i="16"/>
  <c r="R3" i="16"/>
  <c r="T3" i="16"/>
  <c r="M3" i="16"/>
  <c r="N3" i="16"/>
  <c r="U3" i="16" s="1"/>
  <c r="E3" i="16"/>
  <c r="U61" i="11"/>
  <c r="N61" i="11"/>
  <c r="O61" i="11"/>
  <c r="U62" i="11"/>
  <c r="V62" i="11" s="1"/>
  <c r="W62" i="11" s="1"/>
  <c r="Z62" i="11" s="1"/>
  <c r="Z34" i="11"/>
  <c r="Z35" i="11"/>
  <c r="Z36" i="11"/>
  <c r="Z37" i="11"/>
  <c r="Z38" i="11"/>
  <c r="Z42" i="11"/>
  <c r="Z44" i="11"/>
  <c r="Z48" i="11"/>
  <c r="Z49" i="11"/>
  <c r="Z52" i="11"/>
  <c r="Z53" i="11"/>
  <c r="Z54" i="11"/>
  <c r="Z55" i="11"/>
  <c r="Z56" i="11"/>
  <c r="Z58" i="11"/>
  <c r="Z59" i="11"/>
  <c r="N62" i="11"/>
  <c r="O62" i="11"/>
  <c r="D61" i="11"/>
  <c r="D62" i="11"/>
  <c r="Z43" i="11"/>
  <c r="Z47" i="11"/>
  <c r="Z46" i="11"/>
  <c r="U17" i="16"/>
  <c r="V17" i="16"/>
  <c r="AJ17" i="16" s="1"/>
  <c r="X19" i="17"/>
  <c r="Y19" i="17"/>
  <c r="W32" i="17"/>
  <c r="X32" i="17" s="1"/>
  <c r="Y32" i="17" s="1"/>
  <c r="V96" i="16"/>
  <c r="AJ96" i="16"/>
  <c r="Y110" i="17"/>
  <c r="W113" i="17"/>
  <c r="X113" i="17" s="1"/>
  <c r="Y113" i="17" s="1"/>
  <c r="W135" i="17"/>
  <c r="X135" i="17"/>
  <c r="Y135" i="17" s="1"/>
  <c r="Y147" i="17"/>
  <c r="U255" i="16"/>
  <c r="V255" i="16" s="1"/>
  <c r="AJ255" i="16" s="1"/>
  <c r="U267" i="16"/>
  <c r="V267" i="16"/>
  <c r="AJ267" i="16" s="1"/>
  <c r="U269" i="16"/>
  <c r="V269" i="16"/>
  <c r="U281" i="16"/>
  <c r="V281" i="16" s="1"/>
  <c r="AJ281" i="16" s="1"/>
  <c r="U23" i="16"/>
  <c r="V23" i="16" s="1"/>
  <c r="AJ23" i="16" s="1"/>
  <c r="U42" i="16"/>
  <c r="V42" i="16" s="1"/>
  <c r="AJ42" i="16" s="1"/>
  <c r="W5" i="17"/>
  <c r="X5" i="17"/>
  <c r="Y5" i="17"/>
  <c r="Y27" i="17"/>
  <c r="U55" i="16"/>
  <c r="V55" i="16" s="1"/>
  <c r="AJ55" i="16" s="1"/>
  <c r="U57" i="16"/>
  <c r="V57" i="16" s="1"/>
  <c r="AJ57" i="16" s="1"/>
  <c r="U58" i="16"/>
  <c r="V58" i="16"/>
  <c r="AJ58" i="16" s="1"/>
  <c r="V71" i="16"/>
  <c r="AJ71" i="16"/>
  <c r="AJ79" i="16"/>
  <c r="U98" i="16"/>
  <c r="V98" i="16" s="1"/>
  <c r="AJ98" i="16" s="1"/>
  <c r="W79" i="17"/>
  <c r="X79" i="17"/>
  <c r="Y79" i="17" s="1"/>
  <c r="U119" i="16"/>
  <c r="V119" i="16"/>
  <c r="AM119" i="16" s="1"/>
  <c r="AM144" i="16"/>
  <c r="W106" i="17"/>
  <c r="X106" i="17" s="1"/>
  <c r="Y106" i="17" s="1"/>
  <c r="U193" i="16"/>
  <c r="V193" i="16" s="1"/>
  <c r="AJ193" i="16" s="1"/>
  <c r="U224" i="16"/>
  <c r="V224" i="16" s="1"/>
  <c r="AJ224" i="16" s="1"/>
  <c r="U245" i="16"/>
  <c r="V245" i="16" s="1"/>
  <c r="AJ245" i="16" s="1"/>
  <c r="W178" i="17"/>
  <c r="X178" i="17"/>
  <c r="Y178" i="17"/>
  <c r="W186" i="17"/>
  <c r="X186" i="17"/>
  <c r="Y186" i="17"/>
  <c r="U295" i="16"/>
  <c r="V295" i="16" s="1"/>
  <c r="AJ295" i="16" s="1"/>
  <c r="U302" i="16"/>
  <c r="V302" i="16"/>
  <c r="AJ302" i="16" s="1"/>
  <c r="U303" i="16"/>
  <c r="V303" i="16"/>
  <c r="AJ303" i="16" s="1"/>
  <c r="U310" i="16"/>
  <c r="V310" i="16"/>
  <c r="AJ310" i="16"/>
  <c r="U314" i="16"/>
  <c r="V314" i="16" s="1"/>
  <c r="AJ314" i="16" s="1"/>
  <c r="U318" i="16"/>
  <c r="V318" i="16" s="1"/>
  <c r="W230" i="17"/>
  <c r="X230" i="17"/>
  <c r="Y230" i="17"/>
  <c r="U100" i="16"/>
  <c r="V100" i="16"/>
  <c r="U323" i="16"/>
  <c r="V323" i="16"/>
  <c r="AJ323" i="16" s="1"/>
  <c r="U336" i="16"/>
  <c r="V336" i="16"/>
  <c r="W229" i="17"/>
  <c r="X229" i="17" s="1"/>
  <c r="Y229" i="17" s="1"/>
  <c r="W231" i="17"/>
  <c r="X231" i="17" s="1"/>
  <c r="Y231" i="17" s="1"/>
  <c r="W244" i="17"/>
  <c r="X244" i="17"/>
  <c r="Y244" i="17"/>
  <c r="W245" i="17"/>
  <c r="X245" i="17"/>
  <c r="Y245" i="17"/>
  <c r="W255" i="17"/>
  <c r="X255" i="17" s="1"/>
  <c r="Y255" i="17" s="1"/>
  <c r="W264" i="17"/>
  <c r="X264" i="17"/>
  <c r="Y264" i="17" s="1"/>
  <c r="W283" i="17"/>
  <c r="X283" i="17"/>
  <c r="Y283" i="17" s="1"/>
  <c r="W300" i="17"/>
  <c r="X300" i="17"/>
  <c r="Y300" i="17"/>
  <c r="W308" i="17"/>
  <c r="X308" i="17" s="1"/>
  <c r="Y308" i="17" s="1"/>
  <c r="W344" i="17"/>
  <c r="X344" i="17" s="1"/>
  <c r="Y344" i="17" s="1"/>
  <c r="W357" i="17"/>
  <c r="X357" i="17"/>
  <c r="U65" i="16"/>
  <c r="V65" i="16" s="1"/>
  <c r="AJ65" i="16" s="1"/>
  <c r="U83" i="16"/>
  <c r="V83" i="16"/>
  <c r="U88" i="16"/>
  <c r="V88" i="16"/>
  <c r="AJ88" i="16"/>
  <c r="U94" i="16"/>
  <c r="V94" i="16" s="1"/>
  <c r="AJ94" i="16" s="1"/>
  <c r="U101" i="16"/>
  <c r="V101" i="16"/>
  <c r="AJ101" i="16" s="1"/>
  <c r="U107" i="16"/>
  <c r="V107" i="16"/>
  <c r="AJ107" i="16" s="1"/>
  <c r="Y71" i="17"/>
  <c r="W73" i="17"/>
  <c r="X73" i="17" s="1"/>
  <c r="Y73" i="17" s="1"/>
  <c r="W88" i="17"/>
  <c r="X88" i="17" s="1"/>
  <c r="Y88" i="17" s="1"/>
  <c r="W94" i="17"/>
  <c r="X94" i="17"/>
  <c r="Y94" i="17"/>
  <c r="AM135" i="16"/>
  <c r="AM147" i="16"/>
  <c r="U149" i="16"/>
  <c r="V149" i="16" s="1"/>
  <c r="U158" i="16"/>
  <c r="V158" i="16"/>
  <c r="AM158" i="16" s="1"/>
  <c r="W105" i="17"/>
  <c r="X105" i="17"/>
  <c r="Y105" i="17"/>
  <c r="X130" i="17"/>
  <c r="Y130" i="17" s="1"/>
  <c r="U170" i="16"/>
  <c r="V170" i="16"/>
  <c r="AJ170" i="16" s="1"/>
  <c r="U174" i="16"/>
  <c r="V174" i="16" s="1"/>
  <c r="U175" i="16"/>
  <c r="V175" i="16" s="1"/>
  <c r="AJ175" i="16" s="1"/>
  <c r="U185" i="16"/>
  <c r="V185" i="16"/>
  <c r="W145" i="17"/>
  <c r="X145" i="17" s="1"/>
  <c r="Y145" i="17" s="1"/>
  <c r="W159" i="17"/>
  <c r="X159" i="17" s="1"/>
  <c r="Y159" i="17" s="1"/>
  <c r="U208" i="16"/>
  <c r="V208" i="16" s="1"/>
  <c r="AJ208" i="16" s="1"/>
  <c r="U213" i="16"/>
  <c r="V213" i="16" s="1"/>
  <c r="AJ213" i="16" s="1"/>
  <c r="AJ226" i="16"/>
  <c r="U239" i="16"/>
  <c r="V239" i="16" s="1"/>
  <c r="AJ239" i="16" s="1"/>
  <c r="W170" i="17"/>
  <c r="X170" i="17"/>
  <c r="Y170" i="17" s="1"/>
  <c r="W172" i="17"/>
  <c r="X172" i="17"/>
  <c r="Y172" i="17" s="1"/>
  <c r="W180" i="17"/>
  <c r="X180" i="17"/>
  <c r="Y180" i="17"/>
  <c r="W190" i="17"/>
  <c r="X190" i="17" s="1"/>
  <c r="Y190" i="17" s="1"/>
  <c r="U271" i="16"/>
  <c r="V271" i="16" s="1"/>
  <c r="AJ271" i="16" s="1"/>
  <c r="U278" i="16"/>
  <c r="V278" i="16"/>
  <c r="U284" i="16"/>
  <c r="V284" i="16" s="1"/>
  <c r="AH279" i="16" s="1"/>
  <c r="U285" i="16"/>
  <c r="V285" i="16"/>
  <c r="AJ285" i="16"/>
  <c r="U307" i="16"/>
  <c r="V307" i="16" s="1"/>
  <c r="AJ307" i="16" s="1"/>
  <c r="U312" i="16"/>
  <c r="V312" i="16" s="1"/>
  <c r="AJ312" i="16" s="1"/>
  <c r="U325" i="16"/>
  <c r="V325" i="16"/>
  <c r="AJ325" i="16"/>
  <c r="U344" i="16"/>
  <c r="V344" i="16"/>
  <c r="AI344" i="16"/>
  <c r="U349" i="16"/>
  <c r="V349" i="16" s="1"/>
  <c r="U357" i="16"/>
  <c r="V357" i="16"/>
  <c r="AJ357" i="16" s="1"/>
  <c r="U361" i="16"/>
  <c r="V361" i="16"/>
  <c r="AJ361" i="16"/>
  <c r="U362" i="16"/>
  <c r="V362" i="16" s="1"/>
  <c r="AJ362" i="16" s="1"/>
  <c r="U363" i="16"/>
  <c r="V363" i="16" s="1"/>
  <c r="U367" i="16"/>
  <c r="V367" i="16"/>
  <c r="AJ367" i="16"/>
  <c r="U387" i="16"/>
  <c r="V387" i="16"/>
  <c r="AJ387" i="16"/>
  <c r="U391" i="16"/>
  <c r="V391" i="16" s="1"/>
  <c r="AJ391" i="16" s="1"/>
  <c r="U397" i="16"/>
  <c r="V397" i="16"/>
  <c r="U398" i="16"/>
  <c r="V398" i="16"/>
  <c r="AJ398" i="16" s="1"/>
  <c r="U417" i="16"/>
  <c r="V417" i="16"/>
  <c r="AJ417" i="16"/>
  <c r="U440" i="16"/>
  <c r="V440" i="16" s="1"/>
  <c r="U444" i="16"/>
  <c r="V444" i="16" s="1"/>
  <c r="AJ444" i="16" s="1"/>
  <c r="W225" i="17"/>
  <c r="X225" i="17"/>
  <c r="Y225" i="17"/>
  <c r="AJ99" i="16"/>
  <c r="U106" i="16"/>
  <c r="V106" i="16" s="1"/>
  <c r="AJ106" i="16" s="1"/>
  <c r="W74" i="17"/>
  <c r="X74" i="17"/>
  <c r="Y74" i="17" s="1"/>
  <c r="X87" i="17"/>
  <c r="Y87" i="17"/>
  <c r="AM120" i="16"/>
  <c r="U132" i="16"/>
  <c r="V132" i="16" s="1"/>
  <c r="AM132" i="16" s="1"/>
  <c r="U143" i="16"/>
  <c r="V143" i="16"/>
  <c r="U145" i="16"/>
  <c r="V145" i="16"/>
  <c r="AM145" i="16" s="1"/>
  <c r="U157" i="16"/>
  <c r="V157" i="16"/>
  <c r="AM157" i="16" s="1"/>
  <c r="W111" i="17"/>
  <c r="X111" i="17"/>
  <c r="Y111" i="17"/>
  <c r="W121" i="17"/>
  <c r="X121" i="17" s="1"/>
  <c r="Y121" i="17" s="1"/>
  <c r="U184" i="16"/>
  <c r="V184" i="16" s="1"/>
  <c r="AJ184" i="16" s="1"/>
  <c r="W136" i="17"/>
  <c r="X136" i="17" s="1"/>
  <c r="Y136" i="17" s="1"/>
  <c r="W150" i="17"/>
  <c r="X150" i="17"/>
  <c r="Y150" i="17"/>
  <c r="U277" i="16"/>
  <c r="V277" i="16"/>
  <c r="AJ277" i="16"/>
  <c r="U300" i="16"/>
  <c r="V300" i="16" s="1"/>
  <c r="U154" i="16"/>
  <c r="V154" i="16" s="1"/>
  <c r="AM154" i="16" s="1"/>
  <c r="W122" i="17"/>
  <c r="X122" i="17"/>
  <c r="Y122" i="17" s="1"/>
  <c r="U366" i="16"/>
  <c r="V366" i="16"/>
  <c r="AI366" i="16" s="1"/>
  <c r="U381" i="16"/>
  <c r="V381" i="16"/>
  <c r="AJ381" i="16"/>
  <c r="W212" i="17"/>
  <c r="X212" i="17" s="1"/>
  <c r="Y212" i="17" s="1"/>
  <c r="W215" i="17"/>
  <c r="X215" i="17" s="1"/>
  <c r="Y215" i="17" s="1"/>
  <c r="W233" i="17"/>
  <c r="X233" i="17"/>
  <c r="Y233" i="17"/>
  <c r="W243" i="17"/>
  <c r="X243" i="17"/>
  <c r="Y243" i="17"/>
  <c r="W257" i="17"/>
  <c r="X257" i="17" s="1"/>
  <c r="Y257" i="17" s="1"/>
  <c r="W270" i="17"/>
  <c r="X270" i="17"/>
  <c r="Y270" i="17" s="1"/>
  <c r="W278" i="17"/>
  <c r="X278" i="17"/>
  <c r="Y278" i="17" s="1"/>
  <c r="W298" i="17"/>
  <c r="X298" i="17"/>
  <c r="Y298" i="17"/>
  <c r="W310" i="17"/>
  <c r="X310" i="17" s="1"/>
  <c r="Y310" i="17" s="1"/>
  <c r="W315" i="17"/>
  <c r="X315" i="17" s="1"/>
  <c r="Y315" i="17" s="1"/>
  <c r="W323" i="17"/>
  <c r="X323" i="17"/>
  <c r="Y323" i="17"/>
  <c r="X219" i="11"/>
  <c r="X213" i="11"/>
  <c r="X207" i="11"/>
  <c r="X225" i="11"/>
  <c r="X201" i="11"/>
  <c r="X195" i="11"/>
  <c r="X99" i="11"/>
  <c r="X117" i="11"/>
  <c r="X111" i="11"/>
  <c r="X105" i="11"/>
  <c r="X9" i="11"/>
  <c r="X21" i="11"/>
  <c r="X15" i="11"/>
  <c r="X27" i="11"/>
  <c r="X3" i="11"/>
  <c r="X69" i="11"/>
  <c r="X75" i="11"/>
  <c r="X63" i="11"/>
  <c r="X87" i="11"/>
  <c r="X81" i="11"/>
  <c r="W329" i="17"/>
  <c r="X329" i="17"/>
  <c r="J37" i="6"/>
  <c r="J41" i="6"/>
  <c r="J45" i="6"/>
  <c r="J38" i="6"/>
  <c r="K38" i="6"/>
  <c r="J42" i="6"/>
  <c r="J46" i="6"/>
  <c r="K46" i="6"/>
  <c r="J35" i="6"/>
  <c r="K35" i="6" s="1"/>
  <c r="J39" i="6"/>
  <c r="J43" i="6"/>
  <c r="K43" i="6" s="1"/>
  <c r="J40" i="6"/>
  <c r="K40" i="6"/>
  <c r="J44" i="6"/>
  <c r="J71" i="6"/>
  <c r="J67" i="6"/>
  <c r="K67" i="6"/>
  <c r="J65" i="6"/>
  <c r="J64" i="6"/>
  <c r="K64" i="6"/>
  <c r="J70" i="6"/>
  <c r="K70" i="6"/>
  <c r="J69" i="6"/>
  <c r="J66" i="6"/>
  <c r="J63" i="6"/>
  <c r="K63" i="6"/>
  <c r="J58" i="6"/>
  <c r="J59" i="6"/>
  <c r="K59" i="6"/>
  <c r="J68" i="6"/>
  <c r="U428" i="16"/>
  <c r="V428" i="16"/>
  <c r="V247" i="17"/>
  <c r="W247" i="17"/>
  <c r="X247" i="17" s="1"/>
  <c r="Y247" i="17" s="1"/>
  <c r="W304" i="17"/>
  <c r="X304" i="17"/>
  <c r="Y304" i="17" s="1"/>
  <c r="W360" i="17"/>
  <c r="X360" i="17"/>
  <c r="Y360" i="17" s="1"/>
  <c r="J57" i="6"/>
  <c r="K57" i="6"/>
  <c r="J51" i="6"/>
  <c r="K51" i="6" s="1"/>
  <c r="M5" i="26"/>
  <c r="AA77" i="13"/>
  <c r="J54" i="6"/>
  <c r="J48" i="6"/>
  <c r="K48" i="6" s="1"/>
  <c r="Z120" i="11"/>
  <c r="Z107" i="11"/>
  <c r="Z118" i="11"/>
  <c r="Z106" i="11"/>
  <c r="Z117" i="11"/>
  <c r="Z105" i="11"/>
  <c r="Z108" i="11"/>
  <c r="Z119" i="11"/>
  <c r="Z121" i="11"/>
  <c r="Z112" i="11"/>
  <c r="Z100" i="11"/>
  <c r="Z94" i="11"/>
  <c r="Z115" i="11"/>
  <c r="Z111" i="11"/>
  <c r="Z99" i="11"/>
  <c r="Z114" i="11"/>
  <c r="Z102" i="11"/>
  <c r="Z93" i="11"/>
  <c r="Z96" i="11"/>
  <c r="Z113" i="11"/>
  <c r="Z101" i="11"/>
  <c r="Z95" i="11"/>
  <c r="Z24" i="11"/>
  <c r="Z18" i="11"/>
  <c r="Z4" i="11"/>
  <c r="Z23" i="11"/>
  <c r="Z11" i="11"/>
  <c r="Z29" i="11"/>
  <c r="Z3" i="11"/>
  <c r="Z22" i="11"/>
  <c r="Z16" i="11"/>
  <c r="Z10" i="11"/>
  <c r="Z28" i="11"/>
  <c r="Z6" i="11"/>
  <c r="Z21" i="11"/>
  <c r="Z15" i="11"/>
  <c r="Z9" i="11"/>
  <c r="Z27" i="11"/>
  <c r="Z5" i="11"/>
  <c r="Z138" i="11"/>
  <c r="Z123" i="11"/>
  <c r="Z76" i="11"/>
  <c r="Z70" i="11"/>
  <c r="Z89" i="11"/>
  <c r="Z64" i="11"/>
  <c r="Z130" i="11"/>
  <c r="Z129" i="11"/>
  <c r="Z125" i="11"/>
  <c r="Z88" i="11"/>
  <c r="Z65" i="11"/>
  <c r="Z137" i="11"/>
  <c r="Z131" i="11"/>
  <c r="Z66" i="11"/>
  <c r="Z84" i="11"/>
  <c r="Z78" i="11"/>
  <c r="Z81" i="11"/>
  <c r="Z126" i="11"/>
  <c r="Z136" i="11"/>
  <c r="Z132" i="11"/>
  <c r="Z124" i="11"/>
  <c r="Z77" i="11"/>
  <c r="Z83" i="11"/>
  <c r="Z72" i="11"/>
  <c r="Z63" i="11"/>
  <c r="Z71" i="11"/>
  <c r="Z135" i="11"/>
  <c r="Z90" i="11"/>
  <c r="Z75" i="11"/>
  <c r="Z69" i="11"/>
  <c r="Z87" i="11"/>
  <c r="J16" i="6"/>
  <c r="U355" i="16"/>
  <c r="V355" i="16" s="1"/>
  <c r="AJ355" i="16" s="1"/>
  <c r="W288" i="17"/>
  <c r="X288" i="17"/>
  <c r="Y288" i="17" s="1"/>
  <c r="J52" i="6"/>
  <c r="K52" i="6"/>
  <c r="J82" i="6"/>
  <c r="K82" i="6" s="1"/>
  <c r="J11" i="6"/>
  <c r="K11" i="6" s="1"/>
  <c r="Z60" i="11"/>
  <c r="Z50" i="11"/>
  <c r="Z41" i="11"/>
  <c r="AJ401" i="16"/>
  <c r="AI315" i="16"/>
  <c r="AJ436" i="16"/>
  <c r="AH436" i="16"/>
  <c r="AJ258" i="16"/>
  <c r="AJ316" i="16"/>
  <c r="AH315" i="16"/>
  <c r="AI352" i="16"/>
  <c r="AJ352" i="16"/>
  <c r="AI436" i="16"/>
  <c r="AH433" i="16"/>
  <c r="AJ74" i="16"/>
  <c r="AJ215" i="16"/>
  <c r="AJ44" i="16"/>
  <c r="AJ341" i="16"/>
  <c r="AJ279" i="16"/>
  <c r="AJ345" i="16"/>
  <c r="AJ305" i="16"/>
  <c r="AJ329" i="16"/>
  <c r="AJ319" i="16"/>
  <c r="AJ335" i="16"/>
  <c r="AJ438" i="16"/>
  <c r="AJ338" i="16"/>
  <c r="AJ283" i="16"/>
  <c r="AJ420" i="16"/>
  <c r="Z39" i="11"/>
  <c r="Z33" i="11"/>
  <c r="Z57" i="11"/>
  <c r="Z45" i="11"/>
  <c r="AA78" i="13"/>
  <c r="AA70" i="13"/>
  <c r="AA66" i="13"/>
  <c r="AA81" i="13"/>
  <c r="AA80" i="13"/>
  <c r="AA72" i="13"/>
  <c r="AA68" i="13"/>
  <c r="AA64" i="13"/>
  <c r="AA63" i="13"/>
  <c r="AA56" i="13"/>
  <c r="AA54" i="13"/>
  <c r="AA47" i="13"/>
  <c r="AA53" i="13"/>
  <c r="AA46" i="13"/>
  <c r="AA59" i="13"/>
  <c r="AA50" i="13"/>
  <c r="AA49" i="13"/>
  <c r="AA39" i="13"/>
  <c r="AA33" i="13"/>
  <c r="AA23" i="13"/>
  <c r="AA41" i="13"/>
  <c r="AA26" i="13"/>
  <c r="AA25" i="13"/>
  <c r="AA38" i="13"/>
  <c r="AA31" i="13"/>
  <c r="AA32" i="13"/>
  <c r="AA35" i="13"/>
  <c r="I33" i="6"/>
  <c r="J33" i="6"/>
  <c r="I25" i="6"/>
  <c r="J25" i="6"/>
  <c r="K25" i="6" s="1"/>
  <c r="I30" i="6"/>
  <c r="J30" i="6" s="1"/>
  <c r="I24" i="6"/>
  <c r="J24" i="6"/>
  <c r="I27" i="6"/>
  <c r="J27" i="6" s="1"/>
  <c r="I34" i="6"/>
  <c r="J34" i="6" s="1"/>
  <c r="I32" i="6"/>
  <c r="J32" i="6" s="1"/>
  <c r="K32" i="6" s="1"/>
  <c r="I26" i="6"/>
  <c r="J26" i="6" s="1"/>
  <c r="K26" i="6" s="1"/>
  <c r="I28" i="6"/>
  <c r="Z51" i="11"/>
  <c r="I31" i="6"/>
  <c r="J31" i="6" s="1"/>
  <c r="K31" i="6" s="1"/>
  <c r="J28" i="6"/>
  <c r="K28" i="6" s="1"/>
  <c r="I29" i="6"/>
  <c r="J29" i="6"/>
  <c r="AJ100" i="16"/>
  <c r="AJ47" i="16"/>
  <c r="AJ269" i="16"/>
  <c r="AM123" i="16"/>
  <c r="AJ344" i="16"/>
  <c r="AJ247" i="16"/>
  <c r="AJ278" i="16"/>
  <c r="AJ83" i="16"/>
  <c r="AJ41" i="16"/>
  <c r="AJ353" i="16"/>
  <c r="AH352" i="16"/>
  <c r="AL126" i="16"/>
  <c r="W58" i="17"/>
  <c r="X58" i="17" s="1"/>
  <c r="Y58" i="17"/>
  <c r="U82" i="16"/>
  <c r="V82" i="16"/>
  <c r="AJ82" i="16" s="1"/>
  <c r="U95" i="16"/>
  <c r="V95" i="16"/>
  <c r="AJ95" i="16" s="1"/>
  <c r="U125" i="16"/>
  <c r="V125" i="16"/>
  <c r="AM125" i="16"/>
  <c r="U151" i="16"/>
  <c r="V151" i="16" s="1"/>
  <c r="AM151" i="16"/>
  <c r="W116" i="17"/>
  <c r="X116" i="17"/>
  <c r="Y116" i="17" s="1"/>
  <c r="U179" i="16"/>
  <c r="V179" i="16"/>
  <c r="AJ179" i="16" s="1"/>
  <c r="W154" i="17"/>
  <c r="X154" i="17" s="1"/>
  <c r="Y154" i="17" s="1"/>
  <c r="W160" i="17"/>
  <c r="X160" i="17"/>
  <c r="Y160" i="17" s="1"/>
  <c r="U321" i="16"/>
  <c r="V321" i="16" s="1"/>
  <c r="AJ321" i="16" s="1"/>
  <c r="U324" i="16"/>
  <c r="V324" i="16"/>
  <c r="AJ324" i="16"/>
  <c r="U369" i="16"/>
  <c r="V369" i="16" s="1"/>
  <c r="AJ369" i="16"/>
  <c r="W301" i="17"/>
  <c r="X301" i="17"/>
  <c r="Y301" i="17" s="1"/>
  <c r="W334" i="17"/>
  <c r="X334" i="17"/>
  <c r="V3" i="16"/>
  <c r="AH3" i="16" s="1"/>
  <c r="U59" i="16"/>
  <c r="V59" i="16"/>
  <c r="V62" i="16"/>
  <c r="U75" i="16"/>
  <c r="V75" i="16" s="1"/>
  <c r="AJ75" i="16"/>
  <c r="W35" i="17"/>
  <c r="X35" i="17"/>
  <c r="Y35" i="17" s="1"/>
  <c r="W47" i="17"/>
  <c r="X47" i="17"/>
  <c r="Y47" i="17" s="1"/>
  <c r="U186" i="16"/>
  <c r="V186" i="16" s="1"/>
  <c r="AJ186" i="16" s="1"/>
  <c r="W95" i="17"/>
  <c r="X95" i="17" s="1"/>
  <c r="Y95" i="17" s="1"/>
  <c r="U134" i="16"/>
  <c r="V134" i="16" s="1"/>
  <c r="U140" i="16"/>
  <c r="V140" i="16" s="1"/>
  <c r="U165" i="16"/>
  <c r="V165" i="16"/>
  <c r="W137" i="17"/>
  <c r="X137" i="17" s="1"/>
  <c r="Y137" i="17" s="1"/>
  <c r="W140" i="17"/>
  <c r="X140" i="17" s="1"/>
  <c r="Y140" i="17" s="1"/>
  <c r="U203" i="16"/>
  <c r="V203" i="16" s="1"/>
  <c r="U219" i="16"/>
  <c r="V219" i="16" s="1"/>
  <c r="AJ219" i="16" s="1"/>
  <c r="U257" i="16"/>
  <c r="V257" i="16"/>
  <c r="U262" i="16"/>
  <c r="V262" i="16" s="1"/>
  <c r="U265" i="16"/>
  <c r="V265" i="16" s="1"/>
  <c r="AJ265" i="16" s="1"/>
  <c r="U274" i="16"/>
  <c r="V274" i="16"/>
  <c r="AJ274" i="16" s="1"/>
  <c r="U348" i="16"/>
  <c r="V348" i="16" s="1"/>
  <c r="AJ348" i="16" s="1"/>
  <c r="U400" i="16"/>
  <c r="V400" i="16" s="1"/>
  <c r="AJ400" i="16" s="1"/>
  <c r="U412" i="16"/>
  <c r="V412" i="16" s="1"/>
  <c r="W236" i="17"/>
  <c r="X236" i="17" s="1"/>
  <c r="Y236" i="17" s="1"/>
  <c r="W248" i="17"/>
  <c r="X248" i="17" s="1"/>
  <c r="Y248" i="17" s="1"/>
  <c r="W254" i="17"/>
  <c r="X254" i="17" s="1"/>
  <c r="Y254" i="17" s="1"/>
  <c r="W354" i="17"/>
  <c r="X354" i="17"/>
  <c r="Y354" i="17" s="1"/>
  <c r="U16" i="16"/>
  <c r="V16" i="16"/>
  <c r="AJ16" i="16" s="1"/>
  <c r="W48" i="17"/>
  <c r="X48" i="17"/>
  <c r="Y48" i="17"/>
  <c r="W51" i="17"/>
  <c r="X51" i="17" s="1"/>
  <c r="Y51" i="17"/>
  <c r="U181" i="16"/>
  <c r="V181" i="16" s="1"/>
  <c r="AJ181" i="16" s="1"/>
  <c r="W146" i="17"/>
  <c r="X146" i="17" s="1"/>
  <c r="Y146" i="17" s="1"/>
  <c r="U222" i="16"/>
  <c r="V222" i="16" s="1"/>
  <c r="AJ222" i="16" s="1"/>
  <c r="U371" i="16"/>
  <c r="V371" i="16" s="1"/>
  <c r="U382" i="16"/>
  <c r="V382" i="16" s="1"/>
  <c r="AJ382" i="16" s="1"/>
  <c r="W273" i="17"/>
  <c r="X273" i="17"/>
  <c r="Y273" i="17" s="1"/>
  <c r="W338" i="17"/>
  <c r="X338" i="17" s="1"/>
  <c r="Y338" i="17" s="1"/>
  <c r="U8" i="16"/>
  <c r="V8" i="16" s="1"/>
  <c r="V4" i="16"/>
  <c r="AJ4" i="16" s="1"/>
  <c r="U28" i="16"/>
  <c r="V28" i="16" s="1"/>
  <c r="AJ28" i="16" s="1"/>
  <c r="U223" i="16"/>
  <c r="V223" i="16" s="1"/>
  <c r="AJ223" i="16" s="1"/>
  <c r="U419" i="16"/>
  <c r="V419" i="16"/>
  <c r="AJ419" i="16"/>
  <c r="W142" i="17"/>
  <c r="X142" i="17" s="1"/>
  <c r="Y142" i="17" s="1"/>
  <c r="W208" i="17"/>
  <c r="X208" i="17" s="1"/>
  <c r="Y208" i="17" s="1"/>
  <c r="W252" i="17"/>
  <c r="X252" i="17"/>
  <c r="Y252" i="17" s="1"/>
  <c r="W256" i="17"/>
  <c r="X256" i="17" s="1"/>
  <c r="Y256" i="17" s="1"/>
  <c r="W259" i="17"/>
  <c r="X259" i="17" s="1"/>
  <c r="Y259" i="17" s="1"/>
  <c r="W327" i="17"/>
  <c r="X327" i="17" s="1"/>
  <c r="Y327" i="17" s="1"/>
  <c r="AI433" i="16"/>
  <c r="AJ433" i="16"/>
  <c r="AL143" i="16"/>
  <c r="AM143" i="16"/>
  <c r="AJ372" i="16"/>
  <c r="AJ366" i="16"/>
  <c r="AH366" i="16"/>
  <c r="AH78" i="16"/>
  <c r="AI99" i="16"/>
  <c r="U33" i="16"/>
  <c r="V33" i="16"/>
  <c r="AJ33" i="16" s="1"/>
  <c r="W25" i="17"/>
  <c r="X25" i="17"/>
  <c r="Y25" i="17"/>
  <c r="W40" i="17"/>
  <c r="X40" i="17" s="1"/>
  <c r="Y40" i="17"/>
  <c r="U81" i="16"/>
  <c r="V81" i="16"/>
  <c r="V113" i="16"/>
  <c r="AJ113" i="16"/>
  <c r="U115" i="16"/>
  <c r="V115" i="16" s="1"/>
  <c r="AJ115" i="16"/>
  <c r="W89" i="17"/>
  <c r="X89" i="17"/>
  <c r="Y89" i="17" s="1"/>
  <c r="U116" i="16"/>
  <c r="V116" i="16"/>
  <c r="AM116" i="16" s="1"/>
  <c r="U163" i="16"/>
  <c r="V163" i="16"/>
  <c r="AJ163" i="16" s="1"/>
  <c r="U190" i="16"/>
  <c r="V190" i="16" s="1"/>
  <c r="AJ190" i="16" s="1"/>
  <c r="W132" i="17"/>
  <c r="X132" i="17" s="1"/>
  <c r="Y132" i="17" s="1"/>
  <c r="U221" i="16"/>
  <c r="V221" i="16" s="1"/>
  <c r="AJ221" i="16" s="1"/>
  <c r="W163" i="17"/>
  <c r="X163" i="17"/>
  <c r="Y163" i="17" s="1"/>
  <c r="W188" i="17"/>
  <c r="X188" i="17"/>
  <c r="Y188" i="17" s="1"/>
  <c r="U287" i="16"/>
  <c r="V287" i="16"/>
  <c r="AJ287" i="16"/>
  <c r="U306" i="16"/>
  <c r="V306" i="16" s="1"/>
  <c r="U331" i="16"/>
  <c r="V331" i="16" s="1"/>
  <c r="U350" i="16"/>
  <c r="V350" i="16" s="1"/>
  <c r="AJ350" i="16" s="1"/>
  <c r="U418" i="16"/>
  <c r="V418" i="16" s="1"/>
  <c r="W299" i="17"/>
  <c r="X299" i="17" s="1"/>
  <c r="Y299" i="17" s="1"/>
  <c r="W306" i="17"/>
  <c r="X306" i="17"/>
  <c r="Y306" i="17" s="1"/>
  <c r="W309" i="17"/>
  <c r="X309" i="17" s="1"/>
  <c r="Y309" i="17" s="1"/>
  <c r="W352" i="17"/>
  <c r="X352" i="17" s="1"/>
  <c r="Y352" i="17" s="1"/>
  <c r="U12" i="16"/>
  <c r="V12" i="16" s="1"/>
  <c r="AJ12" i="16" s="1"/>
  <c r="V26" i="16"/>
  <c r="AJ26" i="16"/>
  <c r="W10" i="17"/>
  <c r="X10" i="17" s="1"/>
  <c r="Y10" i="17"/>
  <c r="W12" i="17"/>
  <c r="X12" i="17"/>
  <c r="Y12" i="17" s="1"/>
  <c r="W23" i="17"/>
  <c r="X23" i="17"/>
  <c r="Y23" i="17" s="1"/>
  <c r="W29" i="17"/>
  <c r="X29" i="17"/>
  <c r="Y29" i="17"/>
  <c r="W31" i="17"/>
  <c r="X31" i="17" s="1"/>
  <c r="Y31" i="17"/>
  <c r="U60" i="16"/>
  <c r="V60" i="16"/>
  <c r="U77" i="16"/>
  <c r="V77" i="16"/>
  <c r="AJ77" i="16" s="1"/>
  <c r="W56" i="17"/>
  <c r="X56" i="17" s="1"/>
  <c r="Y56" i="17" s="1"/>
  <c r="W61" i="17"/>
  <c r="X61" i="17" s="1"/>
  <c r="Y61" i="17" s="1"/>
  <c r="U91" i="16"/>
  <c r="V91" i="16" s="1"/>
  <c r="W76" i="17"/>
  <c r="X76" i="17"/>
  <c r="Y76" i="17" s="1"/>
  <c r="W82" i="17"/>
  <c r="X82" i="17" s="1"/>
  <c r="Y82" i="17" s="1"/>
  <c r="U124" i="16"/>
  <c r="V124" i="16" s="1"/>
  <c r="AM124" i="16" s="1"/>
  <c r="U209" i="16"/>
  <c r="V209" i="16" s="1"/>
  <c r="AJ209" i="16" s="1"/>
  <c r="W166" i="17"/>
  <c r="X166" i="17" s="1"/>
  <c r="Y166" i="17" s="1"/>
  <c r="U301" i="16"/>
  <c r="V301" i="16" s="1"/>
  <c r="U347" i="16"/>
  <c r="V347" i="16" s="1"/>
  <c r="U304" i="16"/>
  <c r="V304" i="16"/>
  <c r="AJ304" i="16" s="1"/>
  <c r="U313" i="16"/>
  <c r="V313" i="16" s="1"/>
  <c r="AJ313" i="16" s="1"/>
  <c r="U378" i="16"/>
  <c r="V378" i="16" s="1"/>
  <c r="U402" i="16"/>
  <c r="V402" i="16" s="1"/>
  <c r="U416" i="16"/>
  <c r="V416" i="16" s="1"/>
  <c r="AJ416" i="16" s="1"/>
  <c r="W222" i="17"/>
  <c r="X222" i="17" s="1"/>
  <c r="Y222" i="17" s="1"/>
  <c r="W239" i="17"/>
  <c r="X239" i="17" s="1"/>
  <c r="Y239" i="17" s="1"/>
  <c r="W277" i="17"/>
  <c r="X277" i="17"/>
  <c r="Y277" i="17" s="1"/>
  <c r="U21" i="16"/>
  <c r="V21" i="16" s="1"/>
  <c r="AJ21" i="16" s="1"/>
  <c r="U25" i="16"/>
  <c r="V25" i="16" s="1"/>
  <c r="W17" i="17"/>
  <c r="X17" i="17" s="1"/>
  <c r="Y17" i="17" s="1"/>
  <c r="X26" i="17"/>
  <c r="Y26" i="17"/>
  <c r="U45" i="16"/>
  <c r="V45" i="16" s="1"/>
  <c r="U48" i="16"/>
  <c r="V48" i="16" s="1"/>
  <c r="W41" i="17"/>
  <c r="X41" i="17" s="1"/>
  <c r="Y41" i="17" s="1"/>
  <c r="W57" i="17"/>
  <c r="X57" i="17" s="1"/>
  <c r="Y57" i="17" s="1"/>
  <c r="W64" i="17"/>
  <c r="X64" i="17" s="1"/>
  <c r="Y64" i="17" s="1"/>
  <c r="U89" i="16"/>
  <c r="V89" i="16"/>
  <c r="AI89" i="16" s="1"/>
  <c r="U108" i="16"/>
  <c r="V108" i="16"/>
  <c r="AJ108" i="16" s="1"/>
  <c r="U111" i="16"/>
  <c r="V111" i="16"/>
  <c r="W80" i="17"/>
  <c r="X80" i="17" s="1"/>
  <c r="Y80" i="17"/>
  <c r="W85" i="17"/>
  <c r="X85" i="17"/>
  <c r="Y85" i="17" s="1"/>
  <c r="W90" i="17"/>
  <c r="X90" i="17"/>
  <c r="Y90" i="17" s="1"/>
  <c r="U130" i="16"/>
  <c r="V130" i="16"/>
  <c r="AM130" i="16"/>
  <c r="U160" i="16"/>
  <c r="V160" i="16" s="1"/>
  <c r="AJ160" i="16" s="1"/>
  <c r="W133" i="17"/>
  <c r="X133" i="17"/>
  <c r="Y133" i="17" s="1"/>
  <c r="W157" i="17"/>
  <c r="X157" i="17" s="1"/>
  <c r="Y157" i="17" s="1"/>
  <c r="U202" i="16"/>
  <c r="V202" i="16" s="1"/>
  <c r="AJ202" i="16" s="1"/>
  <c r="U210" i="16"/>
  <c r="V210" i="16" s="1"/>
  <c r="AH210" i="16" s="1"/>
  <c r="U244" i="16"/>
  <c r="V244" i="16" s="1"/>
  <c r="AJ244" i="16" s="1"/>
  <c r="U414" i="16"/>
  <c r="V414" i="16" s="1"/>
  <c r="AJ414" i="16" s="1"/>
  <c r="W251" i="17"/>
  <c r="X251" i="17" s="1"/>
  <c r="Y251" i="17" s="1"/>
  <c r="W281" i="17"/>
  <c r="X281" i="17"/>
  <c r="Y281" i="17" s="1"/>
  <c r="W319" i="17"/>
  <c r="X319" i="17" s="1"/>
  <c r="Y319" i="17" s="1"/>
  <c r="U34" i="16"/>
  <c r="V34" i="16" s="1"/>
  <c r="U50" i="16"/>
  <c r="V50" i="16" s="1"/>
  <c r="AJ50" i="16" s="1"/>
  <c r="U67" i="16"/>
  <c r="V67" i="16"/>
  <c r="W44" i="17"/>
  <c r="X44" i="17"/>
  <c r="Y44" i="17" s="1"/>
  <c r="W49" i="17"/>
  <c r="X49" i="17"/>
  <c r="Y49" i="17" s="1"/>
  <c r="U133" i="16"/>
  <c r="V133" i="16"/>
  <c r="AM133" i="16"/>
  <c r="W131" i="17"/>
  <c r="X131" i="17" s="1"/>
  <c r="Y131" i="17" s="1"/>
  <c r="U286" i="16"/>
  <c r="V286" i="16" s="1"/>
  <c r="U333" i="16"/>
  <c r="V333" i="16"/>
  <c r="AJ333" i="16" s="1"/>
  <c r="W217" i="17"/>
  <c r="X217" i="17" s="1"/>
  <c r="Y217" i="17" s="1"/>
  <c r="W232" i="17"/>
  <c r="X232" i="17" s="1"/>
  <c r="Y232" i="17" s="1"/>
  <c r="W290" i="17"/>
  <c r="X290" i="17" s="1"/>
  <c r="W293" i="17"/>
  <c r="X293" i="17" s="1"/>
  <c r="Y293" i="17" s="1"/>
  <c r="U76" i="16"/>
  <c r="V76" i="16" s="1"/>
  <c r="AJ76" i="16" s="1"/>
  <c r="U86" i="16"/>
  <c r="V86" i="16"/>
  <c r="AJ86" i="16"/>
  <c r="U90" i="16"/>
  <c r="V90" i="16" s="1"/>
  <c r="AJ90" i="16"/>
  <c r="U112" i="16"/>
  <c r="V112" i="16"/>
  <c r="AJ112" i="16" s="1"/>
  <c r="W81" i="17"/>
  <c r="X81" i="17"/>
  <c r="Y81" i="17" s="1"/>
  <c r="W91" i="17"/>
  <c r="X91" i="17"/>
  <c r="Y91" i="17"/>
  <c r="U177" i="16"/>
  <c r="V177" i="16" s="1"/>
  <c r="AJ177" i="16" s="1"/>
  <c r="U211" i="16"/>
  <c r="V211" i="16" s="1"/>
  <c r="W185" i="17"/>
  <c r="X185" i="17"/>
  <c r="Y185" i="17" s="1"/>
  <c r="AI427" i="16"/>
  <c r="AH427" i="16"/>
  <c r="AI355" i="16"/>
  <c r="AI348" i="16"/>
  <c r="AJ349" i="16"/>
  <c r="AH348" i="16"/>
  <c r="AJ43" i="16"/>
  <c r="AM149" i="16"/>
  <c r="AI13" i="16"/>
  <c r="AJ14" i="16"/>
  <c r="AJ3" i="16"/>
  <c r="AA36" i="13"/>
  <c r="AA51" i="13"/>
  <c r="AA67" i="13"/>
  <c r="AA82" i="13"/>
  <c r="U36" i="16"/>
  <c r="V36" i="16" s="1"/>
  <c r="AJ36" i="16" s="1"/>
  <c r="AA29" i="13"/>
  <c r="AA55" i="13"/>
  <c r="AA65" i="13"/>
  <c r="AA27" i="13"/>
  <c r="AA28" i="13"/>
  <c r="AA60" i="13"/>
  <c r="AA57" i="13"/>
  <c r="AA71" i="13"/>
  <c r="AA69" i="13"/>
  <c r="W30" i="17"/>
  <c r="X30" i="17" s="1"/>
  <c r="Y30" i="17" s="1"/>
  <c r="U53" i="16"/>
  <c r="V53" i="16" s="1"/>
  <c r="AA34" i="13"/>
  <c r="AA42" i="13"/>
  <c r="AA43" i="13"/>
  <c r="AA44" i="13"/>
  <c r="AA75" i="13"/>
  <c r="AJ336" i="16"/>
  <c r="U15" i="16"/>
  <c r="V15" i="16"/>
  <c r="AJ15" i="16" s="1"/>
  <c r="AJ62" i="16"/>
  <c r="U18" i="16"/>
  <c r="V18" i="16" s="1"/>
  <c r="U35" i="16"/>
  <c r="V35" i="16" s="1"/>
  <c r="AJ35" i="16" s="1"/>
  <c r="U37" i="16"/>
  <c r="V37" i="16" s="1"/>
  <c r="AJ37" i="16" s="1"/>
  <c r="AL132" i="16"/>
  <c r="AA73" i="13"/>
  <c r="AA79" i="13"/>
  <c r="AA52" i="13"/>
  <c r="AA62" i="13"/>
  <c r="AA58" i="13"/>
  <c r="AA37" i="13"/>
  <c r="AA30" i="13"/>
  <c r="AA24" i="13"/>
  <c r="AA40" i="13"/>
  <c r="AA45" i="13"/>
  <c r="AA48" i="13"/>
  <c r="AA61" i="13"/>
  <c r="AA76" i="13"/>
  <c r="AA74" i="13"/>
  <c r="U66" i="16"/>
  <c r="V66" i="16"/>
  <c r="AJ66" i="16" s="1"/>
  <c r="W45" i="17"/>
  <c r="X45" i="17"/>
  <c r="Y45" i="17"/>
  <c r="W50" i="17"/>
  <c r="X50" i="17" s="1"/>
  <c r="Y50" i="17"/>
  <c r="W59" i="17"/>
  <c r="X59" i="17"/>
  <c r="Y59" i="17" s="1"/>
  <c r="U87" i="16"/>
  <c r="V87" i="16"/>
  <c r="U97" i="16"/>
  <c r="V97" i="16" s="1"/>
  <c r="AJ97" i="16"/>
  <c r="U103" i="16"/>
  <c r="V103" i="16"/>
  <c r="U131" i="16"/>
  <c r="V131" i="16"/>
  <c r="AM131" i="16" s="1"/>
  <c r="W125" i="17"/>
  <c r="X125" i="17" s="1"/>
  <c r="Y125" i="17" s="1"/>
  <c r="W52" i="17"/>
  <c r="X52" i="17" s="1"/>
  <c r="Y52" i="17" s="1"/>
  <c r="U105" i="16"/>
  <c r="V105" i="16" s="1"/>
  <c r="U122" i="16"/>
  <c r="V122" i="16"/>
  <c r="AK122" i="16" s="1"/>
  <c r="U64" i="16"/>
  <c r="V64" i="16"/>
  <c r="AJ64" i="16" s="1"/>
  <c r="W112" i="17"/>
  <c r="X112" i="17"/>
  <c r="Y112" i="17" s="1"/>
  <c r="U153" i="16"/>
  <c r="V153" i="16"/>
  <c r="U168" i="16"/>
  <c r="V168" i="16" s="1"/>
  <c r="AJ168" i="16" s="1"/>
  <c r="W55" i="17"/>
  <c r="X55" i="17"/>
  <c r="Y55" i="17"/>
  <c r="U114" i="16"/>
  <c r="V114" i="16" s="1"/>
  <c r="U136" i="16"/>
  <c r="V136" i="16" s="1"/>
  <c r="AM136" i="16" s="1"/>
  <c r="W114" i="17"/>
  <c r="X114" i="17"/>
  <c r="Y114" i="17" s="1"/>
  <c r="U207" i="16"/>
  <c r="V207" i="16" s="1"/>
  <c r="AJ207" i="16" s="1"/>
  <c r="U227" i="16"/>
  <c r="V227" i="16"/>
  <c r="AJ227" i="16" s="1"/>
  <c r="U240" i="16"/>
  <c r="V240" i="16" s="1"/>
  <c r="AJ240" i="16" s="1"/>
  <c r="W96" i="17"/>
  <c r="X96" i="17" s="1"/>
  <c r="Y96" i="17" s="1"/>
  <c r="U127" i="16"/>
  <c r="V127" i="16" s="1"/>
  <c r="U155" i="16"/>
  <c r="V155" i="16" s="1"/>
  <c r="AM155" i="16" s="1"/>
  <c r="U183" i="16"/>
  <c r="V183" i="16" s="1"/>
  <c r="AJ183" i="16" s="1"/>
  <c r="U238" i="16"/>
  <c r="V238" i="16" s="1"/>
  <c r="AJ238" i="16"/>
  <c r="U204" i="16"/>
  <c r="V204" i="16"/>
  <c r="AJ204" i="16" s="1"/>
  <c r="U241" i="16"/>
  <c r="V241" i="16"/>
  <c r="W86" i="17"/>
  <c r="X86" i="17"/>
  <c r="Y86" i="17" s="1"/>
  <c r="W104" i="17"/>
  <c r="X104" i="17"/>
  <c r="Y104" i="17" s="1"/>
  <c r="W127" i="17"/>
  <c r="X127" i="17"/>
  <c r="Y127" i="17"/>
  <c r="W143" i="17"/>
  <c r="X143" i="17" s="1"/>
  <c r="Y143" i="17" s="1"/>
  <c r="X156" i="17"/>
  <c r="Y156" i="17" s="1"/>
  <c r="U230" i="16"/>
  <c r="V230" i="16"/>
  <c r="AJ230" i="16" s="1"/>
  <c r="U137" i="16"/>
  <c r="V137" i="16"/>
  <c r="AL137" i="16" s="1"/>
  <c r="W68" i="17"/>
  <c r="X68" i="17" s="1"/>
  <c r="Y68" i="17"/>
  <c r="W93" i="17"/>
  <c r="X93" i="17"/>
  <c r="Y93" i="17" s="1"/>
  <c r="U117" i="16"/>
  <c r="V117" i="16"/>
  <c r="U141" i="16"/>
  <c r="V141" i="16" s="1"/>
  <c r="AM141" i="16"/>
  <c r="U187" i="16"/>
  <c r="V187" i="16" s="1"/>
  <c r="W141" i="17"/>
  <c r="X141" i="17" s="1"/>
  <c r="Y141" i="17" s="1"/>
  <c r="U216" i="16"/>
  <c r="V216" i="16"/>
  <c r="W193" i="17"/>
  <c r="X193" i="17"/>
  <c r="Y193" i="17" s="1"/>
  <c r="U282" i="16"/>
  <c r="V282" i="16"/>
  <c r="AJ282" i="16" s="1"/>
  <c r="U225" i="16"/>
  <c r="V225" i="16"/>
  <c r="AI225" i="16" s="1"/>
  <c r="U176" i="16"/>
  <c r="V176" i="16" s="1"/>
  <c r="AJ176" i="16" s="1"/>
  <c r="U192" i="16"/>
  <c r="V192" i="16" s="1"/>
  <c r="AJ192" i="16" s="1"/>
  <c r="W158" i="17"/>
  <c r="X158" i="17"/>
  <c r="Y158" i="17" s="1"/>
  <c r="U228" i="16"/>
  <c r="V228" i="16" s="1"/>
  <c r="AJ228" i="16"/>
  <c r="U231" i="16"/>
  <c r="V231" i="16"/>
  <c r="AI231" i="16" s="1"/>
  <c r="W195" i="17"/>
  <c r="X195" i="17"/>
  <c r="Y195" i="17" s="1"/>
  <c r="U290" i="16"/>
  <c r="V290" i="16" s="1"/>
  <c r="U118" i="16"/>
  <c r="V118" i="16"/>
  <c r="AM118" i="16" s="1"/>
  <c r="U171" i="16"/>
  <c r="V171" i="16"/>
  <c r="AJ171" i="16" s="1"/>
  <c r="W151" i="17"/>
  <c r="X151" i="17" s="1"/>
  <c r="Y151" i="17" s="1"/>
  <c r="U235" i="16"/>
  <c r="V235" i="16" s="1"/>
  <c r="W189" i="17"/>
  <c r="X189" i="17" s="1"/>
  <c r="Y189" i="17" s="1"/>
  <c r="U276" i="16"/>
  <c r="V276" i="16"/>
  <c r="AJ276" i="16" s="1"/>
  <c r="U326" i="16"/>
  <c r="V326" i="16"/>
  <c r="AI326" i="16" s="1"/>
  <c r="U339" i="16"/>
  <c r="V339" i="16"/>
  <c r="AJ339" i="16" s="1"/>
  <c r="U377" i="16"/>
  <c r="V377" i="16" s="1"/>
  <c r="AI377" i="16" s="1"/>
  <c r="U389" i="16"/>
  <c r="V389" i="16"/>
  <c r="AJ389" i="16" s="1"/>
  <c r="U337" i="16"/>
  <c r="V337" i="16"/>
  <c r="AH337" i="16" s="1"/>
  <c r="U252" i="16"/>
  <c r="V252" i="16" s="1"/>
  <c r="AJ252" i="16" s="1"/>
  <c r="U273" i="16"/>
  <c r="V273" i="16" s="1"/>
  <c r="AJ273" i="16" s="1"/>
  <c r="U376" i="16"/>
  <c r="V376" i="16"/>
  <c r="AJ376" i="16" s="1"/>
  <c r="U264" i="16"/>
  <c r="V264" i="16"/>
  <c r="U298" i="16"/>
  <c r="V298" i="16"/>
  <c r="U340" i="16"/>
  <c r="V340" i="16"/>
  <c r="AI340" i="16" s="1"/>
  <c r="U358" i="16"/>
  <c r="V358" i="16"/>
  <c r="AJ358" i="16" s="1"/>
  <c r="U399" i="16"/>
  <c r="V399" i="16" s="1"/>
  <c r="AJ399" i="16" s="1"/>
  <c r="U251" i="16"/>
  <c r="V251" i="16"/>
  <c r="U260" i="16"/>
  <c r="V260" i="16" s="1"/>
  <c r="AJ260" i="16" s="1"/>
  <c r="U268" i="16"/>
  <c r="V268" i="16" s="1"/>
  <c r="AJ268" i="16" s="1"/>
  <c r="U280" i="16"/>
  <c r="V280" i="16"/>
  <c r="AJ280" i="16" s="1"/>
  <c r="U421" i="16"/>
  <c r="V421" i="16"/>
  <c r="AJ421" i="16" s="1"/>
  <c r="U415" i="16"/>
  <c r="V415" i="16"/>
  <c r="AJ415" i="16" s="1"/>
  <c r="U388" i="16"/>
  <c r="V388" i="16" s="1"/>
  <c r="W246" i="17"/>
  <c r="X246" i="17" s="1"/>
  <c r="Y246" i="17" s="1"/>
  <c r="W312" i="17"/>
  <c r="X312" i="17"/>
  <c r="Y312" i="17" s="1"/>
  <c r="U356" i="16"/>
  <c r="V356" i="16" s="1"/>
  <c r="AJ356" i="16" s="1"/>
  <c r="U386" i="16"/>
  <c r="V386" i="16" s="1"/>
  <c r="AJ386" i="16" s="1"/>
  <c r="U393" i="16"/>
  <c r="V393" i="16"/>
  <c r="U396" i="16"/>
  <c r="V396" i="16" s="1"/>
  <c r="U407" i="16"/>
  <c r="V407" i="16" s="1"/>
  <c r="W203" i="17"/>
  <c r="X203" i="17" s="1"/>
  <c r="Y203" i="17" s="1"/>
  <c r="W292" i="17"/>
  <c r="X292" i="17" s="1"/>
  <c r="Y292" i="17" s="1"/>
  <c r="W307" i="17"/>
  <c r="X307" i="17" s="1"/>
  <c r="Y307" i="17" s="1"/>
  <c r="W235" i="17"/>
  <c r="X235" i="17"/>
  <c r="Y235" i="17" s="1"/>
  <c r="W342" i="17"/>
  <c r="X342" i="17" s="1"/>
  <c r="Y342" i="17" s="1"/>
  <c r="W291" i="17"/>
  <c r="X291" i="17" s="1"/>
  <c r="Y291" i="17" s="1"/>
  <c r="W205" i="17"/>
  <c r="X205" i="17" s="1"/>
  <c r="Y205" i="17" s="1"/>
  <c r="W268" i="17"/>
  <c r="X268" i="17"/>
  <c r="Y268" i="17" s="1"/>
  <c r="W263" i="17"/>
  <c r="X263" i="17" s="1"/>
  <c r="Y263" i="17" s="1"/>
  <c r="W272" i="17"/>
  <c r="X272" i="17" s="1"/>
  <c r="Y272" i="17" s="1"/>
  <c r="W282" i="17"/>
  <c r="X282" i="17" s="1"/>
  <c r="Y282" i="17" s="1"/>
  <c r="W346" i="17"/>
  <c r="X346" i="17"/>
  <c r="Y346" i="17" s="1"/>
  <c r="W322" i="17"/>
  <c r="X322" i="17" s="1"/>
  <c r="Y322" i="17" s="1"/>
  <c r="W341" i="17"/>
  <c r="X341" i="17" s="1"/>
  <c r="Y341" i="17" s="1"/>
  <c r="U426" i="16"/>
  <c r="V426" i="16" s="1"/>
  <c r="AJ426" i="16" s="1"/>
  <c r="W260" i="17"/>
  <c r="X260" i="17" s="1"/>
  <c r="Y260" i="17" s="1"/>
  <c r="W302" i="17"/>
  <c r="X302" i="17" s="1"/>
  <c r="Y302" i="17" s="1"/>
  <c r="W359" i="17"/>
  <c r="X359" i="17" s="1"/>
  <c r="Y359" i="17" s="1"/>
  <c r="W365" i="17"/>
  <c r="X365" i="17"/>
  <c r="Y365" i="17" s="1"/>
  <c r="W276" i="17"/>
  <c r="X276" i="17" s="1"/>
  <c r="Y276" i="17" s="1"/>
  <c r="W285" i="17"/>
  <c r="X285" i="17" s="1"/>
  <c r="Y285" i="17" s="1"/>
  <c r="W325" i="17"/>
  <c r="X325" i="17" s="1"/>
  <c r="Y325" i="17" s="1"/>
  <c r="V68" i="11"/>
  <c r="W68" i="11"/>
  <c r="Z68" i="11" s="1"/>
  <c r="W358" i="17"/>
  <c r="X358" i="17" s="1"/>
  <c r="AI256" i="16"/>
  <c r="AJ257" i="16"/>
  <c r="AJ59" i="16"/>
  <c r="AI58" i="16"/>
  <c r="AJ165" i="16"/>
  <c r="AI165" i="16"/>
  <c r="AJ89" i="16"/>
  <c r="AI85" i="16"/>
  <c r="AJ81" i="16"/>
  <c r="AI80" i="16"/>
  <c r="AH80" i="16"/>
  <c r="AH13" i="16"/>
  <c r="AJ67" i="16"/>
  <c r="AJ45" i="16"/>
  <c r="AH44" i="16"/>
  <c r="AJ60" i="16"/>
  <c r="AH58" i="16"/>
  <c r="AJ111" i="16"/>
  <c r="AI44" i="16"/>
  <c r="AI306" i="16"/>
  <c r="AJ306" i="16"/>
  <c r="AH306" i="16"/>
  <c r="AM117" i="16"/>
  <c r="AJ337" i="16"/>
  <c r="AI337" i="16"/>
  <c r="AJ298" i="16"/>
  <c r="AJ225" i="16"/>
  <c r="AH225" i="16"/>
  <c r="AM153" i="16"/>
  <c r="AL153" i="16"/>
  <c r="AJ103" i="16"/>
  <c r="AJ377" i="16"/>
  <c r="AI388" i="16"/>
  <c r="AH388" i="16"/>
  <c r="AJ388" i="16"/>
  <c r="AJ87" i="16"/>
  <c r="AH85" i="16"/>
  <c r="AI393" i="16"/>
  <c r="AJ393" i="16"/>
  <c r="AJ264" i="16"/>
  <c r="AJ326" i="16"/>
  <c r="AH326" i="16"/>
  <c r="AH274" i="16"/>
  <c r="AI260" i="16"/>
  <c r="AJ216" i="16"/>
  <c r="AM122" i="16"/>
  <c r="AL122" i="16"/>
  <c r="AI241" i="16"/>
  <c r="AJ241" i="16"/>
  <c r="AJ231" i="16"/>
  <c r="AI251" i="16"/>
  <c r="AJ251" i="16"/>
  <c r="AJ235" i="16"/>
  <c r="AJ18" i="16"/>
  <c r="AH93" i="16"/>
  <c r="AJ114" i="16"/>
  <c r="AI112" i="16"/>
  <c r="AH112" i="16"/>
  <c r="AI93" i="16"/>
  <c r="AJ53" i="16" l="1"/>
  <c r="AI53" i="16"/>
  <c r="AJ418" i="16"/>
  <c r="AI416" i="16"/>
  <c r="AH416" i="16"/>
  <c r="AJ371" i="16"/>
  <c r="AI371" i="16"/>
  <c r="AI412" i="16"/>
  <c r="AH412" i="16"/>
  <c r="AJ412" i="16"/>
  <c r="AM134" i="16"/>
  <c r="AK132" i="16"/>
  <c r="AJ396" i="16"/>
  <c r="AH393" i="16"/>
  <c r="AJ105" i="16"/>
  <c r="AH103" i="16"/>
  <c r="AH47" i="16"/>
  <c r="AJ48" i="16"/>
  <c r="AI47" i="16"/>
  <c r="AJ402" i="16"/>
  <c r="AH401" i="16"/>
  <c r="AJ363" i="16"/>
  <c r="AI361" i="16"/>
  <c r="AH361" i="16"/>
  <c r="AJ407" i="16"/>
  <c r="AI103" i="16"/>
  <c r="AH285" i="16"/>
  <c r="AI285" i="16"/>
  <c r="AJ286" i="16"/>
  <c r="AJ34" i="16"/>
  <c r="AH33" i="16"/>
  <c r="AI33" i="16"/>
  <c r="AJ25" i="16"/>
  <c r="AI24" i="16"/>
  <c r="AJ378" i="16"/>
  <c r="AH377" i="16"/>
  <c r="AH344" i="16"/>
  <c r="AJ347" i="16"/>
  <c r="AH89" i="16"/>
  <c r="AJ91" i="16"/>
  <c r="AI331" i="16"/>
  <c r="AJ331" i="16"/>
  <c r="AJ262" i="16"/>
  <c r="AH260" i="16"/>
  <c r="AM127" i="16"/>
  <c r="AJ301" i="16"/>
  <c r="AH300" i="16"/>
  <c r="AI8" i="16"/>
  <c r="AH8" i="16"/>
  <c r="AJ8" i="16"/>
  <c r="AM140" i="16"/>
  <c r="AJ318" i="16"/>
  <c r="AH317" i="16"/>
  <c r="AI317" i="16"/>
  <c r="AH397" i="16"/>
  <c r="AM137" i="16"/>
  <c r="AJ290" i="16"/>
  <c r="AH231" i="16"/>
  <c r="AJ340" i="16"/>
  <c r="AI279" i="16"/>
  <c r="AK153" i="16"/>
  <c r="AI3" i="16"/>
  <c r="U29" i="16"/>
  <c r="V29" i="16" s="1"/>
  <c r="AJ39" i="16"/>
  <c r="AH99" i="16"/>
  <c r="AJ397" i="16"/>
  <c r="AI397" i="16"/>
  <c r="W21" i="17"/>
  <c r="X21" i="17" s="1"/>
  <c r="Y21" i="17" s="1"/>
  <c r="W22" i="17"/>
  <c r="X22" i="17" s="1"/>
  <c r="Y22" i="17" s="1"/>
  <c r="AI274" i="16"/>
  <c r="AJ440" i="16"/>
  <c r="AI185" i="16"/>
  <c r="AJ185" i="16"/>
  <c r="V61" i="11"/>
  <c r="W61" i="11" s="1"/>
  <c r="Z61" i="11" s="1"/>
  <c r="U11" i="16"/>
  <c r="V11" i="16" s="1"/>
  <c r="AJ11" i="16" s="1"/>
  <c r="U20" i="16"/>
  <c r="V20" i="16" s="1"/>
  <c r="U27" i="16"/>
  <c r="V27" i="16" s="1"/>
  <c r="AJ27" i="16" s="1"/>
  <c r="AI300" i="16"/>
  <c r="AJ300" i="16"/>
  <c r="U40" i="16"/>
  <c r="V40" i="16" s="1"/>
  <c r="AJ40" i="16" s="1"/>
  <c r="W34" i="17"/>
  <c r="X34" i="17" s="1"/>
  <c r="Y34" i="17" s="1"/>
  <c r="U73" i="16"/>
  <c r="V73" i="16" s="1"/>
  <c r="U128" i="16"/>
  <c r="V128" i="16" s="1"/>
  <c r="AM128" i="16" s="1"/>
  <c r="W102" i="17"/>
  <c r="X102" i="17" s="1"/>
  <c r="Y102" i="17" s="1"/>
  <c r="W120" i="17"/>
  <c r="X120" i="17" s="1"/>
  <c r="Y120" i="17" s="1"/>
  <c r="U201" i="16"/>
  <c r="V201" i="16" s="1"/>
  <c r="AJ201" i="16" s="1"/>
  <c r="U249" i="16"/>
  <c r="V249" i="16" s="1"/>
  <c r="AJ249" i="16" s="1"/>
  <c r="W16" i="17"/>
  <c r="X16" i="17" s="1"/>
  <c r="Y16" i="17" s="1"/>
  <c r="W28" i="17"/>
  <c r="X28" i="17" s="1"/>
  <c r="Y28" i="17" s="1"/>
  <c r="U56" i="16"/>
  <c r="V56" i="16" s="1"/>
  <c r="AJ56" i="16" s="1"/>
  <c r="U69" i="16"/>
  <c r="V69" i="16" s="1"/>
  <c r="W53" i="17"/>
  <c r="X53" i="17" s="1"/>
  <c r="Y53" i="17" s="1"/>
  <c r="W63" i="17"/>
  <c r="X63" i="17" s="1"/>
  <c r="Y63" i="17" s="1"/>
  <c r="U109" i="16"/>
  <c r="V109" i="16" s="1"/>
  <c r="U121" i="16"/>
  <c r="V121" i="16" s="1"/>
  <c r="AM121" i="16" s="1"/>
  <c r="U142" i="16"/>
  <c r="V142" i="16" s="1"/>
  <c r="AM142" i="16" s="1"/>
  <c r="U146" i="16"/>
  <c r="V146" i="16" s="1"/>
  <c r="U148" i="16"/>
  <c r="V148" i="16" s="1"/>
  <c r="U198" i="16"/>
  <c r="V198" i="16" s="1"/>
  <c r="AJ198" i="16" s="1"/>
  <c r="W24" i="17"/>
  <c r="X24" i="17" s="1"/>
  <c r="Y24" i="17" s="1"/>
  <c r="U61" i="16"/>
  <c r="V61" i="16" s="1"/>
  <c r="W72" i="17"/>
  <c r="X72" i="17" s="1"/>
  <c r="Y72" i="17" s="1"/>
  <c r="W123" i="17"/>
  <c r="X123" i="17" s="1"/>
  <c r="Y123" i="17" s="1"/>
  <c r="U180" i="16"/>
  <c r="V180" i="16" s="1"/>
  <c r="U237" i="16"/>
  <c r="V237" i="16" s="1"/>
  <c r="U243" i="16"/>
  <c r="V243" i="16" s="1"/>
  <c r="AJ243" i="16" s="1"/>
  <c r="U248" i="16"/>
  <c r="V248" i="16" s="1"/>
  <c r="W108" i="17"/>
  <c r="X108" i="17" s="1"/>
  <c r="Y108" i="17" s="1"/>
  <c r="W115" i="17"/>
  <c r="X115" i="17" s="1"/>
  <c r="Y115" i="17" s="1"/>
  <c r="U159" i="16"/>
  <c r="V159" i="16" s="1"/>
  <c r="U161" i="16"/>
  <c r="V161" i="16" s="1"/>
  <c r="AJ161" i="16" s="1"/>
  <c r="U162" i="16"/>
  <c r="V162" i="16" s="1"/>
  <c r="AJ162" i="16" s="1"/>
  <c r="U167" i="16"/>
  <c r="V167" i="16" s="1"/>
  <c r="AJ167" i="16" s="1"/>
  <c r="U182" i="16"/>
  <c r="V182" i="16" s="1"/>
  <c r="AJ182" i="16" s="1"/>
  <c r="U189" i="16"/>
  <c r="V189" i="16" s="1"/>
  <c r="U197" i="16"/>
  <c r="V197" i="16" s="1"/>
  <c r="AJ197" i="16" s="1"/>
  <c r="W153" i="17"/>
  <c r="X153" i="17" s="1"/>
  <c r="Y153" i="17" s="1"/>
  <c r="U214" i="16"/>
  <c r="V214" i="16" s="1"/>
  <c r="U246" i="16"/>
  <c r="V246" i="16" s="1"/>
  <c r="AJ246" i="16" s="1"/>
  <c r="W165" i="17"/>
  <c r="X165" i="17" s="1"/>
  <c r="Y165" i="17" s="1"/>
  <c r="W173" i="17"/>
  <c r="X173" i="17" s="1"/>
  <c r="Y173" i="17" s="1"/>
  <c r="W197" i="17"/>
  <c r="X197" i="17" s="1"/>
  <c r="Y197" i="17" s="1"/>
  <c r="U254" i="16"/>
  <c r="V254" i="16" s="1"/>
  <c r="AJ254" i="16" s="1"/>
  <c r="U259" i="16"/>
  <c r="V259" i="16" s="1"/>
  <c r="U270" i="16"/>
  <c r="V270" i="16" s="1"/>
  <c r="U289" i="16"/>
  <c r="V289" i="16" s="1"/>
  <c r="AJ289" i="16" s="1"/>
  <c r="U343" i="16"/>
  <c r="V343" i="16" s="1"/>
  <c r="AJ343" i="16" s="1"/>
  <c r="U359" i="16"/>
  <c r="V359" i="16" s="1"/>
  <c r="AJ359" i="16" s="1"/>
  <c r="W169" i="17"/>
  <c r="X169" i="17" s="1"/>
  <c r="Y169" i="17" s="1"/>
  <c r="W177" i="17"/>
  <c r="X177" i="17" s="1"/>
  <c r="Y177" i="17" s="1"/>
  <c r="W182" i="17"/>
  <c r="X182" i="17" s="1"/>
  <c r="Y182" i="17" s="1"/>
  <c r="U266" i="16"/>
  <c r="V266" i="16" s="1"/>
  <c r="AJ266" i="16" s="1"/>
  <c r="U292" i="16"/>
  <c r="V292" i="16" s="1"/>
  <c r="AJ292" i="16" s="1"/>
  <c r="U294" i="16"/>
  <c r="V294" i="16" s="1"/>
  <c r="U297" i="16"/>
  <c r="V297" i="16" s="1"/>
  <c r="AJ297" i="16" s="1"/>
  <c r="U311" i="16"/>
  <c r="V311" i="16" s="1"/>
  <c r="U320" i="16"/>
  <c r="V320" i="16" s="1"/>
  <c r="U334" i="16"/>
  <c r="V334" i="16" s="1"/>
  <c r="AJ334" i="16" s="1"/>
  <c r="U408" i="16"/>
  <c r="V408" i="16" s="1"/>
  <c r="AJ408" i="16" s="1"/>
  <c r="U375" i="16"/>
  <c r="V375" i="16" s="1"/>
  <c r="AJ375" i="16" s="1"/>
  <c r="U383" i="16"/>
  <c r="V383" i="16" s="1"/>
  <c r="U410" i="16"/>
  <c r="V410" i="16" s="1"/>
  <c r="AJ410" i="16" s="1"/>
  <c r="W209" i="17"/>
  <c r="X209" i="17" s="1"/>
  <c r="Y209" i="17" s="1"/>
  <c r="W221" i="17"/>
  <c r="X221" i="17" s="1"/>
  <c r="Y221" i="17" s="1"/>
  <c r="W237" i="17"/>
  <c r="X237" i="17" s="1"/>
  <c r="Y237" i="17" s="1"/>
  <c r="W279" i="17"/>
  <c r="X279" i="17" s="1"/>
  <c r="Y279" i="17" s="1"/>
  <c r="W287" i="17"/>
  <c r="X287" i="17" s="1"/>
  <c r="Y287" i="17" s="1"/>
  <c r="U422" i="16"/>
  <c r="V422" i="16" s="1"/>
  <c r="W214" i="17"/>
  <c r="X214" i="17" s="1"/>
  <c r="Y214" i="17" s="1"/>
  <c r="W224" i="17"/>
  <c r="X224" i="17" s="1"/>
  <c r="Y224" i="17" s="1"/>
  <c r="W295" i="17"/>
  <c r="X295" i="17" s="1"/>
  <c r="Y295" i="17" s="1"/>
  <c r="U441" i="16"/>
  <c r="V441" i="16" s="1"/>
  <c r="AI440" i="16" s="1"/>
  <c r="W227" i="17"/>
  <c r="X227" i="17" s="1"/>
  <c r="Y227" i="17" s="1"/>
  <c r="W267" i="17"/>
  <c r="X267" i="17" s="1"/>
  <c r="Y267" i="17" s="1"/>
  <c r="W284" i="17"/>
  <c r="X284" i="17" s="1"/>
  <c r="Y284" i="17" s="1"/>
  <c r="W330" i="17"/>
  <c r="X330" i="17" s="1"/>
  <c r="Y330" i="17" s="1"/>
  <c r="W250" i="17"/>
  <c r="X250" i="17" s="1"/>
  <c r="Y250" i="17" s="1"/>
  <c r="W313" i="17"/>
  <c r="X313" i="17" s="1"/>
  <c r="Y313" i="17" s="1"/>
  <c r="V158" i="11"/>
  <c r="W158" i="11" s="1"/>
  <c r="Z158" i="11" s="1"/>
  <c r="W234" i="17"/>
  <c r="X234" i="17" s="1"/>
  <c r="Y234" i="17" s="1"/>
  <c r="W258" i="17"/>
  <c r="X258" i="17" s="1"/>
  <c r="Y258" i="17" s="1"/>
  <c r="W265" i="17"/>
  <c r="X265" i="17" s="1"/>
  <c r="Y265" i="17" s="1"/>
  <c r="W337" i="17"/>
  <c r="X337" i="17" s="1"/>
  <c r="Y337" i="17" s="1"/>
  <c r="I5" i="26"/>
  <c r="AH159" i="16"/>
  <c r="AJ159" i="16"/>
  <c r="AI159" i="16"/>
  <c r="AJ187" i="16"/>
  <c r="AH185" i="16"/>
  <c r="AI200" i="16"/>
  <c r="AJ203" i="16"/>
  <c r="AJ166" i="16"/>
  <c r="AH165" i="16"/>
  <c r="AJ169" i="16"/>
  <c r="AI168" i="16"/>
  <c r="AH168" i="16"/>
  <c r="AH206" i="16"/>
  <c r="AJ206" i="16"/>
  <c r="AJ174" i="16"/>
  <c r="AI174" i="16"/>
  <c r="AH174" i="16"/>
  <c r="AJ220" i="16"/>
  <c r="AH220" i="16"/>
  <c r="AJ211" i="16"/>
  <c r="AI210" i="16"/>
  <c r="AH189" i="16"/>
  <c r="AJ189" i="16"/>
  <c r="AI189" i="16"/>
  <c r="AI214" i="16"/>
  <c r="AH214" i="16"/>
  <c r="AJ214" i="16"/>
  <c r="AH179" i="16"/>
  <c r="AJ180" i="16"/>
  <c r="AI179" i="16"/>
  <c r="AH194" i="16"/>
  <c r="AI194" i="16"/>
  <c r="AJ194" i="16"/>
  <c r="AJ210" i="16"/>
  <c r="AH200" i="16"/>
  <c r="AJ294" i="16" l="1"/>
  <c r="AH294" i="16"/>
  <c r="AI294" i="16"/>
  <c r="AM148" i="16"/>
  <c r="AL147" i="16"/>
  <c r="AK147" i="16"/>
  <c r="AJ109" i="16"/>
  <c r="AI109" i="16"/>
  <c r="AH109" i="16"/>
  <c r="AI73" i="16"/>
  <c r="AJ73" i="16"/>
  <c r="AH73" i="16"/>
  <c r="AK137" i="16"/>
  <c r="AK126" i="16"/>
  <c r="AI406" i="16"/>
  <c r="AJ383" i="16"/>
  <c r="AI383" i="16"/>
  <c r="AH383" i="16"/>
  <c r="AJ320" i="16"/>
  <c r="AH320" i="16"/>
  <c r="AI320" i="16"/>
  <c r="AJ270" i="16"/>
  <c r="AH269" i="16"/>
  <c r="AJ237" i="16"/>
  <c r="AH235" i="16"/>
  <c r="AJ61" i="16"/>
  <c r="AI61" i="16"/>
  <c r="AH61" i="16"/>
  <c r="AK143" i="16"/>
  <c r="AM146" i="16"/>
  <c r="AJ29" i="16"/>
  <c r="AH29" i="16"/>
  <c r="AI29" i="16"/>
  <c r="AH241" i="16"/>
  <c r="AH331" i="16"/>
  <c r="AH406" i="16"/>
  <c r="AI290" i="16"/>
  <c r="Y93" i="11"/>
  <c r="Y225" i="11"/>
  <c r="Y111" i="11"/>
  <c r="Y69" i="11"/>
  <c r="Y3" i="11"/>
  <c r="Y63" i="11"/>
  <c r="Y213" i="11"/>
  <c r="Y105" i="11"/>
  <c r="Y9" i="11"/>
  <c r="Y87" i="11"/>
  <c r="Y81" i="11"/>
  <c r="Y201" i="11"/>
  <c r="Y219" i="11"/>
  <c r="Y75" i="11"/>
  <c r="Y99" i="11"/>
  <c r="Y15" i="11"/>
  <c r="Y117" i="11"/>
  <c r="Y27" i="11"/>
  <c r="Y195" i="11"/>
  <c r="Y21" i="11"/>
  <c r="Y207" i="11"/>
  <c r="AH440" i="16"/>
  <c r="AJ441" i="16"/>
  <c r="AJ422" i="16"/>
  <c r="AI422" i="16"/>
  <c r="AH422" i="16"/>
  <c r="AJ311" i="16"/>
  <c r="AI310" i="16"/>
  <c r="AH310" i="16"/>
  <c r="AJ259" i="16"/>
  <c r="AH256" i="16"/>
  <c r="AI18" i="16"/>
  <c r="AH18" i="16"/>
  <c r="AJ20" i="16"/>
  <c r="AH340" i="16"/>
  <c r="AI269" i="16"/>
  <c r="AH39" i="16"/>
  <c r="AI264" i="16"/>
  <c r="AH355" i="16"/>
  <c r="AH24" i="16"/>
  <c r="AH251" i="16"/>
  <c r="AH264" i="16"/>
  <c r="AH371" i="16"/>
  <c r="AH53" i="16"/>
  <c r="AJ248" i="16"/>
  <c r="AH247" i="16"/>
  <c r="AJ69" i="16"/>
  <c r="AI67" i="16"/>
  <c r="AH67" i="16"/>
  <c r="AI247" i="16"/>
  <c r="AI39" i="16"/>
  <c r="AH290" i="16"/>
  <c r="AK116" i="16"/>
</calcChain>
</file>

<file path=xl/comments1.xml><?xml version="1.0" encoding="utf-8"?>
<comments xmlns="http://schemas.openxmlformats.org/spreadsheetml/2006/main">
  <authors>
    <author>ANI</author>
  </authors>
  <commentList>
    <comment ref="D251" authorId="0" shapeId="0">
      <text>
        <r>
          <rPr>
            <b/>
            <sz val="9"/>
            <color indexed="81"/>
            <rFont val="Tahoma"/>
            <family val="2"/>
          </rPr>
          <t>ANI:</t>
        </r>
        <r>
          <rPr>
            <sz val="9"/>
            <color indexed="81"/>
            <rFont val="Tahoma"/>
            <family val="2"/>
          </rPr>
          <t xml:space="preserve">
NO ENCONTRE EL 45%</t>
        </r>
      </text>
    </comment>
    <comment ref="L267" authorId="0" shapeId="0">
      <text>
        <r>
          <rPr>
            <b/>
            <sz val="9"/>
            <color indexed="81"/>
            <rFont val="Tahoma"/>
            <family val="2"/>
          </rPr>
          <t>ANI:</t>
        </r>
        <r>
          <rPr>
            <sz val="9"/>
            <color indexed="81"/>
            <rFont val="Tahoma"/>
            <family val="2"/>
          </rPr>
          <t xml:space="preserve">
POR LA FECHA NO SE SABE QUE DIA SE DEBE PONER PARA EL CAMBIO DE DIVISAS
</t>
        </r>
      </text>
    </comment>
    <comment ref="V267" authorId="0" shapeId="0">
      <text>
        <r>
          <rPr>
            <b/>
            <sz val="9"/>
            <color indexed="81"/>
            <rFont val="Tahoma"/>
            <family val="2"/>
          </rPr>
          <t>ANI:</t>
        </r>
        <r>
          <rPr>
            <sz val="9"/>
            <color indexed="81"/>
            <rFont val="Tahoma"/>
            <family val="2"/>
          </rPr>
          <t xml:space="preserve">
6090,79 RUP
</t>
        </r>
      </text>
    </comment>
    <comment ref="U445" authorId="0" shapeId="0">
      <text>
        <r>
          <rPr>
            <b/>
            <sz val="9"/>
            <color indexed="81"/>
            <rFont val="Tahoma"/>
            <family val="2"/>
          </rPr>
          <t>ANI:</t>
        </r>
        <r>
          <rPr>
            <sz val="9"/>
            <color indexed="81"/>
            <rFont val="Tahoma"/>
            <family val="2"/>
          </rPr>
          <t xml:space="preserve">
POR CC PARECE  2.607,25
</t>
        </r>
      </text>
    </comment>
  </commentList>
</comments>
</file>

<file path=xl/sharedStrings.xml><?xml version="1.0" encoding="utf-8"?>
<sst xmlns="http://schemas.openxmlformats.org/spreadsheetml/2006/main" count="21496" uniqueCount="2492">
  <si>
    <t>CONCURSO DE MÉRITOS ABIERTO No. VJ-VGC-CM-003-2016</t>
  </si>
  <si>
    <t>DESEMPATE</t>
  </si>
  <si>
    <t>EVALUACIÓN CONSOLIDADA, PUNTAJE Y DESEMPATE</t>
  </si>
  <si>
    <t>N°</t>
  </si>
  <si>
    <t>PROPONENTE</t>
  </si>
  <si>
    <t xml:space="preserve"> CAPACIDAD JURÍDICA </t>
  </si>
  <si>
    <t>CAPACIDAD FINANCIERA</t>
  </si>
  <si>
    <t xml:space="preserve">EXPERIENCIA GENERAL </t>
  </si>
  <si>
    <t>PUNTAJE EXPERIENCIA ESPECÍFICA</t>
  </si>
  <si>
    <t> PUNTAJE APOYO A LA INDUSTRIA  </t>
  </si>
  <si>
    <t xml:space="preserve">PUNTAJE TOTAL </t>
  </si>
  <si>
    <t>Numeral 5.2 Sub num 3</t>
  </si>
  <si>
    <t>Numeral 5.2 Literal 4</t>
  </si>
  <si>
    <t>Numeral 5.2 Literal 5</t>
  </si>
  <si>
    <t>Numeral 5.2 Sub num 6</t>
  </si>
  <si>
    <t>P01</t>
  </si>
  <si>
    <t>NO HÁBIL</t>
  </si>
  <si>
    <t>------</t>
  </si>
  <si>
    <t>-------</t>
  </si>
  <si>
    <t>---------</t>
  </si>
  <si>
    <t>P02</t>
  </si>
  <si>
    <t>HÁBIL</t>
  </si>
  <si>
    <t>SI</t>
  </si>
  <si>
    <t>P03</t>
  </si>
  <si>
    <t>P04</t>
  </si>
  <si>
    <t>P05</t>
  </si>
  <si>
    <t>P06</t>
  </si>
  <si>
    <t>P07</t>
  </si>
  <si>
    <t>P08</t>
  </si>
  <si>
    <t>P09</t>
  </si>
  <si>
    <t>P10</t>
  </si>
  <si>
    <t>P11</t>
  </si>
  <si>
    <t>P12</t>
  </si>
  <si>
    <t>P13</t>
  </si>
  <si>
    <t>P14</t>
  </si>
  <si>
    <t>P15</t>
  </si>
  <si>
    <t>P16</t>
  </si>
  <si>
    <t>P17</t>
  </si>
  <si>
    <t>P18</t>
  </si>
  <si>
    <t>P19</t>
  </si>
  <si>
    <t>P20</t>
  </si>
  <si>
    <t>P21</t>
  </si>
  <si>
    <t>P22</t>
  </si>
  <si>
    <t>P23</t>
  </si>
  <si>
    <t>P24</t>
  </si>
  <si>
    <t>HABIL</t>
  </si>
  <si>
    <t>P25</t>
  </si>
  <si>
    <t>RECHAZADO</t>
  </si>
  <si>
    <t>-----</t>
  </si>
  <si>
    <t>P26</t>
  </si>
  <si>
    <t>P27</t>
  </si>
  <si>
    <t>P28</t>
  </si>
  <si>
    <t>P29</t>
  </si>
  <si>
    <t>P30</t>
  </si>
  <si>
    <t>P31</t>
  </si>
  <si>
    <t>P32</t>
  </si>
  <si>
    <t xml:space="preserve"> NO HÁBIL </t>
  </si>
  <si>
    <t>P33</t>
  </si>
  <si>
    <t>P34</t>
  </si>
  <si>
    <t>P35</t>
  </si>
  <si>
    <t xml:space="preserve"> HÁBIL </t>
  </si>
  <si>
    <t>P36</t>
  </si>
  <si>
    <t>P37</t>
  </si>
  <si>
    <t>P38</t>
  </si>
  <si>
    <t>Proyecto (Interventoría)</t>
  </si>
  <si>
    <t>Proceso</t>
  </si>
  <si>
    <t>Presupuesto Oficial</t>
  </si>
  <si>
    <t>Año</t>
  </si>
  <si>
    <t>Presupuesto Oficial (SMMLV)</t>
  </si>
  <si>
    <t>Parametros</t>
  </si>
  <si>
    <t>Fecha de cierre</t>
  </si>
  <si>
    <t>Fecha de Audiciencia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</si>
  <si>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</si>
  <si>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</si>
  <si>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</si>
  <si>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</si>
  <si>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</si>
  <si>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</si>
  <si>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</si>
  <si>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</si>
  <si>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</si>
  <si>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</si>
  <si>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</si>
  <si>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</si>
  <si>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 (P.O)</t>
  </si>
  <si>
    <t>Valor</t>
  </si>
  <si>
    <t>juridico</t>
  </si>
  <si>
    <t>financiero</t>
  </si>
  <si>
    <t>técnico</t>
  </si>
  <si>
    <t>Prop. No.</t>
  </si>
  <si>
    <t>Nombre</t>
  </si>
  <si>
    <t>RED FÉRREA DEL PACÍFICO</t>
  </si>
  <si>
    <t>VJ-VGC-CM-003-2016</t>
  </si>
  <si>
    <t xml:space="preserve">SERIE SMLMV </t>
  </si>
  <si>
    <t xml:space="preserve">AÑO </t>
  </si>
  <si>
    <t>VALOR (COP)</t>
  </si>
  <si>
    <t>IDN1</t>
  </si>
  <si>
    <t>IDN2</t>
  </si>
  <si>
    <t>FOLIO CONTRATO</t>
  </si>
  <si>
    <t>INTEGRANTE</t>
  </si>
  <si>
    <t>ENTIDAD</t>
  </si>
  <si>
    <t>PAIS</t>
  </si>
  <si>
    <t>No. Contrato</t>
  </si>
  <si>
    <t>OBJETO DEL CONTRATO</t>
  </si>
  <si>
    <t>Supervisión o interventoría en proyectos de Infraestructura de Transporte.</t>
  </si>
  <si>
    <t>Vigencia del contrato posterior a 01/01/90</t>
  </si>
  <si>
    <t>PORCENTAJE DE PARTICIÓN</t>
  </si>
  <si>
    <t>Fecha de inicio del contrato</t>
  </si>
  <si>
    <t>Fecha de terminación del contrato</t>
  </si>
  <si>
    <t>Año de Finalización/ última facturación</t>
  </si>
  <si>
    <t>SMMLV Finalización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</si>
  <si>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</si>
  <si>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</si>
  <si>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</si>
  <si>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</si>
  <si>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</si>
  <si>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</si>
  <si>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</si>
  <si>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t>
  </si>
  <si>
    <t>SUMATORIA EXPERIENCIA GENERAL</t>
  </si>
  <si>
    <t>EXPERIENCIA MINIMA POR EL LIDER</t>
  </si>
  <si>
    <t>EXPERIENCIA MINIMA POR CONTRATO</t>
  </si>
  <si>
    <t>NºCONSECUTIVO DEL  RUP/ MATRIZ/ EN EJECUCIÓN</t>
  </si>
  <si>
    <t>Gerencia de Proyectos</t>
  </si>
  <si>
    <t>Ingeniería de Transporte</t>
  </si>
  <si>
    <t>Ingeniería Civil</t>
  </si>
  <si>
    <t xml:space="preserve">ACTIVIDADES RUP, FORMATO 2, MATRIZ O EJECUCIÓN  </t>
  </si>
  <si>
    <t>EXPERIENCIA GENERAL 4.10.1</t>
  </si>
  <si>
    <t>NOTAS</t>
  </si>
  <si>
    <t>NO</t>
  </si>
  <si>
    <t>Segmento 80</t>
  </si>
  <si>
    <t xml:space="preserve">Familia 10 </t>
  </si>
  <si>
    <t>Clase    16</t>
  </si>
  <si>
    <t>Segmento 81</t>
  </si>
  <si>
    <t>Clase    22</t>
  </si>
  <si>
    <t>Clase
15</t>
  </si>
  <si>
    <t>P01-01</t>
  </si>
  <si>
    <t>ICEACSA CONSULTORES SUCURSAL COLOMBIA</t>
  </si>
  <si>
    <t>SOCIEDADE PÚBLICA DE INVESTIMENTOS DE GALICIA, S.A. (XUNTA DE GALICIA – GOBIERNO REGIONAL)</t>
  </si>
  <si>
    <t>ESPAÑA</t>
  </si>
  <si>
    <t>N/A</t>
  </si>
  <si>
    <t>ASISTENCIA TÉCNICA PARA EL CONTROL Y VIGILANCIA  (INTERVENTORÍA) Y COORDINACIÓN DE SEGURIDAD Y SALUD DE LA OBRAS DE CONSTRUCCIÓN DE LA AUTOVÍA AG-64 FERROL  - VILALBA. TRAMO: IGREXAFEITA - ESPIÑAREDO</t>
  </si>
  <si>
    <t>EUR</t>
  </si>
  <si>
    <t>DIRECCIÓN GENERAL DE CARRETERAS - DEMARCACIÓN CARRETERAS DEL ESTADO (MINISTERIO DE FOMENTO - GOBIERNO DE ESPAÑA)</t>
  </si>
  <si>
    <t>CONSULTORÍA Y ASISTENCIA PARA EL CONTROL Y VIGILANCIA DE LAS OBRAS: AUTOVÍA A-8 DEL CANTÁBRICO. TRAMO: MONDOÑEDO - LORENZANA</t>
  </si>
  <si>
    <t>P01-03</t>
  </si>
  <si>
    <t>CONSULTORES UNIDOS S.A.</t>
  </si>
  <si>
    <t>ANI</t>
  </si>
  <si>
    <t>COLOMBIA</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</si>
  <si>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</si>
  <si>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</si>
  <si>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COP</t>
  </si>
  <si>
    <t>EN EJECUCIÓN</t>
  </si>
  <si>
    <t>P01-02</t>
  </si>
  <si>
    <t>COPEBA LTDA</t>
  </si>
  <si>
    <t>INVIAS</t>
  </si>
  <si>
    <t>1956 DE 2008</t>
  </si>
  <si>
    <t>INTERVENTORÍA PARA EL MEJORAMIENTO Y MANTENIMIENTO DE LAS CARRETERAS CARRETO - CALAMAR - PONEDERA - PALMAR DE VARELA, CÓDIGO 2515 Y 2516, SABANA LARGA - BARRANQUILLA, CÓDIGO 9006 Y CARMEN DE BOLÍVAR - ZAMBRANO - PLATO- PUEBLO NUEVO - BOSCONIA, CÓDIGOS 8001 Y 8002 Y 8003, MÓDULO NO. 5.</t>
  </si>
  <si>
    <t/>
  </si>
  <si>
    <t>P02-01</t>
  </si>
  <si>
    <t>INTERVENTORÍAS Y DISEÑOS S.A.</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</si>
  <si>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</si>
  <si>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</si>
  <si>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</si>
  <si>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</si>
  <si>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</si>
  <si>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P02-02</t>
  </si>
  <si>
    <t>INGENOBRAS CONSTRUCCIÓN Y CONSULTORÍA S.A.S. - INGENOBRAS S.A.S.</t>
  </si>
  <si>
    <t>GOBERNACIÓN DEL CESAR</t>
  </si>
  <si>
    <t>2011-04-0094</t>
  </si>
  <si>
    <t>INTERVENTORÍA TÉCNICA, ADMINISTRATIVA, FINANCIERA Y AMBIENTAL A CONTRATOS DE OBRAS MAYORES A EJECUTARSE EN LA VIGENCIA 2011 EN EL DEPARTAMENTO DEL CESAR CON RECURSOS DEL FONDO NACIONAL DE CALAMIDADES, SUBCUENTA COLOMBIA HUMANITARIA.</t>
  </si>
  <si>
    <t>P03-01</t>
  </si>
  <si>
    <t>INGEANDINA CONSULTORES DE INGENIERÍA S.A.S.</t>
  </si>
  <si>
    <t>MINISTERIO DE OBRAS PÚBLICAS DE CHILE</t>
  </si>
  <si>
    <t>CHILE</t>
  </si>
  <si>
    <t>SIN</t>
  </si>
  <si>
    <t>CONSULTORÍA (URBANA E INTERURBANA) DE LA ASESORÍA A LA INSPECCIÓN FISCAL (INTERVENTORÍA) DE LA CONSTRUCCIÓN DE LA OBRA "CONCESIÓN RUTA 5 TRAMO SANTIAGO - TALCA Y ACCESO SUR A SANTIAGO".</t>
  </si>
  <si>
    <t>CLP</t>
  </si>
  <si>
    <t>ASESORÍA A LA INSPECCIÓN FISCAL (INTERVENTORÍA) A LA CONSTRUCCIÓN DE LA CONCESIÓN INTERNACIONAL VIAL SANTIAGO - VALPARAISO - VIÑA DEL MAR.</t>
  </si>
  <si>
    <t>USD</t>
  </si>
  <si>
    <t>P03-02</t>
  </si>
  <si>
    <t>GEOCONTROL S.A. SUCURSAL COLOMBIA</t>
  </si>
  <si>
    <t>ADIF</t>
  </si>
  <si>
    <t>PC-017/01</t>
  </si>
  <si>
    <t>ASISTENCIA TÉCNICA (INTERVENTORÍA) Y CONTROL DE LAS OBRAS DE PLATAFORMA DEL NUEVO ACCESO FERROVIARIO AL NORTE Y NOROESTE DE ESPAÑA MADRID - SEGOVIA - VALLADOLID / MEDINA DEL CAMPO. TRAMO COLMENAR VIEJO - SOTO DEL REAL.</t>
  </si>
  <si>
    <t>$496.900</t>
  </si>
  <si>
    <t>$17.060.551.430</t>
  </si>
  <si>
    <t>MEDIANTE DOCUMENTACIÓN REMITIDA EL 26 DE ABRIL Y 3 DE MAYO DE 2016, EL PROPONENTE APORTA EL ACTA DE RECEPCIÓN Y CERTIFICACIÓN DEL CONTRATO, EN DONDE SE ACLARA QUE LA FECHA DE TERMINACIÓN DEL CONTRATO ES EL 5 DE JUNIO DE 2009.</t>
  </si>
  <si>
    <t>CON-017/02</t>
  </si>
  <si>
    <t>CONSULTORÍA ASISTENCIA (INTERVENTORÍA) PARA EL CONTROL Y VIGILANCIA DE LAS OBRAS DEL NUEVO ACCESO FERROVIARIO AL NORTE Y NOROESTE DE ESPAÑA. TRAMO SOTO DEL REAL - SEGOVIA INFRAESTRUCTURA Y VÍA. LÍNEA DE ALTA VELOCIDAD MADRID - SEGOVIA VALLADOLID / MEDINA DEL CAMPO: SOTO DEL REAL - SEGOVIA. LOTE NO. 3.</t>
  </si>
  <si>
    <t>P04-01</t>
  </si>
  <si>
    <t>INZETT S.A.S.</t>
  </si>
  <si>
    <t>UNIDAD ADMINISTRATIVA ESPECIAL DE REHABILITACIÓN Y MANTENIMIENTO VIAL</t>
  </si>
  <si>
    <t>234 DE 2010</t>
  </si>
  <si>
    <t>INTERVENTORÍA TÉCNICA ADMINISTRATIVA, FINANCIERA Y AMBIENTAL AL SUMINISTRO DE TODOS LOS INSUMOS Y SERVICIOS NECESARIOS PARA EL MANTENIMIENTO VIAL POR EJECUCIÓN DIRECTA A CARGO DE LA UAERMV.</t>
  </si>
  <si>
    <t>221 DE 2009</t>
  </si>
  <si>
    <t>P04-03</t>
  </si>
  <si>
    <t>J. FELIPE ARDILA V &amp; CIA S.A.S.</t>
  </si>
  <si>
    <t>8000047-OK DE 2008</t>
  </si>
  <si>
    <t>INTERVENTORÍA A LAS OBRAS DE MODERNIZACIÓN Y EXPANSIÓN DE LA CONCESIÓN DE LA ADMINISTRACIÓN, OPERACIÓN, EXPLOTACIÓN COMERCIAL, MANTENIMIENTO, MODERNIZACIÓN Y EXPANSIÓN DEL AEROPUERTO INTERNACIONAL EL DORADO DE LA CIUDAD DE BOGOTÁ.</t>
  </si>
  <si>
    <t>P04-02</t>
  </si>
  <si>
    <t>CIVING INGENIEROS CONTRATISTAS S EN C</t>
  </si>
  <si>
    <t>TRANSMILENIO S.A.</t>
  </si>
  <si>
    <t>264 DE 2009</t>
  </si>
  <si>
    <t>INTERVENTORÍA TÉCNICA, ADMINISTRATIVA, FINANCIERA Y LEGAL DEL CONTRATO DE LAS OBRAS DE MANTENIMIENTO DE LA INFRAESTRUCUTRA DEL SISTEMA DE TRANSPORTE MASIVO DE LA CIUDAD DE BOGOTÁ D.C.</t>
  </si>
  <si>
    <t>P05-01</t>
  </si>
  <si>
    <t>MAB INGENIERÍA DE VALOR S.A.</t>
  </si>
  <si>
    <t>IDU</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</si>
  <si>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</si>
  <si>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</si>
  <si>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3606 DE 2008</t>
  </si>
  <si>
    <t>INTERVENTORÍA PARA EL MEJORAMIENTO Y MANTENIMIENTO DE LAS CARRETERAS MEDIACANOA - ANSERMANUEVO - LA VIRGINIA, CÓDIGO 2302 Y MIRANDA - RÍO DESBARATADO - PRADERA - PALMIRA, CÓDIGO 3105, MÓDULO 1.</t>
  </si>
  <si>
    <t>P05-02</t>
  </si>
  <si>
    <t>OMC AMEPRO COLOMBIA</t>
  </si>
  <si>
    <t>MINISTERIO DE FOMENTO</t>
  </si>
  <si>
    <t>48-LE-3580</t>
  </si>
  <si>
    <t>CONTROL Y VIGILANCIA (INTERVENTORÍA) DE LA OBRA RONDA SUR DE LEÓN TRAMODE LA N-630 A LA A-66 RED ARTERIAL DE LEÓN.</t>
  </si>
  <si>
    <t>P06-01</t>
  </si>
  <si>
    <t>129-132</t>
  </si>
  <si>
    <t>BAC ENGINEERING CONSULTANCY GROUP S.A.S.</t>
  </si>
  <si>
    <t>AYUNTAMIENTO DE BARCELONA</t>
  </si>
  <si>
    <t>SEGUIMIENTO Y CONTROL DE LOS PROYECTOS Y OBRAS VINCULADOS A LA NUEVA LINEA 9 DEL METRO, A LA PROLONGACION DE LA L-3 Y L5 DEL METRO, Y A OTRAS ACTUACIONES DE MEJORA DE INFRAESTRUCTURAS EN LA CIUDAD DE BARCELONA, CONTRATO 03001254 EXPEDIENTE 20030445</t>
  </si>
  <si>
    <t>EUROS</t>
  </si>
  <si>
    <t>23 FOLIO 32</t>
  </si>
  <si>
    <t>P06-02</t>
  </si>
  <si>
    <t>133-135</t>
  </si>
  <si>
    <t>SILVA CARREÑO Y ASOCIADOS S.A.S.</t>
  </si>
  <si>
    <t>090 DEL 13 SEPTIEMBRE DE 2012</t>
  </si>
  <si>
    <t>REALIZAR LA INTERVENTORIA INTEGRAL QUE INCLUYE PERO NO SE LIMITA A LA INTERVENTORIA TECNICA, JURIDICA, ADMINISTRATIVA, FINANCIERA, OPERATIVA, PREDIAL Y SOCIO-AMBIENTAL DEL CONTRATO DE CONCESION No. 006 de 2007. PARA LA CONCESION AREA METROPOLITANA DE CUCUTA, CONCESIONARIA SAN SIMON S.A.</t>
  </si>
  <si>
    <t>PESOS</t>
  </si>
  <si>
    <t>4  FOLIO 45</t>
  </si>
  <si>
    <t>0133-2001</t>
  </si>
  <si>
    <t>INTERVENTORIA TECNICA Y ADMINISTRATIVA PARA EL MEJORAMIENTO DE LA CARRETERA FUENTE DE ORO - PUERTO LLERAS EN EL DEPARATAMENTO DEL META K20+000 - K34+000</t>
  </si>
  <si>
    <t>10  FOLIO 46</t>
  </si>
  <si>
    <t>P06-03</t>
  </si>
  <si>
    <t>137-140</t>
  </si>
  <si>
    <t>ARENAS DE LA HOZ CONSULTORES S.A.S.</t>
  </si>
  <si>
    <t>INTERVENTORIA QUE INCLUYE PERO NO SE LIMITA A LA INTERVENTORIA TECNICA, FINANCIERA, ADMINISTRATIVA, JURIDICA, GESTION SOCIAL, PREDIAL Y AMBIENTAL DEL PROYECTO CORREDOR DE LAS PALMERAS  FASE 2 PARA EL PROGRAMA DE LA PROSPERIDAD – MODULO 1</t>
  </si>
  <si>
    <t>55 FOLIO 100</t>
  </si>
  <si>
    <t>P07-01</t>
  </si>
  <si>
    <t>PROYECTOS DESARROLLO E INFRAESTRUCTURA COLOMBIA S.A.S. - PRODEINCOL</t>
  </si>
  <si>
    <t>SEA-067 DE 2012</t>
  </si>
  <si>
    <t>INTERVENTORÍA TÉCNICA, FINANCIERA, ADMINISTRATIVA, JURÍDICA, MEDIOAMBIENTAL Y SOCIO-PREDIAL, AL PROYECTO DE INFRAESTRUCTURA VIAL CONCESIÓN BOGOTÁ-VILLAVICENCIO</t>
  </si>
  <si>
    <t>265 DE 2012</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</si>
  <si>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</si>
  <si>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CUMPLE</t>
  </si>
  <si>
    <t>094 DE 2012</t>
  </si>
  <si>
    <t>INTERVENTORÍA TECNICA, FINANCIERA, OPERATIVA CONTABLE, JURIDICA, MEDIOAMBIENTAL, SOCIO-PREDIAL, ADMINISTRATIVA, DEL CONTRATO DE CONCESIÓN DESARROLLO VIAL DEL ORIENTE DE MEDELLÍN, VALLE DEL RIONEGRO Y CONEXIÓN A PUERTO TRIUNFO-DEVIMED.</t>
  </si>
  <si>
    <t>138-141</t>
  </si>
  <si>
    <t>1569 DE 2009</t>
  </si>
  <si>
    <t>INTERVENTORIA TECNICA, LEGAL, FINANCIERA, ADMINISTRATIVA, AMBIENTAL, PREDIAL Y SOCIAL DEL PROYECTO:"ESTUDIOS Y DISEÑOS, GESTIÓN SOCIAL, PREDIAL, AMBIENTAL Y MEJORAMIENTO DEL PROYECTO CORREDOR DEL SUR Y MARGINAL DE LA SELVA"</t>
  </si>
  <si>
    <t>114 FOLIO 091</t>
  </si>
  <si>
    <t>P08-01</t>
  </si>
  <si>
    <t>169-171</t>
  </si>
  <si>
    <t>3B PROYECTOS S.A.S.</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</si>
  <si>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</si>
  <si>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</si>
  <si>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</si>
  <si>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43 FOLIO 60</t>
  </si>
  <si>
    <t>172-174</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</si>
  <si>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</si>
  <si>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</si>
  <si>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29 FOLIO 54</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</si>
  <si>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</si>
  <si>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</si>
  <si>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</si>
  <si>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2 FOLIO 43</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</si>
  <si>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</si>
  <si>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</si>
  <si>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45 FOLIO 60</t>
  </si>
  <si>
    <t>P09-01</t>
  </si>
  <si>
    <t>107-110</t>
  </si>
  <si>
    <t>TECNICA Y PROYECTOS S.A. TYPSA</t>
  </si>
  <si>
    <t xml:space="preserve">CONSULTORÍA Y ASISTENCIA PARA EL CONTROL Y VIGILANCIA DE LAS OBRAS DEL NUEVO ACCESO FERROVIARIO AL NORTE DE ESPAÑA. TRAMO: SOTO DEL REAL-SEGOVIA, INFRAESTRUCTURA Y VÍA LOTE No 1, </t>
  </si>
  <si>
    <t>59 FOLIO 35</t>
  </si>
  <si>
    <t>111-114</t>
  </si>
  <si>
    <t xml:space="preserve">CONSULTORÍA Y ASISTENCIA PARA LA REDACCION DEL PROYECTO Y CONTROL DE LAS OBRAS DE PLATAFORMA DEL NUEVO ACCESO FERROVIARIO DE ALTA VELOCIDAD DE LEVANTE DE MADRID - CATILLA LA MANCHA-COMUNIDAD VALENCIANA- REGIÓN DE MURCIA. TRAMO: NOVELDA- MONFORTE DEL CID
</t>
  </si>
  <si>
    <t>88  FOLIO 111</t>
  </si>
  <si>
    <t>P09-02</t>
  </si>
  <si>
    <t>116-121</t>
  </si>
  <si>
    <t>CONSULTORES TÉCNICOS Y ECONÓMICOS S.A.</t>
  </si>
  <si>
    <t>INCO</t>
  </si>
  <si>
    <t>SEA-C-MVVC-089</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</si>
  <si>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</si>
  <si>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26 FOLIO 53</t>
  </si>
  <si>
    <t>122-126</t>
  </si>
  <si>
    <t>IDU-001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</si>
  <si>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</si>
  <si>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37 FOLIO 54</t>
  </si>
  <si>
    <t>P10-01</t>
  </si>
  <si>
    <t>149-150</t>
  </si>
  <si>
    <t>AFA CONSULTORES Y CONSTRUCTORES S.A.</t>
  </si>
  <si>
    <t xml:space="preserve">DEPARTAMENTO DE MAGDALENA </t>
  </si>
  <si>
    <t>051 DE 1993</t>
  </si>
  <si>
    <t>Interventoría al contrato de concesión Nº 0441993 para la rehabilitación, construcción, mejormaiento, conservación, mantenimeinto y operación de la vía Barranquilla - Cienaga entre las abscisas K0+000 al K62+000</t>
  </si>
  <si>
    <t>10 FOLIO 32</t>
  </si>
  <si>
    <t>151-157</t>
  </si>
  <si>
    <t>ALCALDIA MAYOR DE CARTAGENA DE INDIAS D.T. Y C.</t>
  </si>
  <si>
    <t>VAL-03-2006</t>
  </si>
  <si>
    <t xml:space="preserve">interventoría al contrato de concesión para la construcción y mejormaiento de la vía Trasversal de Baru </t>
  </si>
  <si>
    <t>5 FOLIO 31</t>
  </si>
  <si>
    <t>158-181</t>
  </si>
  <si>
    <t>001 DE 2007</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</si>
  <si>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</si>
  <si>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NO APLICA</t>
  </si>
  <si>
    <t>P10-02</t>
  </si>
  <si>
    <t>182-</t>
  </si>
  <si>
    <t>INCGROUP S.A.S.</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</si>
  <si>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</si>
  <si>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</si>
  <si>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P11-01</t>
  </si>
  <si>
    <t>-</t>
  </si>
  <si>
    <t>Asistencia técnica para el "Control y vigilancia de las seis obras: 32-TO-3480. Conservación del firme. Rehabilitación estructural del firme. A-4, Autovía del Sur, PK 81,7 al 83,9 (M.I.), 83,9 al 91,7 (M.D.); 32-TO-3500. Conservación del Firme. Rehabilitación de firme con pavimento de mezcla bituminosa en la A-42, Autovía de Toledo, P.K. 49,7 al 67,0. Tramo: Cabañas - Toledo; 32-TO-3510; 32TO-3560 y  33-TO-3090. Provincia de Toledo"</t>
  </si>
  <si>
    <t>Consultoria y asistencia para el control y vigilancia de la obra: "Cuarto Cinturon de Zaragoza. Tramo: Ronda Este. Provincia de Zaragoza" (Clave: 48-Z-3190B)</t>
  </si>
  <si>
    <t>P11-02</t>
  </si>
  <si>
    <t>010-2008</t>
  </si>
  <si>
    <t>Interventoría Técnica, financiera, operativa, predial, socio-ambiental y legal del proyecto de concesión Malla Víal del Valle del Cauca y Cauca</t>
  </si>
  <si>
    <t>Asesoría e Interventoría técnica, administrativa y ambiental en la construcción de un tramo de corredor del Sistema integrado de transporte masico Transcaribe desde cuatro vientos a bazurto en Cartagena de Indias Distrito Turístico y Cultural</t>
  </si>
  <si>
    <t>P12-01</t>
  </si>
  <si>
    <t>GOBERNACION DE CASANARE</t>
  </si>
  <si>
    <t>0852-1997</t>
  </si>
  <si>
    <t xml:space="preserve"> Interventoría y asesoría técnica y administrativa para las obras de ampliación, rectificación y pavimentación de la vía Aguazul - Maní, sector K33+000 a Maní</t>
  </si>
  <si>
    <t>062-2005</t>
  </si>
  <si>
    <t xml:space="preserve">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</si>
  <si>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282-2013</t>
  </si>
  <si>
    <t xml:space="preserve">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</si>
  <si>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NA</t>
  </si>
  <si>
    <t>P12-02</t>
  </si>
  <si>
    <t>Consultoría y asistencia para el control y vigilancia de las obras "Línea Barcelona-Puigcerdá. Renovación de vía y tratamiento de plataforma. Tramo: Ripoll-Puigcerdá-frontera francesa</t>
  </si>
  <si>
    <t>P13-01</t>
  </si>
  <si>
    <t>METROLINEA SA</t>
  </si>
  <si>
    <t>002-2006</t>
  </si>
  <si>
    <t>Interventoría técnica, administrativa, legal, financiera y ambiental para la construcción de cuatro tramos de Infraestructura del sistema integrado de transporte masivo para el area metropolitana de Bucaramanga, sobre la carrera 15 entre la virgen y la avenida quebrada seca, sobe la autopista Bucaramanga - Floridablanca, entre el puente Provenza y el puente vehicular de Cañaveral y entre el puente vehicular Cañaveral y Papi Quiero Piña, sobre la carrera 27 entre la UIS y la Avd. Quebradaseca y el par vial calle 10 - calle 11 del Municipio de Bucaramanga.</t>
  </si>
  <si>
    <t xml:space="preserve">MUNICIPIO DE BUCARAMANGA </t>
  </si>
  <si>
    <t>348-2010</t>
  </si>
  <si>
    <t>Interventoría de la actualización de estudios y diseños a fase III y construcción del viaducto de la carrera novena y obras complementarias en el municipio de Bucaramanga</t>
  </si>
  <si>
    <t>167-2006</t>
  </si>
  <si>
    <t>Interventoría técnica, administrativa, financiera, ambiental, social, de seguridad industrial y salud</t>
  </si>
  <si>
    <t>P13-02</t>
  </si>
  <si>
    <t>Consultoría y asistencia para el control y vigilancia de las obras "Autovía A-22, lleida-Huesca. Tramo: Variante de Barbastro. Provincia de Huesca" clave 12-HU-5860</t>
  </si>
  <si>
    <t>P14-01</t>
  </si>
  <si>
    <t>SF</t>
  </si>
  <si>
    <t>Control y vigilancia de las obras de seguridad vial: Mejora integral de la seguridad vial en la N-340. Tramo Almenara-Nules (clave:33-CS-5620)</t>
  </si>
  <si>
    <t>GENERALITAT VALENCIANA. CONSELLERIA D`INFRAESTRUCTURES, TERRITORI I MEDI AMBIENT</t>
  </si>
  <si>
    <t>Apoyo a la Dirección de Obra de cierre Ronda norte de Valencia y conexiones con Maestro Rodrigo-Benimamet. CV-35, Burjassot y futura vía parque Norte Norte (Valencia)</t>
  </si>
  <si>
    <t>NO CUMPLE</t>
  </si>
  <si>
    <t>Consultoria y asistencia de "Apoyo a la Dirección de Obra Ronda Norte de Valencia. Tramo Benimamet-Ciudad Fallera y Modificado Nº1 (Expte. 2003/09/94)</t>
  </si>
  <si>
    <t>P14-02</t>
  </si>
  <si>
    <t>SEA-15-2012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</si>
  <si>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</si>
  <si>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P15-01</t>
  </si>
  <si>
    <t>ALCALDIA DE BARRANQUILLA</t>
  </si>
  <si>
    <t>GPI-001-2000</t>
  </si>
  <si>
    <t>INTERVENTORIA A LOS TRABAJOS DE DISEÑO, CONSTRUCCIÓN, REHABILITACIÓN Y MANTENIMIENTO DE LA MALLA VIAL DEL DISTRITO DE BARRANQUILLA POR EL SISTEMA DE CONCESIÓN</t>
  </si>
  <si>
    <t>P15-02</t>
  </si>
  <si>
    <t>TRANSMETRO</t>
  </si>
  <si>
    <t>CPI-TM-300-001-09</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</si>
  <si>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</si>
  <si>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GOBERNACION ANTIOQUIA</t>
  </si>
  <si>
    <t>2013-SS-20-0020</t>
  </si>
  <si>
    <t>Interventoría técnica, administrativa, ambiental, financiera, mantenimiento y construcción de obras complementarias en la red víal de las Subregiones Norte y Bajo Cauca del departamento de Antioquia.</t>
  </si>
  <si>
    <t>P15-03</t>
  </si>
  <si>
    <t>TERMINAL DE CONTENEDORES DE BUENAVENTURA</t>
  </si>
  <si>
    <t>Interventoría técnica, administrativa y ambiental para la construcción de un terminal de contenedores en el puerto de Buenaventura</t>
  </si>
  <si>
    <t>P16-02</t>
  </si>
  <si>
    <t>C &amp; M CONSULTORES  S.A.</t>
  </si>
  <si>
    <t>049 DE 2014</t>
  </si>
  <si>
    <t>Interventoría integral del Contrato de Concesión, que incluye, pero no se limita a la Interventoría financiera, administrativa, técnica,  legal, operativa, ambiental y de seguridad aeroportuaria del contrato de concesión 8000011OK de 2008, así como regular los términos y condiciones bajo los  cuales los contratantes pagaran al interventor de forma mensual la contraprestación ofrecida por el interventor de forma mensual la contraprestación ofrecida por el interventor y aceptada por los contratantes durante el concurso de méritos consistente en una suma global fija.</t>
  </si>
  <si>
    <t>P16-01</t>
  </si>
  <si>
    <t>IVICSA S.A.S.</t>
  </si>
  <si>
    <t>CONSELLERIA DE INFRAESTRUCTURA, TERRITORIO Y MEDIO AMBIENTE DE LA GENERALITAT VALENCIANA</t>
  </si>
  <si>
    <t>Consultoria y Asistencia tècnica de direcciòn y control y vigilancia de las obras (Interventoria) de la Autovìa de la Plana (CV - 10) tramo Pobla - Tornesa - Villanova D`Alcolea (Aeropuerto) Castellòn.</t>
  </si>
  <si>
    <t>Consultoria y Asistencia tècnica de direcciòn y control y vigilancia de las obras (Interventoria) de la prolongaciòn de la lìnea T - 4 de tranvìa de Metrovalencia, tramo rado televisiòn Valencia (RTVV) - Bario de la Coma/Valterna</t>
  </si>
  <si>
    <t>Direcciòn de la Obra (Interventoria) de la obras de la superestructura de vìa, electrificaciòn, señalizaciòn, comunicaciones y arquitectura y equipamiento de estaciones del soterramiento de la linea 1 de F.G.V a su paso Benimament (Valencia)</t>
  </si>
  <si>
    <t>P17-01</t>
  </si>
  <si>
    <t>PRO. ESPECIFICA</t>
  </si>
  <si>
    <t>ESTEYCO SUCURSAL COLOMBIA</t>
  </si>
  <si>
    <t>12-GR-3330</t>
  </si>
  <si>
    <t>CONTROL Y VIGILANCIA DE LAS OBRAS AUTOVÌA DE GRANADA N-323 DE BAILÈN A MOTRIL TRAMO: IZBOR-VELEZ DE BENAUDALLA</t>
  </si>
  <si>
    <t>P17-03</t>
  </si>
  <si>
    <t>LUIS EDUARDO POMBO RAMOS</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</si>
  <si>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</si>
  <si>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</si>
  <si>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P17-02</t>
  </si>
  <si>
    <t>INGENIEROS CONSULTORES INCORPORADOS S.A.S.</t>
  </si>
  <si>
    <t>3494 DE 2007</t>
  </si>
  <si>
    <t>INTERVENTORIA DE LAS OBRAS DE MEJORAMIENTO Y MANTENIMIENTO DE LA CARRETERA TUMACO - JUNIN - PEDREGAL, DE LA TRANSVERSAL TUMACO - MOCOA, RUTA 10, TRAMO 1001 Y 1002</t>
  </si>
  <si>
    <t>P18-01</t>
  </si>
  <si>
    <t>SIGA INGENIERÍA Y CONSULTORÍA S.A. SUCURSAL COLOMBIA</t>
  </si>
  <si>
    <t>SEA 068 DE 2012</t>
  </si>
  <si>
    <t>INTERVENTORIA INTEGRAL QUE INCLUYE PERO NO SE LIMITA A LA INTERVENTORIA TECNICA, ADMINISTRATIVA, FINANCIERA, JURIDICA, OPERATIVA, PREDIAL, SOCIAO PREDIAL, MEDIOAMBIENTAL DEL PROYECTO DE CONCESIÓN MALLA VIAL DEL VALLE DEL CAUCA Y CAUCA MVVCC, EN EL MARCO DEL CONTRATO DE CONCESIÓN 005 DE 1999</t>
  </si>
  <si>
    <t>EMPRESA FERROCARRILES DEL ESTADO</t>
  </si>
  <si>
    <t>SERVICIO DE INSPECCIÒN TÈCNICA DE OBRAS, POR LA EJECUCIÒN DEL CONTRATO DE PROVISIÒN DE INFRAESTRUCTURA FERROVIARIA: PROYECTO ZONA CENTRO</t>
  </si>
  <si>
    <t xml:space="preserve">
En el diligenciamiento del Formato 5,   al consignar el Contrato de Orden No. 2 (ejecutado con la EMPRESA FERROCARRILES DEL ESTADO de CHILE), el proponente envio nuevo RUP (en firme), el numero consecutivo es el 13</t>
  </si>
  <si>
    <t>P18-02</t>
  </si>
  <si>
    <t>JORGE PIDDO SEGUIDO DE LA EXPRESIÓN SUCURSAL COLOMBIA</t>
  </si>
  <si>
    <t>086 DE 2012</t>
  </si>
  <si>
    <t>INTERVENTORIA INTEGRAL DEL CONTRATO DE CONCECESIÒN QUE INCLUYE PERO NO SE LIMITA A LA INTERVENTORIA TECNICA, ADMINISTRATIVA, FINANCIERA, OPERATIVA, CONTABLE,  JURIDICA, MEDIOAMBIENTAL, SOCIO-PREDIAL, ADMINISTRATIVA  CONTRATO DE CONCESIÒN No. 002 DE 2006, Y DEMÀS DOCUMENTOS QUE LO MODIFIQUEN, ADICIONEN O COMPLEMENTEN. PARA LA CONCESIÒN ZONA METROPOLITANA DE BUCARAMANGA</t>
  </si>
  <si>
    <t>MINISTERIO DE OBRAS PUBLICAS</t>
  </si>
  <si>
    <t>ASESORIA A LA INSPECCIÒN FISCAL CONTRATO DE CONCESIÒN SANTIAGO - COLINA - LOS ANDES</t>
  </si>
  <si>
    <t>US</t>
  </si>
  <si>
    <t>P19-01</t>
  </si>
  <si>
    <t>EUROCONTROL S.A.</t>
  </si>
  <si>
    <t>12-AV-2850</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</si>
  <si>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</si>
  <si>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</si>
  <si>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</si>
  <si>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P19-03</t>
  </si>
  <si>
    <t>GARPER INGENIERÍA CIA S.A.S.</t>
  </si>
  <si>
    <t>INTERVENTORIA AL CONTRATO DE CONCESIÓN No 044 DE 1993 PARA LA REHABILITACIÓN, CONSTRUCCIÓN, MEJORMIENTO, CONSERVACIÓN, MANTENIMIENTO Y OPERACIÓN DE LA VIA BARRANQUILLA-CIENAGA ENTRE LAS ABSCISAS KO+000 AL K62+00</t>
  </si>
  <si>
    <t>P19-02</t>
  </si>
  <si>
    <t>D&amp;B INGENIEROS CIVILES S.A.S.</t>
  </si>
  <si>
    <t>REPUBLICA DEL PARAGUAY MINISTERIO DE RELACIONES EXTERIORES</t>
  </si>
  <si>
    <t>PARAGUAY</t>
  </si>
  <si>
    <t>SERVIVIOS DE FISCALIZACIÒN DE LAS OBRAS DE CONSTRUCCIÒN DE LA RUTA JUQUERI - SAN ROQUE GONZALES EN EL DEPARTAMENTO DE PARAGUARI, LLAMADO M.O.P.C No. 0003/2007</t>
  </si>
  <si>
    <t>PYG</t>
  </si>
  <si>
    <t>P20-01</t>
  </si>
  <si>
    <t>PROGIN SPA</t>
  </si>
  <si>
    <t>PROVINCIA DE CROTONE SECTOR OBRAS PÚBLICAS</t>
  </si>
  <si>
    <t>ITALIA</t>
  </si>
  <si>
    <t>EJECUCIÓN DEL SERVICIO DE PROYECTOS Y SUPERVISIÓN DE TRABAJOS DE MADERNIZACIÓN DE LA CARRETERA QUE CONECTA LA SS107 CON CROTONEI Y TREPIDO LOTE 1</t>
  </si>
  <si>
    <t>ITALFER</t>
  </si>
  <si>
    <t>CERTIFICACIÒN DE PRESTACIONES DE INGENIERIA LLEVADAS A CABO POR EL CONSORCIO TPLAV EN EL AMBITO DEL SISTEMA FERROVIARIO ITALIANO DE ALTA VELOCIDAD</t>
  </si>
  <si>
    <t>$23.098.287</t>
  </si>
  <si>
    <t>$47.106.386.356</t>
  </si>
  <si>
    <t>P20-02</t>
  </si>
  <si>
    <t>PLANES S.A.</t>
  </si>
  <si>
    <t>METRO CALI SA</t>
  </si>
  <si>
    <t>MC-5.4.7.11.99</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</si>
  <si>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</si>
  <si>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CORABASTOS S.A.</t>
  </si>
  <si>
    <t>073 DE 2005</t>
  </si>
  <si>
    <t>INTERVENTORIA TECNICA, LEGAL, ADMINISTRATIVA, FINANCIERA Y OPERATIVA DEL CONTRATO DE CONCESIÓN No. 070 DE 2005, PARA EL DISEÑO, CONSTRUCTIVO, OPERACIÓN Y MANTENIMIENTO DE LA MALLA VÍAL DE LA CENTRAL DE ABASTOS S.A. (CORABASTOS) EN LA CIUDAD DE BOGOTÁ.</t>
  </si>
  <si>
    <t>GOBERNACIÓN DE LA GUAJIRA</t>
  </si>
  <si>
    <t>018 DE 29-12-2000</t>
  </si>
  <si>
    <t>INTERVENTORIA TÉCNICA Y ADMINISTRATIVA DE LA CONCESIÓN PARA LA ADECUACIÓN Y/O REHABILITACIÓN DE LA RED VIAL SECUNDARIA Y TERCIARIA, SU OPERACIÓN Y MANTENIMIENTO EN UNA LONGITUD DE 88,5 KM EN EL DEPARTAMENTO DE LA GUAJIRA</t>
  </si>
  <si>
    <t>P21-01</t>
  </si>
  <si>
    <t>GOBERNACIÓN DEL MAGDALENA</t>
  </si>
  <si>
    <t>001 de 2007</t>
  </si>
  <si>
    <t>para la primera fase de plan vial del norte del departamento de Magdalena.</t>
  </si>
  <si>
    <t>En Ejecución</t>
  </si>
  <si>
    <t>P21-02</t>
  </si>
  <si>
    <t>INSTITUTO NACIONAL DE CONCESIONES - INCO</t>
  </si>
  <si>
    <t>C-ZP-064 de 2004</t>
  </si>
  <si>
    <t>Interventoria tecnica, financiera y operativa en las etapas de construcción y operación del contrato de concesión de construcción y operación del contrato de concesión No. 01161 de 2001 carretera Zipaquirá - Palenque (Bucaramanga)</t>
  </si>
  <si>
    <t>GOBERNACIÓN DE BOYACA</t>
  </si>
  <si>
    <t>001845 de 2010</t>
  </si>
  <si>
    <t>Interventoira tecnica, administrativa, financiera y ambiental para el mejoramiento y pavimentación del anillo vial turistico de sugamuxi sector aquitania-tota-cutitiva-iza-firavitoba-patano de vargas-departamento de Boyaca.</t>
  </si>
  <si>
    <t>INSTITUTO DE DESARROLLO URBANO - IDU</t>
  </si>
  <si>
    <t>IDU-075-2009</t>
  </si>
  <si>
    <t>Interventoría simultanea tecnica, adminsitrativa, financiera, legal, social y ambiental para la construccion de las siguientes obras: a) interseccion av. Pasto country (cra 15) con av. Carlos lleras restrepo (cl 100) en Bogotá. C) Av. German Arciniegas (cra 11) desde cl 106 hasta av. Laureno Gomez (cra 9) en Bogotá.</t>
  </si>
  <si>
    <t>P22-01</t>
  </si>
  <si>
    <t>METRO S.A.</t>
  </si>
  <si>
    <t>Inspección Técnica de Obras Construcción de Piques, Galerias, Estaciones e interestaciones - Proyecto 3 Tramo I - J, Sector; Sánchez Fontecilla - Colón</t>
  </si>
  <si>
    <t>DÓLAR</t>
  </si>
  <si>
    <t>P22-02</t>
  </si>
  <si>
    <t xml:space="preserve">Instituto de Infraestructura y Concesiones de Cundinamarca ICCU </t>
  </si>
  <si>
    <t>ICCU-021-2010</t>
  </si>
  <si>
    <t>Contratar la Interventoría Técnica, Socio ambiental, Jurídica y Financiera para un periodo de la etapa de operación y para las actividades de la etapa preoperativa de las obras adicionales de las Concesiones Viales del Departamento de Cundinamarca</t>
  </si>
  <si>
    <t>SOP-V-049-2006</t>
  </si>
  <si>
    <t xml:space="preserve">Interventoría Técncia, Socio Ambiental, Administrativa y Financiera de os Proyectos: 1-Rehabilitación de la Vía Tenjo- La Punta - Sibería - Tenjo - Tabio - Cajica, Municipio Tenjo 2- Mejoramiento de la Vía Subachoque 3- Estudios, Diseños y Pavimentación Vía Casco Urbano de Madrid - Los arboles Puente Piedra en el Municipio Madrid 4- Mejoramiento de la Vía Zipaquira - Nemocón - Suescal, Municipio Zipaquirá 5- Rehabilitación de la Vía Capellanía Guacheta 6- Mejoramiento y Pavimentación de la Vía Autopista a Medellín parque la Florida costado Occidental Aeropuerto del Dorado, Municipio Cota Cundinamarca 7- Mejoramiento y Rehacilitación de la Vía los Alpes - Quipile - Cajitas,  Municipio Quipile 8- Rehabilitación Vía Cartagenita - Zipacón - Cachipa - la Gran Vía  - Tena - los Alpes - Petaluma - Anolaima - Corralejas  y San Carlos - la Florida  9- Rehabilitación y Mantenimiento Vía Puerta Amarilla (Ricaurte) los Manueles Agua de Dios - Tocaima y Construcción Puente sobre Río Bogotá 10-Mejoramiento Vía Zipaquirá - Pacho la Palma, Municipio Pacho. Departamento Cundinamarca </t>
  </si>
  <si>
    <t>Agencia Nacional de Infraestructura ANI</t>
  </si>
  <si>
    <t>160 del 05 de noviembre del 2014</t>
  </si>
  <si>
    <t>Interventoría Técnica, Económica, Financiera, Contable, Jurídica, Administrativa, Operativo, Medio Ambiental y Socio Predial del Contrato de Concesión Autopista Conexión Pacífico 1, del proyecto Autopistas para la Prosperidad</t>
  </si>
  <si>
    <t>P23-01</t>
  </si>
  <si>
    <t>050 DE 2008</t>
  </si>
  <si>
    <t>Interventoria tencica, financiera, operativa, predial, soci-ambiental y legal del proyecto de concesion vual "DESARROLLO VIAL DEL ORIENTE DE MEDELLIN VALLE DE RIONEGRO Y CONEXIÓN A PUERTO TRIUNFO", en el amrco del contrato de concesion 275/1996</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</si>
  <si>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</si>
  <si>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</si>
  <si>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025-2002</t>
  </si>
  <si>
    <t>Interventoria tecnica, administrativa, legal, financiera, y ambiental de la adecuacion de la troncal calle 13 al sistema Trasmilenio, entre la troncal Caracas y Puente Aranda</t>
  </si>
  <si>
    <t>IDU-094-2008</t>
  </si>
  <si>
    <t>Interventoria tecnica, administrativa, financiera, legal, social y ambiental de las obras y actividades para la malla vial arterial, intermedia y local de los distritos de conservacion en la ciudad de Bogota D.C., correspondiente al grupo 4.</t>
  </si>
  <si>
    <t>P24-01</t>
  </si>
  <si>
    <t>Ministerio De Fomento</t>
  </si>
  <si>
    <t>Contrato de consultoria y asistencia técnica para el control y vigilancia de las obras "Linea Sevilla - Cadiz. Tramo: Aeropuerto de Jerez de la Frontera - Cádiz. Duplicación de vía. Subtramo El Portal".</t>
  </si>
  <si>
    <t>Servicios de asistencia técnica para el control de obras de plataforma de corredor mediterraneo de alta velocidad. Tramo Pulpí-Almeria: Subtramo Vera-Los Gallardos</t>
  </si>
  <si>
    <t>P25-01</t>
  </si>
  <si>
    <t>IDU-091 DE 2008</t>
  </si>
  <si>
    <t>Interventoria tecnica, administrativa, financiera, legal, social y ambiental de las obras y activdades para la malla vial arterial, intermedia y local de los distritos de conservacion de la ciudad de bogota D.C. correspondiente al grupo 1.</t>
  </si>
  <si>
    <t>197-2013</t>
  </si>
  <si>
    <t>Interventoria tecnica, administrativa, financiera, ambiental y social al contrato de obra publica no. 382 de 2012, cuyo objeto es la construccion de la primera etapa de las vias priorizadas en el plan vial del departamento de la guajira</t>
  </si>
  <si>
    <t>P25-03</t>
  </si>
  <si>
    <t>04-0197-0-01 DE 2001</t>
  </si>
  <si>
    <t>interventoria tecnica, administrativa, financiera y operativa del contrato de concesion para la rehabilitacion, conservacion, operación y explotacion de la red atlantico.</t>
  </si>
  <si>
    <t>P25-02</t>
  </si>
  <si>
    <t>IDU-CP-DG-013-2008</t>
  </si>
  <si>
    <t>interventoria tecnica, administrativa, financiera, legal, social y ambiental de las obras y activdades para la malla vial arteriral, intermedia y local de los distritos de conservacion en la ciudad de bogota D.C. correspondiente al grupo 3.</t>
  </si>
  <si>
    <t>P26-01</t>
  </si>
  <si>
    <t>Control y vigilancia de las obras autovia del mediterraneo CN-340 de cadiz y gibraltar a barcelona, tramo: almuñecar (la herradura) - almuñecar (taramay), provincia de granada</t>
  </si>
  <si>
    <t>P26-02</t>
  </si>
  <si>
    <t>062 DE DICIEMBRE DE 2006</t>
  </si>
  <si>
    <t>interventoria tecnica, ambiental, legal, administrativa, predial, financiera, y operativa en la etapa de operación del contrato de concesion No. 0489 de 1995 desarrollo vial carretera neiva.espinal.girardot</t>
  </si>
  <si>
    <t>INSTITUTO NACIONAL DE VIAS - INVIAS</t>
  </si>
  <si>
    <t>098 DE 2001</t>
  </si>
  <si>
    <t>interventoria para el mejoramiento y pavimentacion de la carretera fuente de oro-puerto lleras-cruce  puerto rico-puerto arturo-san jose de guaviare, sector cruce de puerto rico-puerto arturo k62+00 al k81+00</t>
  </si>
  <si>
    <t>124 DE 2001</t>
  </si>
  <si>
    <t>interventoria para el mejoramiento y pavimentacion de la carretera fuente de oro-puerto lleras-cruce puerto rico-puerto arturo-san jose del guaviare- sector fuente de oro-puerto lleras, k0+000 al k20+000</t>
  </si>
  <si>
    <t>P27-01</t>
  </si>
  <si>
    <t>PEYCO COLOMBIA</t>
  </si>
  <si>
    <t>CONTROL Y VIGILANCIA DE ELECTRIFICACIÓN, INSTALACIONES DE SEGURIDAD Y COMUNICACIONES, ESTACIÓN DE BENICASSIM E INTEGRACIÓN URBANA DEL FERROCARRIL EN LAS PROXIMIDADES DE LA ESTACIÓN DE OROPESA</t>
  </si>
  <si>
    <t>GOBIERNO DE NAVARRA</t>
  </si>
  <si>
    <t>ASISTENCIA TÉCNICA PARA LAS OBRAS DEL EJE DEL BELATE N-121-A TRAMOS: VARIANTE DE OSTIZ, P.K, 65 - ETXALAR, ETXALAR - BERA/VERA DE BIDASOA Y BERA/VERA DE BIDABOSA - ENDARLATZA</t>
  </si>
  <si>
    <t>P27-02</t>
  </si>
  <si>
    <t>SERINCO COLOMBIA</t>
  </si>
  <si>
    <t>CONTROL Y VIGILANCIA DE LAS OBRAS: "PROYECTO DE ACONDICIONAMIENTO DE LA CARRETERA N-110 (SORIA A PLASENCIA). TRAMO: PLASENCIA-NAVACONCEJO. PROVINCIA: CACERES"</t>
  </si>
  <si>
    <t>CONTROL Y VIGILANIA DE LA OBRA: EJE ATLANTICO DE ALTA VELOCIDAD, VARIANTE DE ORDES (A CORUÑA)</t>
  </si>
  <si>
    <t>P28-01</t>
  </si>
  <si>
    <t>GIC GERENCIA INTERVENTORIA Y CONSULTORIA S.A.S.</t>
  </si>
  <si>
    <t>REGIÓN DE MURCIA
CONSEJERÍA DE OBRAS PÚBLICAS Y ORDENACIÓN DEL TERRITORIO
DIRECCIÓN GENERAL DE CARRETERAS</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</si>
  <si>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</si>
  <si>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</si>
  <si>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P28-02</t>
  </si>
  <si>
    <t>GINPROSA COLOMBIA S.A.S.</t>
  </si>
  <si>
    <t>CONSULTORÍA Y ASISTENCIA TÉCNICA PARA EL CONTROL DE LAS OBRAS DE PLATAFORMA DEL CITADO PROYECTO CONSTRUCTIVO PARA UN NUEVO TRAMO DE ALTA VELOCIDAD EN EL ENTORNO DE LAS POBLACIONES DE TARANCÓN, TRIBALDOS Y UCLÉS, PERTENECIENTE A LA LÍNEA MADRID - LEVANTE</t>
  </si>
  <si>
    <t>P28-03</t>
  </si>
  <si>
    <t>CARTAGENERA DE INGENIERÍA S.A.S. CARINSA</t>
  </si>
  <si>
    <t>AGENCIA NACIONAL DE INFRAESTRUCTURA - ANI</t>
  </si>
  <si>
    <t>EL OBJETO DEL PRESENTE CONTRATO ES REGULAR LOS TÉRMINOS Y CONDICIONES BAJO LOS CUALES EL INTERVENTOR SE OBLIGA A EJECUTAR PARA LA AGENCIA NACIONAL DE INFRAESTRUCTURA LA 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 INCO, HOY ADMINISTRADOS POR LA AGENCIA NACIONAL DE INFRAESTRUCTURA Y LAS SOCIEDADES PORTUARIAS REGIONAL DE SANTA MARTA S.A., REGIONAL DE BUENAVENTURA S.A. Y LA SOCIEDAD TERMINAL CONTENEDORES DE CARTAGENA S.A. – CONTERCAR S.A. RESPECTIVAMENTE, SUS ADICIONALES Y OTROSÍES, ASÍ COMO REGULAR LOS TÉRMINOS Y CONDICIONES BAJO LOS CUALES LA AGENCIA NACIONAL DE INFRAESTRUCTURA PAGARA AL INTERVENTOR DE FORMA MENSUAL LA CONTRAPRESTACIÓN OFRECIDA POR EL INTERVENTOR Y ACEPTADA POR LA AGENCIA NACIONAL DE INFRAESTRUCTURA DURANTE EL CONCURSO DE MÉRITOS ABIERTO, CONSISTENTE EN UNA SUMA GLOBAL FIJA, QUE INCLUYE LOS COSTOS DIRECTOS, VIÁTICOS, HONORARIOS Y EL VALOR AGREGADO IVA</t>
  </si>
  <si>
    <t>P29-01</t>
  </si>
  <si>
    <t>SUPERVISIÓN E INGENIERÍA DE PROYECTOS S.A.S. - SUPERING S.A.S.</t>
  </si>
  <si>
    <t>INTERVENTORÍA TÉCNICA, ADMINISTRATIVA FINANCIERA Y OPERATIVA AL CONTRATO DE CONCESIÓN PARA LA REHABILITACIÓN, CONSERVACIÓN, OPERACIÓN Y EXPLOTACIÓN DE LA RED FÉRREA DEL ATLÁNTICO ( NO CONTRATO 04-0197-0-01 DE 2001)</t>
  </si>
  <si>
    <t>SECRETARÍA DE COMUNICACIONES Y TRANSPORTES - SUBSECRETARÍA DE INFRAESTRUCTURA</t>
  </si>
  <si>
    <t>MEXICO</t>
  </si>
  <si>
    <t>INGENIERO INDEPENDIENTE (SUPERVISIÓN) PARA LA CONSTRUCCIÓN DE LA NUEVA AUTOPISTA CONCESIONADA AMOZOC - PEROTE EN LOS ESTADOS DE PUEBLA, TLAXCALA Y VERACRUZ</t>
  </si>
  <si>
    <t>MXN</t>
  </si>
  <si>
    <t>P30-01</t>
  </si>
  <si>
    <t>JOYCO S.A.S.</t>
  </si>
  <si>
    <t>INSTITUTO NACIONAL DE CONCESIONES</t>
  </si>
  <si>
    <t>SGC-C-VPLC-73 DE 2004</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</si>
  <si>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</si>
  <si>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</si>
  <si>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</si>
  <si>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INVAS</t>
  </si>
  <si>
    <t>124-96</t>
  </si>
  <si>
    <t>Consultoría, asesoría e interventoría técnica y administrativa para la construcción y pavimentación de la carretera Popayán - Totoró - Inza, Sector Popayán - Totoró.</t>
  </si>
  <si>
    <t>P30-02</t>
  </si>
  <si>
    <t>SAITEC S.A. SUCURSAL EN COLOMBIA</t>
  </si>
  <si>
    <t>BIZKAIKO HEGOALDEKO AKZESIBILITATE S.A. (INTERBIAK)</t>
  </si>
  <si>
    <t>CONSULTORIA Y ASITENCIA TÉCNICA A LA DIRECCIÓN DE LAS OBRAS DE CONSTRUCCIÓN DEL CORREDOR DEL CADAGUA. TRAMO ARBUIO-SODUPE Y DESDOBLAMIENTO DEL TRAMO PADURA-ARANGUREN</t>
  </si>
  <si>
    <t>P31-01</t>
  </si>
  <si>
    <t>GPO COLOMBIA S.A.S.</t>
  </si>
  <si>
    <t>CONSULTORIA Y ASISTENCIA PARA EL CONTROL Y VIGILANCIA DE LAS OBRAS: EJE ATLÁNTICO DE ALTA VELOCIDAD. TRAMOS UXES-POCOMACO Y POCOMACO-SAN CRISTOBAL (A CORUÑA) PLATAFORMA Y VÍA Y COORDINACIÓN  EN MATERIA DE SEGURIDAD Y SALUD</t>
  </si>
  <si>
    <t>UER</t>
  </si>
  <si>
    <t>P31-03</t>
  </si>
  <si>
    <t>PROYECTOS CONSTRUCCIONES CIVILES Y VIALES LIMITADA</t>
  </si>
  <si>
    <t>1173 DE 1995</t>
  </si>
  <si>
    <t>INTERVENTORIA TECNICA Y FINANCIERA EN SUS ETAPAS DE DISEÑO Y PROGRAMACIÓN Y CONSTRUCCIÓN DE LA CONCESION DE LA CARRETERA ESPINAL- NEIVA DEL TRAMO 06 NEIVA CASTILLA Y EL SECTOR CASTILLA- ESPINAL DEL TRAMO 07 DE LA RUTA 45 EN LOS DEPARTAMENTOS DE HUILA Y TOLIMA</t>
  </si>
  <si>
    <t>INTERVENTORIA DE LAS OBRAS DE CONSTRUCCIÓN Y PAVIMENTACIÓN DE LA VÍA ALTERNA A BUENAVENTURA. SECTOR INTERSECCIÓN SENA - VIADUCTO K7, RUTA 40 TRAMO 4001</t>
  </si>
  <si>
    <t>P31-02</t>
  </si>
  <si>
    <t>CAYCO S.A.S.</t>
  </si>
  <si>
    <t>INTERVENTORIA TÉCNICA, ADMINISTRATIVA,LEGAL Y FNANCIERA, AMBIENTAL Y SOCIAL PARA LA EJECUCIÓN DE LA TOTALIDAD DE LAS OBRAS DE CONSTRUCCIÓN Y TODAS LAS ACTIVIDADES NECESARIAS PARA LA ADECUACIÓN DE LA AC 26 (AV JORGE ELIECER GAITAN) AL SISTEMA TRANSMILENIO, EN EL TRAMO 3 COMPRENDIDO ENTRE A TV 76 Y LA KR 42B Y EN EL TRAMO 4 COMPRENDIDO ENTRE LA KR 42B Y LA KRA 19, GRUPO 4 DE LA LICITACIÓN PÚBLICA NÚMERO IDU-LP-DG-022-2007, EN BOGOTA D.C.</t>
  </si>
  <si>
    <t>P32-01</t>
  </si>
  <si>
    <t>INGENIERIA Y CONSULTORIA INGECON S.A.S.</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</si>
  <si>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</si>
  <si>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</si>
  <si>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</si>
  <si>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NO HÁBIL POR ASPECTO JURÍDICO
(VER MATRIZ JURÍDICA)</t>
  </si>
  <si>
    <t>CPI-TC-01-06</t>
  </si>
  <si>
    <t>Asesoría e interventoria tecnica, financiera y ambiental para la construccion d un tramo de corredor del sistema integrado de transporte masivo Trasncaribe del Amparo a Cuatro Vientos Cartagena de Indias DT y C</t>
  </si>
  <si>
    <t>P32-02</t>
  </si>
  <si>
    <t>CONSULTORIA INTEGRAL EN INGENIERIA S.A. DE CV</t>
  </si>
  <si>
    <t>SECRETARIA DE OBRAS Y SERVICIOS DE LA CIUDAD DE MÉXICO</t>
  </si>
  <si>
    <t>SUPERVISIÓN A LA CONSTRUCCIÓN DE LOS PUENTES VEHICULARES FRAY SERVANDO Y AV. DEL TALLER EN EL CRUCE DE FRANCISCO DE PASO Y TRONCOSO Y AV. DEL TALLER</t>
  </si>
  <si>
    <t>P32-03</t>
  </si>
  <si>
    <t>EGIS COLOMBIA S.A.S.</t>
  </si>
  <si>
    <t>DELEGATION GENERALE DES GRANDS TRAVAUX</t>
  </si>
  <si>
    <t>REPLUBICA DEL CONGO</t>
  </si>
  <si>
    <t>CONTROL Y SUPERVISIÓN DE LOS TRABAJOS DE ACONDICIONAMIENTO Y ASFALTO DE LA CARRETERA NACIONAL 1 ENTRE POINTE NOIRE Y DOLICE</t>
  </si>
  <si>
    <t>P33-01</t>
  </si>
  <si>
    <t>184-191</t>
  </si>
  <si>
    <t>B&amp;C S.A.</t>
  </si>
  <si>
    <t>No. 04-0243-0-99.</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</si>
  <si>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t>
  </si>
  <si>
    <t>19 FOLIO 103</t>
  </si>
  <si>
    <t>192-195</t>
  </si>
  <si>
    <t>No. 035 de 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</si>
  <si>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</si>
  <si>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15 FOLIO 102</t>
  </si>
  <si>
    <t>P33-02</t>
  </si>
  <si>
    <t>196-231</t>
  </si>
  <si>
    <t>DIEGO FERNANDO FONSECA CHAVES</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</si>
  <si>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</si>
  <si>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</si>
  <si>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1FOLIO 36</t>
  </si>
  <si>
    <t>232-234</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</si>
  <si>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</si>
  <si>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</si>
  <si>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8 FOLIO 42</t>
  </si>
  <si>
    <t>P34-01</t>
  </si>
  <si>
    <t>CEMOSA (COLOMBIA)</t>
  </si>
  <si>
    <t>Consultoria y asistencia tecnica para el control y vigiancia delas obras : autovia del mediterraneo CN340 de cadiz y Gibraltar a barcelona tramo ronda este . Rincon de la victoria</t>
  </si>
  <si>
    <t>70 FOLIO 104</t>
  </si>
  <si>
    <t>P34-02</t>
  </si>
  <si>
    <t>INGENIERÍA Y DESARROLLO XIMA DE COLOMBIA S.A.S.</t>
  </si>
  <si>
    <t>consultoria y asistenci tecnica para la redaccion del proyecto y control de obras de plataformas del nuevo acceso ferroviario de alta velocidad de levante.tramo :Montilla del palancar -iniesta.</t>
  </si>
  <si>
    <t>47 FOLIO 88</t>
  </si>
  <si>
    <t>Asistencia tecnica para el control y vigilancia de las obras : autovia del mediterraneo CN-340 de Cadiz y Gibraltar a barcelona Tramo .Algabrrobo- Frigilliana (Provincia de Malaga).</t>
  </si>
  <si>
    <t>1 FOLIO 023</t>
  </si>
  <si>
    <t>P35-01</t>
  </si>
  <si>
    <t>HMV CONSULTORÍA S.A.S.</t>
  </si>
  <si>
    <t xml:space="preserve"> 1933 -2004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</si>
  <si>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</si>
  <si>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13 FOLIO 146</t>
  </si>
  <si>
    <t>0779-1998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</si>
  <si>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</si>
  <si>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8 FOLIO 141</t>
  </si>
  <si>
    <t>IDU-144-2066</t>
  </si>
  <si>
    <t>Interventoria tecnica,admionistrativa,financiera,legal,social, y ambiental para la ampliacion de la autopista norte  entre calles 180 a 192 y construccion de las obras complementarias del puente norte de la calle 183 (futura avenida san antonio ) por autopista norte entre carrera 36 y la carrera 47 . en Bogota.</t>
  </si>
  <si>
    <t>NO ENCONTRADO</t>
  </si>
  <si>
    <t>METROPLUS S.A</t>
  </si>
  <si>
    <t>44-2007</t>
  </si>
  <si>
    <t>Supervision para la construccion parcial de la troncal Medellin para el sistema integrado del transporte masivo. Metroplus del valle de aburra ,incluyendo las estaciones.</t>
  </si>
  <si>
    <t>16/0472007</t>
  </si>
  <si>
    <t>P36-01</t>
  </si>
  <si>
    <t>CB INGENIEROS S.A.S.</t>
  </si>
  <si>
    <t>1599-2009</t>
  </si>
  <si>
    <t>Interventoria tecnica ,legal,financiera,administrativa,ambiental,,predial y social del proyecto"estudios y diseños ,gestion social,predial ambiental y mejoramiento del proyecto corredor del sur y marginal dela selva"</t>
  </si>
  <si>
    <t>76 FOLIO 90</t>
  </si>
  <si>
    <t>034-06</t>
  </si>
  <si>
    <t>interventoria tecnica y administrativa para la construccion de las vias de acceso a barrios en la localidad de usme,asi accesoUE-3 (barrios El virrey y los comuneros),acceso UE-5 (barrios Alfonso lopez, la reforma,La alborada,y el progreso) aceeso UE6 (barrios serranias,lorenzo alcantuz y antonio jose de sucre) y acceso UE-8 (barrios el Danubio y la Fiscalia) en Bogota.</t>
  </si>
  <si>
    <t>8FOLIO 69</t>
  </si>
  <si>
    <t>INCO -ANI</t>
  </si>
  <si>
    <t>SGC 012 2008</t>
  </si>
  <si>
    <t>Interventoria tecnica , financiera,operativa,predial,socia-ambiental y legal del proyecto de concesion vial No 503 de 1994" cartagena -barranquilla"</t>
  </si>
  <si>
    <t xml:space="preserve">15FOLIO </t>
  </si>
  <si>
    <t>P36-02</t>
  </si>
  <si>
    <t>TECNICAS TERRITORIALES Y URBANAS SL SUCURSAL COLOMBIA</t>
  </si>
  <si>
    <t>MINTRA  - CONSEJERIA DE PRESIDENCIA ,JUSTICIA Y PORTAVOCIA DEL GOBIERNO DE LA COMUNIDAD DE MADRID</t>
  </si>
  <si>
    <t>consultoria y asistencia tacnica   para la   inspeccion y vigilancia  de las obras  de construccion de la infraestructura de la prolongacion de la linea 3 del metro de madrid a Villaverde. Villaverde alto-covheras</t>
  </si>
  <si>
    <t>14 FOLIO 109</t>
  </si>
  <si>
    <t>P37-01</t>
  </si>
  <si>
    <t>SONDEOS ESTRUCTURAS Y GEOTECNIA  SUCURSAL COLOMBIA S.A.</t>
  </si>
  <si>
    <t>AENA AEROPUERTOS S.A</t>
  </si>
  <si>
    <t>Asistencia tecnica para el control y vigilancia de la obra: Pista de vuelo 18R-36L y balizamiento CAT II / III de la pista 18R-36L , Calle de Rodaje y Central electrica lado aire fase II en el aeropuerto de Madrid / barajas".</t>
  </si>
  <si>
    <t>51 FOLIO 269</t>
  </si>
  <si>
    <t>Contrato  y asistencia para el control y vigilancia de las obras " Eje atlantico de av variante de portas (pontevedra). Tramo II : portas - villagarcia de Arousa. Plataforma y via" y " supresion de P.N  en la R.F de Galicia . Linea monforte - Vigo , PK. 33/307, 35/347, 36/289 , y 37/908 del Municipio de coles (orense)</t>
  </si>
  <si>
    <t>83 FOLIO 280</t>
  </si>
  <si>
    <t>P37-02</t>
  </si>
  <si>
    <t>INGENIERÍA CONSULTORÍA Y PLANEACIÓN S.A. INCOPLAN S.A.</t>
  </si>
  <si>
    <t>No 90000070 OK 2009</t>
  </si>
  <si>
    <t>Interventoria operativa,ambiental, y de mantenimiento,Modernizacion y expansion  del aeropuerto internacional  El dorado de la ciudad de Bogota D.C"</t>
  </si>
  <si>
    <t>No SEA-15-2012</t>
  </si>
  <si>
    <t>Interventoria tecnica,administrativa, financiera,ambiental ,operativa,juridica al plan de inversiones de los contratos de concesion portuaria No 006de 1993, 009 de 1994 y 003 de 2008.</t>
  </si>
  <si>
    <t>P38-01</t>
  </si>
  <si>
    <t>TRIADA DISEÑO, GERENCIA Y CONSTRUCCION S.A. DE C.V.</t>
  </si>
  <si>
    <t>Secretaria de comuicaciones y transportes- direccion general de carreteras</t>
  </si>
  <si>
    <t>No : 2007-7-CE-O-524-Y-0-7</t>
  </si>
  <si>
    <t>Asesoria y seguimiento (intervnetoria)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</si>
  <si>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1 FOLIO 38</t>
  </si>
  <si>
    <t>No .0-G-CE-O-307-Y-0-0</t>
  </si>
  <si>
    <t>Seguimiento (interventoria) para la aplicación en obra del proyecto constructivo del puente Chiapas,localizado sobre la presa Nezahualcoyotl, en el estado de chiapas,incluyendo todas las modificaciones ,aclaraciones,dudas, y/o necesidades de proyecto que se presenten durante la construccion".</t>
  </si>
  <si>
    <t>2 FOLIO 38 Y 39</t>
  </si>
  <si>
    <t>P38-02</t>
  </si>
  <si>
    <t>ING INGENIERÍA S.A.</t>
  </si>
  <si>
    <t>IDU -208-2004</t>
  </si>
  <si>
    <t>Interventoria tecnica,administrativa financiera y ambiental para la construccion de la conexión calle 80 por  autoipista norte - etapa2, en bogota d.c</t>
  </si>
  <si>
    <t>16 FOLIO 46</t>
  </si>
  <si>
    <t>P38-03</t>
  </si>
  <si>
    <t>EPYPSA COLOMBIA</t>
  </si>
  <si>
    <t>No 098-2014</t>
  </si>
  <si>
    <t>Interventoria de obra,que incluye pero no se limita ala interventoria tecnica,social,ambiental,predial,fianciera,legal y administrativa delas obras derivadas del  otro si No 1  cuyo objeto es " la administracion ,operación y explotacion economica del aerea concesionada del  aeropuerto Alfonso Bonilla aragon de la ciudad de palmira que sirve a la ciudad de cali".</t>
  </si>
  <si>
    <t>P39</t>
  </si>
  <si>
    <t>P40</t>
  </si>
  <si>
    <t>P41</t>
  </si>
  <si>
    <t>P42</t>
  </si>
  <si>
    <t>P43</t>
  </si>
  <si>
    <t>P44</t>
  </si>
  <si>
    <t>P45</t>
  </si>
  <si>
    <t>P46</t>
  </si>
  <si>
    <t>P47</t>
  </si>
  <si>
    <t>P48</t>
  </si>
  <si>
    <t>P49</t>
  </si>
  <si>
    <t>P50</t>
  </si>
  <si>
    <t>P51</t>
  </si>
  <si>
    <t>P52</t>
  </si>
  <si>
    <t>P53</t>
  </si>
  <si>
    <t>P54</t>
  </si>
  <si>
    <t>P55</t>
  </si>
  <si>
    <r>
      <t>Supervisión o interventoría en proyectos de Infraestructura Ferrea</t>
    </r>
    <r>
      <rPr>
        <b/>
        <u/>
        <sz val="11"/>
        <color indexed="9"/>
        <rFont val="Arial"/>
        <family val="2"/>
      </rPr>
      <t>.</t>
    </r>
  </si>
  <si>
    <r>
      <t xml:space="preserve">Como mínimo uno (1) de los contratos principales, mediante los cuales se va a acreditar la experiencia específica, deberá ser de </t>
    </r>
    <r>
      <rPr>
        <b/>
        <u/>
        <sz val="10"/>
        <color indexed="9"/>
        <rFont val="Arial"/>
        <family val="2"/>
      </rPr>
      <t>supervisión o interventoría de una concesión</t>
    </r>
    <r>
      <rPr>
        <b/>
        <sz val="10"/>
        <color indexed="9"/>
        <rFont val="Arial"/>
        <family val="2"/>
      </rPr>
      <t xml:space="preserve"> de un proyecto de infraestructura de transporte celebrado y ejecutado y/o en ejecución en Colombia y que incluya dentro de su objeto y/o alcance la supervisión o interventoría Técnica y Financiera y/o Técnica y Ambiental y/o Técnica y de Mantenimiento del proyecto</t>
    </r>
  </si>
  <si>
    <t>Maximo 1 contrato por asistente + Promesa de contrato de Asistencia tecnico</t>
  </si>
  <si>
    <t>PUNTAJE Experiencia Especifica 5.1</t>
  </si>
  <si>
    <t>548 DE 2013</t>
  </si>
  <si>
    <t>INTERVENTORIA TÉCNICA, ECONÓMICA, FINANCIERA, JURÍDICA, ADMINISTRATIVA, OPERATIVA, MEDIO AMBIENTAL Y SOCIO PREDIAL DEL CONTRATO DE CONCESIÓN BAJO UN ESQUEMA DE ASOCIACIÓN PÚBLICO - PRIVADA QUE SE DERIVE DEL PROCESO LICITATORIO No. VJ-VE-LP-004-2012, CORRESPONDIENTE AL CORREDOR CONCESIONARIO "ZIPAQUIRÁ - BUCARAMANGA (PALENQUE)", DENOMINADO CORREDOR "ZIPAQUIRÁ - BUCARAMANGA (PALENQUE)".</t>
  </si>
  <si>
    <t>2566 DE 2005</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</si>
  <si>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</si>
  <si>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190 DE 2003</t>
  </si>
  <si>
    <t>INTERVENTORÍA TÉCNICA, ADMINISTRATIVA, FINANCIERA, SOCIAL, AMBIENTAL Y LEGAL AL CONTRATO DE CONCESIÓN NO, 146 DE 2003, PARA LA ADECUACIÓN DE LA TRONCAL AVENIDA SUBA AL SISTEMA TRANSMILENIO, PARA EL TRAMO N° 2: COMPRENDIDO ENTRE LA CALLE 127A Y LA AV. CIUDAD DE CALI.EN BOGOTÁ D.C.</t>
  </si>
  <si>
    <t>FERROVÍAS</t>
  </si>
  <si>
    <t>04-0341-0-93</t>
  </si>
  <si>
    <t>INTERVENTORÍA TÉCNICA Y ADMINISTRATIVA A LOS TRABAJOS DE CONSTRUCCIÓN EN LOS SECTORES PROGRAMADOS ENTRE LOS KILÓMETROS 109 Y 185 DE LA LÍNEA FÉRREA BOGOTÁ - PUERTO SALGAR.</t>
  </si>
  <si>
    <t>92 DE 2012</t>
  </si>
  <si>
    <t>INTERVENTORÍA INTEGRAL DEL CONTRATO DE CONCESIÓN QUE INCLUYE PERO NO SE LIMITA A LA INTERVENTORÍA TÉCNICA, FINANCIERA, CONTABLE, JURÍDICA, MEDIO AMBIENTAL, SOCIO PREDIAL, OPERATIVA Y ADMINISTRATIVA DEL CONTRATO DE CONCESIÓN No. 007 DE 2007 Y DEMAS DOCUMENTOS QUE LO MODIFIQUEN, ADICIONEN O COMPLEMENTEN PARA LA CONCESIÓN VIAL GIRARDOT - IBAGUÉ - BUCARAMANGA.</t>
  </si>
  <si>
    <t>ASESORÍA A LA INSPECCIÓN FISCAL (INTERVENTORÍA) A LA CONCESIÓN INTERNACIONAL SISTEMA NORTE - SUR, EJE GENERAL VELÁSQUEZ, REGIÓN METROPOLITANA.</t>
  </si>
  <si>
    <t>P04-AT</t>
  </si>
  <si>
    <t>AXIOMA INGENIEROS CONSULTORES S.A.</t>
  </si>
  <si>
    <t>BIOVÍAS SISTEMA INTEGRADO DE TRANSPORTE</t>
  </si>
  <si>
    <t>INSPECCIÓN TÉCNICA DE OBRAS PARA LA CONSTRUCCIÓN DE PARADEROS FERROVIARIOS Y ESTACIONES DE INTERCAMBIO MODAL EN EL GRAN CONCEPCIÓN.</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</si>
  <si>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</si>
  <si>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</si>
  <si>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3.9/5500.0359/0-00000 (CON 033/10)</t>
  </si>
  <si>
    <t>SERVICIOS DE ASISTENCIA PARA EL CONTROL DE OBRAS (INTERVENTORÍA) DE PLATAFORMA DE LA LÍNEA DE ALTA VELOCIDAD ANEQUERA - GRANADA. TRAMO: NUDO DE BOBADILLA - ANTEQUERA.</t>
  </si>
  <si>
    <t>,4-7</t>
  </si>
  <si>
    <t>,09-10</t>
  </si>
  <si>
    <t>,12-15</t>
  </si>
  <si>
    <t>,06-07</t>
  </si>
  <si>
    <t>,08-10</t>
  </si>
  <si>
    <t>,11-12</t>
  </si>
  <si>
    <t>,14-16</t>
  </si>
  <si>
    <t>CI PRODECO SA</t>
  </si>
  <si>
    <t>OM-118-07-POPC-C</t>
  </si>
  <si>
    <t>INTERVENTORIA Y CONTROL DE CALIDAD PARA CONSTRUCCIÓN DEL RAMAL DE CONEXIÓN ENTRE LOS LOOPS DE LAS EMPRESAS CI CARBONES DEL CARIBE SA Y COMPAÑÍA CARBONES DEL CESAR SA Y  LA VIA FERREA DE FENOCO Y LA CONTINUACIÓN DEL RAMAL HASTA LA ABCISA K12+940, LA CONEXIÓN SUR Y LOS APARTADEROS NORTE Y SUR, LOOP DE CI. CARBONES DEL CARIBE SA, Y EL LOOP Y UN ASPARTADERO DE LA COMPAÑIA CARBONES DEL CESAR SA, Y LA CONSTRUCCIÓN DEL PASO ELEVADO SOBRE EL RAMAL DE CONEXIÓN DE LAS EMPRESAS EN LA CARRETERA LA LOMA SANTA MARTA Y PARA LA REVISIÓN DEL DISEÑO, SUMINISTRO Y CONSTRUCCIÓN DEL PUENTE FERREO</t>
  </si>
  <si>
    <t>30A-</t>
  </si>
  <si>
    <t>Consultoria y asistencia para el control y vigilancia de las obras "Actuaciones de mejora en infraestructura y superestructura en la linea Torralba-Soria"</t>
  </si>
  <si>
    <t>Consultoria y Asistencia para el "Control de las obras de plataforma del nuevo acceso ferroviariao de alta velocidad de Levante. Madrid - Castilla la Mancha - Comunidad Valenciana - región de Murcia. Tramo: Albacete - Variante de Alpera. Fase I"</t>
  </si>
  <si>
    <t>Servicios de Asistencia para el "Control de las obras del proyecto de Construcción del nuevo acceso ferroviario de alta velocidad de Levante. Madrid - Castilla La Mancha - Comunidad Valenciana - Región de Murcia. Tramo: Albacete - Variante de Alpera. Fase II"</t>
  </si>
  <si>
    <t>Control y vigilancia (supervisión) de las obras: Autovía A-50. Avila-Salamanca. Tramo: San Pedro del Arroyo-Chaherrero</t>
  </si>
  <si>
    <t>160-2014</t>
  </si>
  <si>
    <t>Interventoría Técnica, económica, financiera, contable, jurídica, administrativa, operativa, medioambiental y sociopredial del contrato de Concesión Autopista Conexión Pacífico 1, del proyecto autopistas para al prosperidad.</t>
  </si>
  <si>
    <t>274-2002</t>
  </si>
  <si>
    <t>Interventoría Técnica, Administrativa,Legal,  Financiera y Ambiental de la adecuación de la Troncal Americas al Sistema Transmilenio Trmao 1, entre Puente Aranda y la Carrera 70B, en Bogotá D.C.</t>
  </si>
  <si>
    <t>1862-2008</t>
  </si>
  <si>
    <t>Interventoría para el mejoramiento y mantenimiento de las carreteras la Pintada - Bolombolo, Código 25B01, Bolombolo - Santafe de Antioquia, Código 25B02, Santafe de Antioquia - Turbo, Códigos 6201 - 6202 - 6203, Ubicados en el Departamento de Antioquia.</t>
  </si>
  <si>
    <t>Consultoria y Asistencia para la redacción del proyecto y control de las obras de plataforma del nuevo acceso ferroviariao de alta velocidad de Levante. Madrid - Castilla la Mancha - Comunidad Valenciana - región de Murcia. Tramo: Almansa-La Encina, subtramo I</t>
  </si>
  <si>
    <t>Asistencia técnica para la Dirección de las obras del proycto de construcción de la infraestructura de la Linea 2 del metro de Valencia, Tramo Xàtiva-Linea 4. Estación Mercado.</t>
  </si>
  <si>
    <t>Consultoría y asistencia de "Apoyo a la Dirección de la Obra en el Control, supervisión y vigilancia de las obras de la Ronda Nord de Valencia. Tramo: Benimament-Ciudad Fallera, así como la redacción de los proyectos modificado Nº1, modificado Nº2 y complementario de construcción de la calzada derecha de la CV-30 entre Beniamamet y la Ciudad Fallera.</t>
  </si>
  <si>
    <t>SEA-071-2012</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</si>
  <si>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</si>
  <si>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P15-AT</t>
  </si>
  <si>
    <t>EUROCONSULT SA SUCURSAL COLOMBIA</t>
  </si>
  <si>
    <t>Asistencia técnica para el control de obras de plataforma del corredor Norte-Noreste de AV Tramo: Valladolid-Burgos. Subtramos: Nudo norte de Valladolid-Cabezon de pisuerga, cabezón de Pisuerga-San martin de Valveni, San Martin de Valveni-Nudo de Venta de Baños</t>
  </si>
  <si>
    <t>GTP
Entre Gestor de la red de Transporte y de Puertos de la Generalitat</t>
  </si>
  <si>
    <t>PC 021/03</t>
  </si>
  <si>
    <t>COSULTORIA Y ASISTENCIA PARA LA REDACCION DEL PROYECTO Y CONTROL DE LAS OBRAS DE LA PLATAFORMA DEL TRAMO: RED ARTERIAL FERROVIARIA DE VALENCIA, NUDO SUR DEL NUEVO ACCESO FERROVIARIO DE ALTA VELOCIDAD DE VALENCIA….</t>
  </si>
  <si>
    <t>1243 DE 1995</t>
  </si>
  <si>
    <t>INTERVENTORIA TÈCNICA, ADMINISTRATIVA Y FINANCIERA DE LA ETAPA DE CONSTRUCCIÒN DE LA CONCESIÒN DE LA CARRETERA FONTIBÒN - FACATATIVA - LOS ALPES, FASE I</t>
  </si>
  <si>
    <t>ASISTENCIA PARA EL CONTROL Y SEGUIMIENTO DE LAS OBRAS DE PLATAFORMA DEL CORREDOR NORTE-NOROESTE DE ALTA VELOCIDAD TRAMO: PALENCIA - LEON</t>
  </si>
  <si>
    <t>23098286.59</t>
  </si>
  <si>
    <t>IDU-067 de 2009</t>
  </si>
  <si>
    <t>Interventoria para la construcción de la avenida Laurenao Gomez Ak (9) desde san juan bosco ac (170) hasta la avenida cedritos ac (147) y construccion de la calzada sur de la avenida san jose ac (170) desd e avenida boyaca hasta avenida cota ak (91) correspondientes respectivamente a lo codigos de obra 101 y 107 del acuerdo 180 de 2005 de valorizacion en bogota.</t>
  </si>
  <si>
    <t>EMPRESA COLOMBIANA DE VÍAS FÉRREAS FERROVIAS</t>
  </si>
  <si>
    <t>04-0190-0-93</t>
  </si>
  <si>
    <t>interventoria tecnica, administrativa y financiera del contrato de recostrucción de la linea ferrea la loma-santa marta de acuerdo con la adjudicacion de la licitacion publica internacional No. 001-92</t>
  </si>
  <si>
    <t>035 DE 2006</t>
  </si>
  <si>
    <t>Interventoria integral del contrato de concesion para la rehabilitacion, conservacion, operación y explotacion de la red pacifica (Buenaventura-La Felisa y Zarzal-La Tebaida)</t>
  </si>
  <si>
    <t>020 DE 2009</t>
  </si>
  <si>
    <t>Interventoria tecnica, administrativa, legal, operativa, financiera, predial, social y ambiental al contrato de concesion No. BGG-040-2004, celebrado entre el instituto nacional de concesiones  y la Sociedad autopista bogota girardot S.A.</t>
  </si>
  <si>
    <t>0767 DE 1996</t>
  </si>
  <si>
    <t>Interventoria tecnica y financiera en sus etapas de diseño, programacion y construccion del proyecto de concesion desarrollo vial del oriente de medellin y valle de rionegro y conexión a puerto triunfo.contrato de concesion no. 275/96</t>
  </si>
  <si>
    <t>049 DE 2008</t>
  </si>
  <si>
    <t>Interventoria tenica, juridica, administrativa, operativa y financiera al contrato de concesion no. 006 de 2007 concesion aerea metropolitana de cucuta y norte de santander celebrado entre el Instituto Nacional de Concesiones y la Concesionaria San Simon S.A.</t>
  </si>
  <si>
    <t>Agencia Nacional de Infraestructura (ANI)</t>
  </si>
  <si>
    <t>262 DE 2012</t>
  </si>
  <si>
    <t>Interventoría integral del contrato de concesión que incluye la interventoría técnica, socio ambiental, legal, administrativa, predial, financiera y operativa del Contrato de Concesión No. 0-ATLA-00-99, sus adiciones y otrosis de la Concesión de la Red Férrea del Atlántico.</t>
  </si>
  <si>
    <t xml:space="preserve">Entidad de Infraestructuras de la Generalitat </t>
  </si>
  <si>
    <t xml:space="preserve">Asistencia técnica para la dirección de las obras de Línea 2 del Tranvía de Alicante, tramo 3 E06/16 </t>
  </si>
  <si>
    <t>El proponente presenta a través del contrato de orden No. 3 por medio de su integrante HORACIO FRANCISCO MENDOZA, un contrato que si bien cumple con los criterios señalados en el numeral 5.1.1. EXPERIENCIA ESPECIFICA , el mismo no puede ser acogido para los dos criterios señalados en el numeral 2) y 3), en tanto que se debe aportar como mínimo (1) contrato para cada uno de los criterios por parte del proponente.</t>
  </si>
  <si>
    <t>Asistencia para el control de las obras de plataforma en la linea de alta velocidad cordoba-malaga tramos gobantes-tunel de abdajali este-gobantes tunel de abdajalis este</t>
  </si>
  <si>
    <t>AGENCIA NACIONAL DE INFRAESTRUCRURA</t>
  </si>
  <si>
    <t>2016-409-006510-2</t>
  </si>
  <si>
    <t>EL OBJETO DEL PRESENTE CONTRATO ES REGULAR LOS TÉRMINOS Y CONDICIONES BAJO LOS CUALES EL INTERVENTORIA SE OBLIGA A EJECUTAR PARA LA ANI LA INTERVENTORIA INTEGRAL DEL CONTRATO DE CONCESIÓN, QUE INCLUYE LAS ACTIVIDADES QUE SE DESCRIBEN EN EL PRESENTE CONTRATO DE INTERVENTORIA, ASÍ COMO LAS ACTIVIDADES QUE EN CABEZA DEL INTERVENTOR SON ASIGNADOS EN EL CONTRATO DE CONCESIÓN</t>
  </si>
  <si>
    <t>CONTROL Y VIGILANCIA DURANTE LA EJECUCIÓN DE LAS OBRAS: CARRETERA N-432 DE BADAJOZ A GRANADA, TRAMO: VARIANTE DE LA ALBUERA</t>
  </si>
  <si>
    <t>GOBIERNO DEL ESTADO DE SAN LUIS POTOSÍ</t>
  </si>
  <si>
    <t>INGENIERO INDEPENDIENTE (SUPERVISIÓN)   PARA LA CONSTRUCCIÓN DE LA NUEVA AUTOPISTA CONCESIONADA CERRITOS - ENTRONQUE A TULA EN EL ESTADO DE SAN LUIS POTOSÍ</t>
  </si>
  <si>
    <t>110-2003</t>
  </si>
  <si>
    <t>INTERVENTORÍA TÉCNICA, OPERATIVA Y FINANCIERA EN LA ETAPA DE CONSTRUCCIÓN DEL CONTRATO DE CONCESIÓN  0113 DE 1997, CARRETERA ARMENIA-PEREIRA-MANIZALES (NO CONTRATO INV-110 DE 2.003)</t>
  </si>
  <si>
    <t xml:space="preserve"> 04-0197-0-01 DE 2001</t>
  </si>
  <si>
    <t>1908 DE 2008</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</si>
  <si>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</si>
  <si>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EUSKAL TRENBIDE SAREA - ETS</t>
  </si>
  <si>
    <t>SERVICIO DE APOYO A LA DIRECCIÓN DE LAS OBRAS (INTERVENTORIA/SUPERVISIÓN) DEL  TRAMO PORTUGALETE-SANTURTZI DE LA LÍNEA 2 DEL FERROCARRIL METROPOLITANO DE BILBAO</t>
  </si>
  <si>
    <t>2143 DE 2006</t>
  </si>
  <si>
    <t>INTERVENTORÍA PARA EL MEJORAMIENTO Y LA PAVIMENTACIÓN DE LA CARRETERA SANTA CECILIA - PUEBLO RICO - APIA, RUTA 5003</t>
  </si>
  <si>
    <t>----------------</t>
  </si>
  <si>
    <t>INTERVENTORÍA AL CONTRATO DE CONCESIÓN N 106 DEL 5 DE JUNIO DE 2003 PARA LA ADECUACIÓN DE LA TRONCAL NQS SECTOR NORTE TRAMO NQS SECTOR NORTE TRAMO COMPRENDIDO ENTRE EL TRAMO COMPRENDIDO ENTRE LA CALLE 92 Y LA CALLE 68</t>
  </si>
  <si>
    <t>AEROPUERTOS Y SERVICIOS AUXILIARES</t>
  </si>
  <si>
    <t>COORDINACIÓN Y SUPERVICIÓN  TÉCNICA Y ADMINISTRATIVA DE LA EJECUCIÓN DE LA OBRA PÚBLICA RELATIVA AL PROYECTO INTEGRAL A PRECIO ALZADO Y TIEMPO DETERMINADO PARA  EL ANTEPROYECTO Y DISEÑO DETALLADO, INGENIERÍA DE DETALLE, OBRA CIVIL, SUMINISTRO, INSTALACIÓN, PRUEBAS, PUESTA EN MARCHA, TRANSFERENCIA DE TECNOLOGÍA Y CAPACITACIÓN DEL SISTEMA DEL TRANSPORTE INTERTERMINALES (APM) , QUE CONECTARÁ LAS TERMINALES 1 Y 2 DEL AEROPUERTO INTERNACIONAL DE LA CIUDAD DE MÉXICO</t>
  </si>
  <si>
    <t>04-0243-0-9</t>
  </si>
  <si>
    <t>Interventoria,tecnica,administrativa y financiera del contato de concesion para la rehabilitacion ,conservacion ,operación y explotacion de la red pacifica (Buenaventura- la felisa y Zarzal - la tebaida ) y de la construccion explotacion y mantenimiento de la central de transferencia de carga de a Felisa. longitud de la red concesionada : 498 Km.</t>
  </si>
  <si>
    <t>035-2006</t>
  </si>
  <si>
    <t>Realizarla interventoria integral del contrato de concesion para la rahabilitacion,reconstruccion,conservacion,mantenimiento,operación y explotacion de la red ferrea del pacifico (buenaventura - La felisa y Zarzal - La Tebaida),debiendo revisar ,verificar, analizar y conceptuar permanentemente sobre todos los aspectos tecnicos,socio-ambientales,prediales,financieros ,operativos,juridicos y administrativos relacionados con el conrato de concesion de la red ferrea del pacifico No 09-CONP-98.</t>
  </si>
  <si>
    <t>P33-03</t>
  </si>
  <si>
    <t>020-2009</t>
  </si>
  <si>
    <t>Intervntoria tecnica ,administrativa ,legal,operativa,financiera,predial,social  y ambiental al contrato de concesion  No GG-040-2004,celebrado entre el instituto nacional de concesiones - INCO  y la sociedad concesion autopista Bogota-Girardot.</t>
  </si>
  <si>
    <t>P33-04</t>
  </si>
  <si>
    <t>101-2014</t>
  </si>
  <si>
    <t>Interventoria intergral,que incluye pero no se limita a la interventoria fianciera,administrativa,tecnica,legal,operativa,ambiental y de seguridad del contrato de concesion No 10000078-0k 2010,cuyo objeto es la concesion delas terminales aeroportuarias de nororiente - aeropuertos camilo daza de cucuta ,palonegro de bucaramanga,yariguiesde barranvabermeja ,alfonso lopez de valedupar,simon bolivar desanta marta y almirante padilla de rioacha.</t>
  </si>
  <si>
    <t>1933 -2004</t>
  </si>
  <si>
    <t>0683-2001</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</si>
  <si>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</si>
  <si>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CARBONES DEL CERREJON LIMITED</t>
  </si>
  <si>
    <t>Interventoría a la renovación de la vía Ferrea.</t>
  </si>
  <si>
    <t>CONSEJERIA DE TRANSPORTES E INFRAESTRUCTURAS-MINTRA</t>
  </si>
  <si>
    <t>INCO-ANI</t>
  </si>
  <si>
    <t>Contrato  y asistencia para el control y vigilancia de las obras " Eje atlantico de alta velocida variante de portas (pontevedra). Tramo II : portas - villagarcia de Arousa. Plataforma y via" y " supresion de P.N  en la R.Ferroviaria de Galicia . Linea monforte - Vigo , PK. 33/307, 35/347, 36/289 , y 37/908 del Municipio de coles (orense)</t>
  </si>
  <si>
    <t>18-23</t>
  </si>
  <si>
    <t>Secretari de comuicaciones y transportes- direccion general  de transporte ferroviario y multimodal.</t>
  </si>
  <si>
    <t>No : DGTFM-34-14</t>
  </si>
  <si>
    <t>Supervision y control de obra para la construccion del tramo ferroviario Zinacantepec- kilometro 36+150 de 36,150 kilometros delongitud ,en el estado de mexico, el cual forma parte del proyecto integral de transporte de pasajeros tren interurbano Mexico -Toluca "</t>
  </si>
  <si>
    <t>CODIGO DE INTEGRANTE</t>
  </si>
  <si>
    <t>INTEGRANTES</t>
  </si>
  <si>
    <t>PARTICIPACIÓN</t>
  </si>
  <si>
    <t xml:space="preserve">6) 10% Nomina Discapacidad  según Pliego de Condiciones </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</si>
  <si>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</si>
  <si>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</si>
  <si>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</si>
  <si>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</si>
  <si>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</si>
  <si>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</si>
  <si>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CONSORCIO FERROCARRIL DEL PACÍFICO</t>
  </si>
  <si>
    <t>ACREDITA</t>
  </si>
  <si>
    <t>CONSORCIO FÉRREO DEL PACÍFICO</t>
  </si>
  <si>
    <t>INTERVENTORÍAS Y DISEÑO S.A.</t>
  </si>
  <si>
    <t>CONSORCIO INGEANDINA - GEOCONTROL 003-2016</t>
  </si>
  <si>
    <t>INGEANDINA CONSULTORES DE INGENIERIA S.A.S.</t>
  </si>
  <si>
    <t>CONSORCIO RED FÉRREA DEL PACÍFICO</t>
  </si>
  <si>
    <t xml:space="preserve">CONSORCIO REDES FERREAS </t>
  </si>
  <si>
    <t>CONSORCIO BAC-SILVA-ARENAS</t>
  </si>
  <si>
    <t>PRODEINCOL S.A.S.</t>
  </si>
  <si>
    <t xml:space="preserve">CONSORCIO LÍNEA FÉRREA </t>
  </si>
  <si>
    <t>UNIÓN TEMPORAL RED PACÍFICO</t>
  </si>
  <si>
    <t>CONSORCIO PACIFICO FERREO</t>
  </si>
  <si>
    <t>TRN INGENIERIA Y PLANIFICACIÓN DE INFRAESTRUCTURAS S.A. SUCURSAL COLOMBIA</t>
  </si>
  <si>
    <t>EUROESTUDIOS INGENIEROS DE CONSULTA S.A.S</t>
  </si>
  <si>
    <t>CONSORCIO RED-PACÍFICIO</t>
  </si>
  <si>
    <t>GEOTECNIA Y CIMIENTOS INGEOCIM S.A.S.</t>
  </si>
  <si>
    <t>CULMEN INTERNATIONAL CONSULTING S.A.S.</t>
  </si>
  <si>
    <t>CONSORCIO INTER-FERREA</t>
  </si>
  <si>
    <t>ESTUDIOS TÉCNICOS Y ASESORÍAS S.A. - ETA S.A.</t>
  </si>
  <si>
    <t>INTECSA - INARSA COLOMBIA S.A.S.</t>
  </si>
  <si>
    <t>CPS INGENIEROS OBRA CIVIL Y MEDIO AMBIENTE SUCURSAL COLOMBIA S.L.</t>
  </si>
  <si>
    <t>SERTIC S.A.S.</t>
  </si>
  <si>
    <t>CONSORCIO ECOFER</t>
  </si>
  <si>
    <t>ECOVIAS S.A.S.</t>
  </si>
  <si>
    <t>ESTRUCTURADOR COLOMBIA S.A.S.</t>
  </si>
  <si>
    <t>PROES CONSULTORES S.A. SUCURSAL COLOMBIA</t>
  </si>
  <si>
    <t>CONSORCIO FERRODESARROLLO</t>
  </si>
  <si>
    <t>CONSORCIO INTERCOL SP</t>
  </si>
  <si>
    <t>CONCESION FERREA PACIFICO</t>
  </si>
  <si>
    <t>CONSORCIO PROGIN-PLANES</t>
  </si>
  <si>
    <t>CONSORCIO FERREO DEL PACIFICO</t>
  </si>
  <si>
    <t>SMA S.A.</t>
  </si>
  <si>
    <t>WSP SERVICIOS S.A.S.</t>
  </si>
  <si>
    <t>CONSORCIO FERREO GC&amp;Q - SERVINC</t>
  </si>
  <si>
    <t>GC&amp;Q INGENIEROS CONSULTORES S.A.S.</t>
  </si>
  <si>
    <t>SERVICIOS DE INGENIERÍA Y CONSTRUCCIÓN LIMITADA "SERVINC LTDA"</t>
  </si>
  <si>
    <t>CONCOL INGENIERÍA S.A.S.</t>
  </si>
  <si>
    <t>ARDANUY COLOMBIA S.A.S.</t>
  </si>
  <si>
    <t>CONSORCIO CONPACIFICO-2016</t>
  </si>
  <si>
    <t>TECNOLOGÍAS Y CONSULTORIAS AMBIENTALES Y DE GESTIÓN S.A. - "TECNICONSULTA S.A."</t>
  </si>
  <si>
    <t>RECHAZADO POR EXP. ESPECIFICA</t>
  </si>
  <si>
    <t>PROYECTOS TECNICOS DE COLOMBIA S.A.S.</t>
  </si>
  <si>
    <t>HORACIO FRANCISCO MENDOZA MARTINEZ</t>
  </si>
  <si>
    <t>CONSORCIO A&amp;I PACIFICO 2016</t>
  </si>
  <si>
    <t>AYESA DE COLOMBIA INGENIERIA Y ARQUITECTURA S.A.S.</t>
  </si>
  <si>
    <t>INTERSA S.A.</t>
  </si>
  <si>
    <t>CONSORCIO PEYCO - SERINCO RED FÉRREA DEL PACÍFICO</t>
  </si>
  <si>
    <t>CONSORCIO TRENES DEL PACIFICO</t>
  </si>
  <si>
    <t>CONSORCIO SAITEC JOYCO</t>
  </si>
  <si>
    <t>CONSORCIO FERREPACÍFICO 2016</t>
  </si>
  <si>
    <t>EL CONSORCIO ESPERANZA 003</t>
  </si>
  <si>
    <t>__________</t>
  </si>
  <si>
    <t>CONSORCIO GERENCIAR 2016</t>
  </si>
  <si>
    <t xml:space="preserve">CONSORCIO CEMOSAS </t>
  </si>
  <si>
    <t>CONSORCIO CB - TTU</t>
  </si>
  <si>
    <t>CONSORCIO RED FÉRREA INSEG</t>
  </si>
  <si>
    <t>CONSORCIO INTERVENTORÍA RED FERREA DEL PACÍFICO 2016</t>
  </si>
  <si>
    <t>Tasa de cambio representativa del mercado (TRM)</t>
  </si>
  <si>
    <t>1.1.1. Serie histórica_periodicidad diaria</t>
  </si>
  <si>
    <t>Información disponible desde el 27 de noviembre de 1991.</t>
  </si>
  <si>
    <r>
      <rPr>
        <sz val="9"/>
        <color indexed="8"/>
        <rFont val="Helvetica"/>
      </rPr>
      <t xml:space="preserve"> </t>
    </r>
    <r>
      <rPr>
        <i/>
        <sz val="9"/>
        <color indexed="8"/>
        <rFont val="Helvetica"/>
      </rPr>
      <t>Banco de la República - Gerencia Técnica - información extraída de la bodega de datos -Serankua- el 12/04/2016 13:41:43</t>
    </r>
    <r>
      <rPr>
        <sz val="9"/>
        <color indexed="8"/>
        <rFont val="Helvetica"/>
      </rPr>
      <t xml:space="preserve"> </t>
    </r>
  </si>
  <si>
    <t>Fecha (dd/mm/aaaa)</t>
  </si>
  <si>
    <r>
      <rPr>
        <b/>
        <sz val="9"/>
        <color indexed="8"/>
        <rFont val="Helvetica"/>
      </rPr>
      <t>Fuente:</t>
    </r>
    <r>
      <rPr>
        <sz val="9"/>
        <color indexed="8"/>
        <rFont val="Helvetica"/>
      </rPr>
      <t xml:space="preserve"> Superintendencia Financiera de Colombia ( </t>
    </r>
    <r>
      <rPr>
        <u/>
        <sz val="9"/>
        <color indexed="12"/>
        <rFont val="Helvetica"/>
      </rPr>
      <t>www.superfinanciera.gov.co</t>
    </r>
    <r>
      <rPr>
        <sz val="9"/>
        <color indexed="8"/>
        <rFont val="Helvetica"/>
      </rPr>
      <t xml:space="preserve">). </t>
    </r>
  </si>
  <si>
    <t>Cotización del dólar</t>
  </si>
  <si>
    <t>1.3.1. Serie empalmada de datos promedio por meses y fin de mes_periodicidad mensual</t>
  </si>
  <si>
    <t>Información disponible a partir de 1950.</t>
  </si>
  <si>
    <r>
      <rPr>
        <sz val="9"/>
        <color indexed="8"/>
        <rFont val="Helvetica"/>
      </rPr>
      <t xml:space="preserve"> </t>
    </r>
    <r>
      <rPr>
        <i/>
        <sz val="9"/>
        <color indexed="8"/>
        <rFont val="Helvetica"/>
      </rPr>
      <t>Banco de la República - Gerencia Técnica - información extraída de la bodega de datos -Serankua- el 12/04/2016 13:41:43</t>
    </r>
  </si>
  <si>
    <t>Año(aaaa)-Mes(mm)</t>
  </si>
  <si>
    <t>Promedio</t>
  </si>
  <si>
    <t>Fin de mes</t>
  </si>
  <si>
    <r>
      <rPr>
        <b/>
        <sz val="9"/>
        <color indexed="8"/>
        <rFont val="Helvetica"/>
      </rPr>
      <t>Fuente</t>
    </r>
    <r>
      <rPr>
        <sz val="9"/>
        <color indexed="8"/>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indexed="12"/>
        <rFont val="Helvetica"/>
      </rPr>
      <t>www.superfinanciera.gov.co</t>
    </r>
    <r>
      <rPr>
        <sz val="9"/>
        <color indexed="8"/>
        <rFont val="Helvetica"/>
      </rPr>
      <t>).</t>
    </r>
  </si>
  <si>
    <t>Modulo 1</t>
  </si>
  <si>
    <t>Modulo 2</t>
  </si>
  <si>
    <t>Modulo 3</t>
  </si>
  <si>
    <t>Modulo 4</t>
  </si>
  <si>
    <t>CONSECUTIVO DEL RUP</t>
  </si>
  <si>
    <t>PORCENTAJE DE PARTICIPACIÓN</t>
  </si>
  <si>
    <t>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</si>
  <si>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Año de Finalización</t>
  </si>
  <si>
    <t xml:space="preserve">SMMLV Finalización </t>
  </si>
  <si>
    <t>SMMLV RUP</t>
  </si>
  <si>
    <t>% de Variación</t>
  </si>
  <si>
    <t xml:space="preserve">Ingeniería Civil </t>
  </si>
  <si>
    <t>Formulario 2 con codigos  o N/a</t>
  </si>
  <si>
    <t>Suma actividades RUP</t>
  </si>
  <si>
    <t>Clase    15</t>
  </si>
  <si>
    <t>CM019P01</t>
  </si>
  <si>
    <t>CM019P01I01</t>
  </si>
  <si>
    <t>SERVICIOS DE INGENIERIA Y CONSTRUCCION LIMITADA SERVINC LTDA</t>
  </si>
  <si>
    <t>INSTITUTO DE INFRAESTRUCTURA Y CONCESIONES DE CUNDINAMARCA</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</si>
  <si>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</si>
  <si>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</si>
  <si>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EJ</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</si>
  <si>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</si>
  <si>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</si>
  <si>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CM019P01I02</t>
  </si>
  <si>
    <t>VQM S.A.S</t>
  </si>
  <si>
    <t xml:space="preserve">CONTRATO NO. 2183-2005
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
</t>
  </si>
  <si>
    <t>M</t>
  </si>
  <si>
    <t xml:space="preserve">CONTRATO 2204- 2005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</si>
  <si>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CM019P02</t>
  </si>
  <si>
    <t>CM019P02I01</t>
  </si>
  <si>
    <t>ARREDONDO MADRID INGENIEROS CIVILES A.I.M LTDA</t>
  </si>
  <si>
    <t>GOBERNACIÓN DE ANTIOQUIA</t>
  </si>
  <si>
    <t>INTERVENTORIA TÉCNICA, ADMINISTRATIVA Y CONTABLE DE LA AMPLIACIÓN, RECTIFICACIÓN Y PAVIMENTACIÓN DE LA CARRETERA FABIANA- LA MESA</t>
  </si>
  <si>
    <t>INTERVENTORÍA TÉCNICA, ADMINISTRATIVA, FINANCIERA Y AMBIENTAL DE LA CONSTRUCCIÓN DEL CONTRATO DE CONCESIÓN No 97-CO-20-1738 PROYECTO ESARROLLO VIAL DEL ABURRA NORTE (NIQUIA- HATILLO) Y AUDITORIA DE AFOROS DE RECAUDOS EN LAS ESTACIONES DE PEAJE DEL PROYECTO</t>
  </si>
  <si>
    <t>CM019P02I02</t>
  </si>
  <si>
    <t>INGENIERIA INTEGRAL DE OBRAS INGEOBRAS S.A.S</t>
  </si>
  <si>
    <t>TRANSMILENIO SA</t>
  </si>
  <si>
    <t xml:space="preserve">INTERVENTORIA TÉCNICA, ADMINISTRATIVA Y FINANCIERA DEL CONTRATO DE LAS OBRAS DE MANTENIMIENTO DE LA INFRAESTRUCUTURA DEL SISTEMA DE TRANSPORTE MASIVO DE LA CIUDAD DE BOGOTA </t>
  </si>
  <si>
    <t>CM019P03</t>
  </si>
  <si>
    <t>CM019P03I01</t>
  </si>
  <si>
    <t xml:space="preserve">ICEACSA CONSULTORES SUCURSAL COLOMBIA </t>
  </si>
  <si>
    <t>Sociedade  Pública de Investimentos de Galicia, S.A. (Xunta de Galicia – Gobierno regional)</t>
  </si>
  <si>
    <t>Dirección General de Carreteras - Demarcación Carreteras del Estado (Ministerio de Fomento - Gobierno de España)</t>
  </si>
  <si>
    <t>CONSULTORÍA Y ASISTENCIA PARA EL CONTROL Y VIGILANCIA DE LAS OBRAS: AUTOVÍA A-8 DEL CANTÁBRICO. TRAMO: MONDOÑEDO – LORENZANA</t>
  </si>
  <si>
    <t>ASISTENCIA TÉCNICA PARA EL CONTROL Y VIGILANCIA (INTERVENTORIA) DE LAS OBRAS AUTOPISTA DEL ATLANTICO, A-9 TRAMO REBULLÓN-TUI Y FENE- FERROL</t>
  </si>
  <si>
    <t>CM019P03I02</t>
  </si>
  <si>
    <t xml:space="preserve">GEOTECNIA Y CIMIENTOS INGEOCIM S.A.S </t>
  </si>
  <si>
    <t>GOBERNACIÓN DE CASANARE</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</si>
  <si>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</si>
  <si>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</si>
  <si>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CM019P04</t>
  </si>
  <si>
    <t>CM019P04I01</t>
  </si>
  <si>
    <t>AFA CONSULTORES Y CONSTRUCTORES S.A  E.S.P.</t>
  </si>
  <si>
    <t>CM019P04I02</t>
  </si>
  <si>
    <t>INCGROUP S.A.S</t>
  </si>
  <si>
    <t>INSPECCIÓN DEL CONTRATO DE CONCESIÓN DE OBRAS PUBLICAS PARA LA CONSERVACIÓN Y EXPLOTACIÓN DE AUTOVÍAS DE PRIMERA GENERACIÓN DE LA AUTOVÍA A-4 DEL SUR  DE PK 9100 AL 67500 TRAMO MADRID OCAÑA RED DE CARRETERA DEL ESTADO PROVINCIA DE MADRID.</t>
  </si>
  <si>
    <t>CM019P05</t>
  </si>
  <si>
    <t>CM019P05I01</t>
  </si>
  <si>
    <t>PROYECTOS E INTERVENTORIA LTDA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</si>
  <si>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</si>
  <si>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</si>
  <si>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</si>
  <si>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</si>
  <si>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</si>
  <si>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CM019P05I02</t>
  </si>
  <si>
    <t xml:space="preserve">INGENIERIA DE ESTUDIOS Y ASESORIAS S.A.S INESA </t>
  </si>
  <si>
    <t>INSTITUTO NACIONAL DE VIAS INVIAS</t>
  </si>
  <si>
    <t>INTERVENTORIA DEL MEJORAMIENTO Y MANTENIMIENTO INTEGRAL DE LA RUTA LA MATA-BOSCONIA DEL CORREDOR VIAL DEL MAGDALENA (INCLUIDO EL MANTENIMIENTO RUTINARIO, LA SEÑALIZACIÓN, EL MONITOREO  Y VIGILANCIA Y LOS CONTEOS DE TRANSITO) RUTA 45 TRAMO 4515 Y 4516.</t>
  </si>
  <si>
    <t>CM019P06</t>
  </si>
  <si>
    <t>CM019P06I01</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</si>
  <si>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</si>
  <si>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 xml:space="preserve">
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</si>
  <si>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</si>
  <si>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</si>
  <si>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 xml:space="preserve">INSTITUTO NACIONAL DE VIAS </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</si>
  <si>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</si>
  <si>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</si>
  <si>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CM019P07</t>
  </si>
  <si>
    <t>CM019P07I01</t>
  </si>
  <si>
    <t>INTERPRO S.A.S.</t>
  </si>
  <si>
    <t>METROLINEA S.A</t>
  </si>
  <si>
    <t>INTERVENTORIA TECNICA, ADMINISTRATIVA, LEGAL, FIANNCIERA Y AMBIENTAL PARA LA CONSTRUCCIÓN DE CUATRO TRAMOS DE INFRAESTRUTURA DEL SISTEMA INTEGRADO DE TRANSPORTE MASIVO PARA EL AREA METROPOLITANA DE BUCARAMANGA, SOBRE LA CARRERA 15 NTRE LA VIRGEN Y LA AVENIDAQUEBRADASECA, SOBRE LA AUTOPISTA BUCARAMANGA-FLORIDABLANCA, ENTRE LE PUENTE PROVENZA Y EL PUENTE VEHICULAR DE CAÑAVERAL Y ENTRE EL PUENTE VEHICULAR DE CAÑAVERAL Y PAPIQUIERO PIÑA, SOBRE LA CARRERA 27 ENTRE LA UIS Y LA AVENIDA QUEBRADA SECA Y EL PAR VIAL CALLE 10-CALLE 11DEL MUNICIPIO DE BUCARAMANGA. CONTRATO No 002 DE 2006</t>
  </si>
  <si>
    <t>MUNICIPIO DE BUCARAMANGA</t>
  </si>
  <si>
    <t>INTERVENTORIA A LA ACTUALIZACIÓN DE LOS ESTUDIOS Y DISEÑOS A FASE III Y CONSTRUCCIÓN DEL VIADUCTO DE LA CARRETERA NOVENA Y OBRAS COMPLEMENTARIAS EN EL MUNICIPIO DE BUCARAMANGA CONTRATO No 0348 DE 2010</t>
  </si>
  <si>
    <t>INTERVENTORIA TECNICA, ADMINISTRATIVA Y AMBIENTAL PARA LA CONSTRUCCIÓN DE TRES TRAMOS DE INFRAESTRUCTURA DEL SISTEMA INTEGRADO DE TRANSPORTE MASIVO PARA EL AREA METROPOLITANA DE BUCARAMANGA. CONTRATO No 001 DE 2006</t>
  </si>
  <si>
    <t>CM019P07I03</t>
  </si>
  <si>
    <t>BAC ENGINEERING CONSULTANCY GROUP S.A.S</t>
  </si>
  <si>
    <t>AENA</t>
  </si>
  <si>
    <t>ASISTENCIA TECNICA PARA EL CONTROL Y VIGILANCIA DE LA OBRA ZONA DE APOYO A LA NUEVA TERMINAL SUR. AEROPUERTO DE BARCELONA</t>
  </si>
  <si>
    <t>CM019P07I02</t>
  </si>
  <si>
    <t>COMPAÑÍA DE PROYECTOS TECNICOS CPT S.A.</t>
  </si>
  <si>
    <t>INTERVENTORIA TECNICA, ADMINISTRATIVA, FINANCIERA Y AMBIENTAL PARA EL MANTENIMIENTO CORRECTIVO Y PERIODICO DE LA CARRETERA BOGOTA-CHOACHI DESDE EL K2+000 AL K13+000 EN BOGOTA D.C.</t>
  </si>
  <si>
    <t>GOBERNACION DEL TOLIMA</t>
  </si>
  <si>
    <t>INTERVENTORIA TECNICA, ADMINISTRATIVA, FINANCIERA Y AMBIENTAL PARA REALIZAR EL SEGUIMIENTO PARA LOS CONTRATOS DE OBRA CUYO OBJETO ES MEJORAMIENTO Y REHABILITACION DE LAS VIAS SECUNDARIAS DE CARMEN DE APICALA-CUNDAY, CASTILLA-COYAIMA, SAN LUIS-GUAMO, SAN FELIPE-FALAN, ROVAIRA-IBAGUE, EL PASO-SUAREZ, BATATAS-PURIFICACION Y VARIANTE EL TOTUMO</t>
  </si>
  <si>
    <t>CM019P08</t>
  </si>
  <si>
    <t>CM019P08I02</t>
  </si>
  <si>
    <t>CONSULTORES DE INGENIERIA UG21 SL SUCURSAL COLOMBIA</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</si>
  <si>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</si>
  <si>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</si>
  <si>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</si>
  <si>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</si>
  <si>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CM019P08I01</t>
  </si>
  <si>
    <t xml:space="preserve">PROINTEC COLOMBIA </t>
  </si>
  <si>
    <t>BEDEGI</t>
  </si>
  <si>
    <t>DIRECCIÓN DE OBRA DEL PROYECTO DE CONSTRUCCIÓN DEL SEGUNDO CINTURON DE SAN SEBASTIAN, TRAMO ENLACE DEL URUMEA-ENLACE DE RENTERIA</t>
  </si>
  <si>
    <t>MINISTERIO DE FOMENTO DE ESPAÑA</t>
  </si>
  <si>
    <t>CONSULTORIA Y ASISTENCIA PARA EL CONTROL Y VIGILNCIA DE LA OBRA: NUEVA CARRETERA ENTRE SABIÑANIGO Y FISCAL, VIA PRENAICA N-260 DE FRONTERA FRANCESA (PORT BOU) A SABIÑANIGO</t>
  </si>
  <si>
    <t>INTERVENTORIA TECNICA, OPERATIVA, PREDIAL, SOCIO-AMBIENTAL Y LEGAL DEL PROYECTO DE CONCESIÓN VIAL CORDOBA-SUCRE, EN EL MARCO DEL CONTRATO DE CONCESIÓN 002/2007, DE CONFORMIDAD CON LOS PLIEGOS DE CONDICIONES</t>
  </si>
  <si>
    <t xml:space="preserve">EJ </t>
  </si>
  <si>
    <t>DIPUTACIÓN FORAL DE GIPUZKOA</t>
  </si>
  <si>
    <t>ASISTENCIA TECNICA PARA LA DIRECCIÓN DE LAS OBRAS DE VARIANTE DE LA GL 131 DESDE DONOSTA- SAN SEBASTIAN A HERNANI (TRAMO MARTUTENE-HERNANI)</t>
  </si>
  <si>
    <t>CM019P09</t>
  </si>
  <si>
    <t>CM019P09I01</t>
  </si>
  <si>
    <t>COMPAÑÍA COLOMBIANA DE CONSULTORES S.A.S (CCC)</t>
  </si>
  <si>
    <t xml:space="preserve">GOBERNACIÓN DE ANTIOQUIA </t>
  </si>
  <si>
    <t>interventoría de la ampliación rectificación y pavimentación de la carretera Guatape -San Rafael -San Carlos</t>
  </si>
  <si>
    <t xml:space="preserve">Interventoría  de las obras de rehabilitación del sector Quibdo - Yulo </t>
  </si>
  <si>
    <t>Interventoría para el mejoramiento y pavimentación de la carretera Fuente de Oro -Puerto Lleras - Cruce Puerto Rico . Puerto Arturo -San Jose del Guaviare sector cruce Puerto Rico - Puerto Arturo</t>
  </si>
  <si>
    <t>CM019P09I02</t>
  </si>
  <si>
    <t>CONSULTORES EN INGENIERIA S.A.S</t>
  </si>
  <si>
    <t>INTERVENTORÍA TÉCNICO EN SU ETAPA DE CONSTRUCCIÓN DE LA CONCESIÓN DEL PROYECTO VIAL DENOMINADO DESARROLLO VIAL PARA EL NORTE DE BOGOTÁ EN EL DEPARTAMENTO DE CUNDINAMARCA</t>
  </si>
  <si>
    <t>23-M</t>
  </si>
  <si>
    <t>AGENCIA NACIONAL DE INFRAESTRUCTURA</t>
  </si>
  <si>
    <t>INTERVENTORÍA AL CONTRATO DE CONCESIÓN Nº 007/2010 PROYECTO VIAL RUTA DEL SOL -SECTOR 3</t>
  </si>
  <si>
    <t>INTERVENTORÍA TÉCNICA Y FINANCIERA EN SU ETAPA DE CONSTRUCCIÓN DE LA CONCESIÓN DEL SECTOR SANTA FE DE BOGOTÁ CAQUEZA (PUENTE REAL), QUE INCLUYE LA CONSTRUCCIÓN DEL TÚNEL DE BOQUERÓN ( LONGITUD APROXIMADA 2,3 KILÓMETROS)</t>
  </si>
  <si>
    <t>24-M</t>
  </si>
  <si>
    <t>CM019P10</t>
  </si>
  <si>
    <t>CM019P10I01</t>
  </si>
  <si>
    <t>CONSTRUCTORA A&amp;C S.A.</t>
  </si>
  <si>
    <t>INTERVENTORIA A LOS DISEÑOS Y A LA CONSTRUCCION DE LAS OBRAS DE MODERNIZACION Y EXPANSIÓN DEL AEROPUERTO INTERNACIONAL EL DORADO, "LUIS CARLOS GALAN SARMIENTO", DE LA CIUDAD DE BOGOTÁ EN COLOMBIA</t>
  </si>
  <si>
    <t>CM019P10I03</t>
  </si>
  <si>
    <t>GERMAN BALLESTAS BERDEJO</t>
  </si>
  <si>
    <t>INTERVENTORIA TÉCNICA, ADMINSITRATIVA FINANCIERA Y AMBIENTAL PARA LAS INTERVENCIONES INTEGRALES A LA MALLA VIAL LOCAL DEL GRUPO VIAL FASE II-GRUPO 1 (LOCALIDADES DE SANTA FE, TEUSAQUILLO  MARTIRES) CON RECURSOS COFINANCIADOS ENTRE EL IDU Y LOS FONDOS DE DESARROLLO LOCCAL, EN LA CUIDAD DE BOGOTÁ D.C</t>
  </si>
  <si>
    <t>CM019P10I02</t>
  </si>
  <si>
    <t>INTERVENTORIA A LOS ESTUDIOS Y DISEÑOS, PAVIMENTACIÓN Y/O REPAVIMENTACIÓN DE LAS VÍAS INCLUIDAS DENTRO DEL PROGRAMA DE PAVIMENTACIÓN DE INFRAESTRUCTURA VIAL DE INTEGRACIÓN Y DESARROLLO GRUPO 69 VÍA PASTO -BUESACO- EL EMPATE</t>
  </si>
  <si>
    <t>INTERVENTORIA PARA EL MEJORAMIENTO Y MANTENIMIENTO DE LAS CARRETERAS CARRETO- CALAMAR- PONEDERA- PALMAR CODIGO 2515 Y 2516, SABANALARGA- BARRANQUILLA, CODIGO 9006 Y CARMEN DE BOLIVAR-ZAMBRANO-PLATO- PUEBLO NUEVO- BOSCONIA CODIGO 8001, 8002 Y 8003, MODULO 5</t>
  </si>
  <si>
    <t>INTERVENTORIA PARA LAS OBRAS DE MEJORAMIENTO Y PAVIMENTACIÓN DELA TRANSVERSAL DEL CARRARE, SECTOR VELEZ- LANDAZURI, TRAMO K8+700 K16+500</t>
  </si>
  <si>
    <t>INTERVENTORIA PARA LA REVISIÓN Y ACTUALIZACIÓN DE ESTUDIOS Y DISEÑOS, RECONSTRUCCIÓN, PAVIMENTACIÓN Y/O REPAVIMENTACIÓN DE LA VÍA APARTADA- AYAPEL DEL K0+000 AL K15+000 CON UNA LONGITUD DE 15KM EN EL DTO DE CORDOBA</t>
  </si>
  <si>
    <t>CM019P11</t>
  </si>
  <si>
    <t>CM019P11I01</t>
  </si>
  <si>
    <t>CIVILTEC INGENIEROS LTDA</t>
  </si>
  <si>
    <t>INTERVENTORÍA PARA LA CONSTRUCCIÓN Y PAVIMENTACIÓN DE LA VÍA ALTERNA AL PUERTO DE SANTA MARTA, SECTOR MAMATOCO-TERMINAL MARÍTIMO.</t>
  </si>
  <si>
    <t>INTERVENTORÍA TÉCNICA Y ADMINISTRATIVA DEL CONTRATO DE OBRA PÚBLICA PARA LA CONSTRUCCIÓN DE LA AVENIDA CIUDAD DE CALI DE LA CALLE 13 A LA AVENIDA VILLAVICENCIO.</t>
  </si>
  <si>
    <t>INTERVENTORÍA TÉCNICA, ADMINISTRATIVA, FINANCIERA Y SOCIO AMBIENTAL PARA LA CONSTRUCCIÓN Y/O REHABILITACIÓN DE VÍAS EN LA LOCALIDAD DE SAN CRISTÓBAL.</t>
  </si>
  <si>
    <t>INTERVENTORÍA DE LAS OBRAS DE MEJORAMIENTO Y PAVIMENTACIÓN DEL TRAMO K21+500 - K33+000 DEL SECTOR LANDAZURI-VELEZ, TRANSVERSAL DEL CARARE.</t>
  </si>
  <si>
    <t>INTERVENTORÍA PARA EL MANTENIMIENTO Y REHABILITACIÓN DE LAS CARRETERAS SAN JUAN DE PASTO-MOJARRAS, SECTOR: CANO-MOJARRAS, RUTA 25 TRAMO 2502, CEBADAL-SANDONÁ-PASTO, SECTOR: LA FLORIDA-PASTO, RUTA 2501B DEPARTAMENTO DEL NARIÑO.</t>
  </si>
  <si>
    <t>CM019P11I02</t>
  </si>
  <si>
    <t>EUROESTUDIOS INGENIEROS DE CONSULTA  S.A.S</t>
  </si>
  <si>
    <t xml:space="preserve">INTERVENTORÍA TÉCNICA, FINANCIERA, OPERATIVA, PREDIAL, SOCIO AMBIENTAL Y LEGAL DEL PROYECTO DE CONCESIÓN MALLA VIAL DEL VALLE DEL CAUCA Y CAUCA </t>
  </si>
  <si>
    <t>CM019P12</t>
  </si>
  <si>
    <t>CM019P12I02</t>
  </si>
  <si>
    <t>JOSE GUARDO POLO</t>
  </si>
  <si>
    <t>AREA METROPOLITANA DE BARRANQUILLA</t>
  </si>
  <si>
    <t>INTERVENTORIA GENERAL PARA LA RECONSTRUCCIÓN DE LA CALLE 17 ENTRE CARRERAS 38 DE BARRANQUILLA Y SU INTERSECCIÓN CON LA CALLE 30 EN EL MUNICIPIO DE SOLEDAD EN EL SITIO DENOMINADO LA VIRGENCITA</t>
  </si>
  <si>
    <t>INTERVENTORIA A LAS OBRAS QUE DEBERA EMPRENDER EL AREA METROPOLITANA DE BARRANQUILLA PARA LA CONSTRUCCIÓN DEL PUENTE VEHICULAR Y LOS INTERCAMBIOS VIALES LOCALIZADOS EN LA INTERSECCIÓN DE LA CALLE 45 MURILLO CON LA AVENIDA CIRCUNVALAR</t>
  </si>
  <si>
    <t xml:space="preserve">INSTITUTO NACIONAL DE VÍAS - INVIAS </t>
  </si>
  <si>
    <t>INTERVENTORIA PARA EL MEJORAMIENTO Y MANTENIMIENTO INTEGRAL DE LA RUTA BUENAVENTURA BUGA DEL CORREDOR VIAL DEL PACIFICO (INCLUIDO EL MANTENIMIENTO RUTINARIO, LA SEÑALIZACIÓN, EL MONITOREO Y VIGILANCIA Y LOS CONTEOS DE TRANSITO) RUTA 40 TRAMO 4001</t>
  </si>
  <si>
    <t>CM019P12I01</t>
  </si>
  <si>
    <t>GRUPO POSSO S.A.S</t>
  </si>
  <si>
    <t>DEPARTAMENTO DE SUCRE</t>
  </si>
  <si>
    <t>INTERVENTORIA TECNICA, ADMINISTRATIVA, FINANCIERA Y AMBIENTAL PARA LAS OBRAS DE MEJORAMIENTO EN PAVIMENTO ASFALTICO DE LA VIA SAMPUES-SAN BENITO ABAD, MUNICIPIOS DE SAMPUES Y SAN BENITO ABAD EN EL DEPARTAMENTO DE SUCRE</t>
  </si>
  <si>
    <t>CM019P13</t>
  </si>
  <si>
    <t>CM019P13I01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</si>
  <si>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</si>
  <si>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</si>
  <si>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</si>
  <si>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INTERVENTORIA DE LOS ESTUDIOS Y DISEÑOS, PAVIMENTACIÓN Y/O REPAVIMENTACIÓN DE LAS VIAS INCLUIDAS DENTRO DEL PROGRAMA DE PAVIMENTACIÓN DE INFRAESTRUCTURA VIAL DE INTEGRACIÓN Y DESARROLLO GRUPO 6 VIA BETANIA- PUERTO BOY CON UNA LONG DE 9,24KMS, VIA CARAMANTA- VALPARAISO CON UNA LONG DE 13,10KMS EN EL DEPARTAMENTO DE ANTIOQUIA</t>
  </si>
  <si>
    <t>CM019P13I03</t>
  </si>
  <si>
    <t xml:space="preserve">J FELIPE ARDILA V &amp; CIA S.A.S </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</si>
  <si>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</si>
  <si>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</si>
  <si>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CM019P13I02</t>
  </si>
  <si>
    <t xml:space="preserve">CIVING INGENIEROS CONTRATISTAS S EN C  </t>
  </si>
  <si>
    <t>CONTRATAR LA INTERVENTORIA TÉCNICA ADMINISTRATIVA, FINANCIERA Y DEL CONTRATO DE LAS OBRAS DE MANTENIMIENTO DE LA INFRAESTRUCTURA DEL SISTEMA DE TRANSPORTE MASIVO DE LA CIUDAD DE BOGOTA</t>
  </si>
  <si>
    <t>CM019P14</t>
  </si>
  <si>
    <t>CM019P14I01</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</si>
  <si>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</si>
  <si>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</si>
  <si>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</si>
  <si>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</si>
  <si>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M-7</t>
  </si>
  <si>
    <t>ASESORÍA A LA INSPECCIÓN FISCAL MANTENIMIENTO RUTA C-386, SECTOR BIFURCACIÓN RUTA 5 - HACIENDA TOLEDO, TRAMO DM 0.000,00 AL DM 33.130,00, PROVINCIA DE ATACAMA, REGIÓN DE ATACAMA.</t>
  </si>
  <si>
    <t>M-6</t>
  </si>
  <si>
    <t>CM019P14I02</t>
  </si>
  <si>
    <t>ESTUDIOS TECNICOS Y ASESORIAS S.A ETA S.A</t>
  </si>
  <si>
    <t xml:space="preserve">CONTRATO NO. 167 DE 2006
INTERVENTORÍA TÉCNICA, ADMINISTRATIVA, FINANCIERA, AMBIENTAL, SOCIAL, DE SEGURIDAD INDUSTRIAL Y SALUD OCUPACIONAL PARA LA CONSTRUCCIÓN DE LA AVENIDA DE LOS COMUNEROS DESDE LA AVENIDA CIRCUNVALAR HASTA LA AVENIDA CARRERA 9 EN BOGOTÁ D.C.
</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</si>
  <si>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</si>
  <si>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</si>
  <si>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CM019P15</t>
  </si>
  <si>
    <t>CM019P15I01</t>
  </si>
  <si>
    <t xml:space="preserve">GRUSAMAR INGENIERIA Y CONSULTING S.L SUCURSAL EN COLOMBIA </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</si>
  <si>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</si>
  <si>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</si>
  <si>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</si>
  <si>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CM019P15I02</t>
  </si>
  <si>
    <t>JUAN AMADO LIZARAZO</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</si>
  <si>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</si>
  <si>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CM019P16</t>
  </si>
  <si>
    <t>CM019P16I01</t>
  </si>
  <si>
    <t>MAB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</si>
  <si>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</si>
  <si>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CM019P17</t>
  </si>
  <si>
    <t>CM019P17I03</t>
  </si>
  <si>
    <t>TECNUMEC S.A.S.</t>
  </si>
  <si>
    <t xml:space="preserve">Interventoría del Proyecto Corredor del Sur y Marginal de la Selva” </t>
  </si>
  <si>
    <t>Interventoría para el Mantenimiento y Rehabilitación de las Carreteras El Tigre – Dabeiba – Santafé de Antioquia</t>
  </si>
  <si>
    <t xml:space="preserve">Interventoría Técnica, Administrativa, Financiera, Ambiental y Social para la Rehabilitación de los Tramos Rojos (Calle 170) de las vías de la Malla Vial Arterial Principal y complementaria correspondiente al grupo V en Bogotá D.C. </t>
  </si>
  <si>
    <t>Interventoría para el Mantenimiento y Rehabilitación de las Carreteras: Barbosa – Tunja y Chiquinquirá – Tunja</t>
  </si>
  <si>
    <t>CM019P17I02</t>
  </si>
  <si>
    <t>PRODEINCOL S.A.S</t>
  </si>
  <si>
    <t>MAATZ - Compañía Nacional de Caminos</t>
  </si>
  <si>
    <t>Supervisión y Control de Calidad del Proyecto de Concesion Ruta 431, comprende la construcción de una ruta nueva, su operación y mantenimiento.</t>
  </si>
  <si>
    <t>CM019P17I01</t>
  </si>
  <si>
    <t xml:space="preserve">PROGIN COLOMBIA </t>
  </si>
  <si>
    <t>CM019P18</t>
  </si>
  <si>
    <t>CM019P18I01</t>
  </si>
  <si>
    <t>VELNEC S.A</t>
  </si>
  <si>
    <t>INTERVENTORIA TECNICA, ADMINISTRATIVA, FINANCIERA, SOCIAL Y AMBIENTAL PARA LA CONSTRUCCIÓN, REHABILITACIÓN Y CONSERVACIÓN DE VIAS PARA RUTAS ALIMENTADORAS DEL SISTEMA TRANSMILENIO ZONA 4, GRUPO 1 EN BOGOTA DC</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</si>
  <si>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</si>
  <si>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CM019P18I02</t>
  </si>
  <si>
    <t>CONSULTORES INTERVENTORES COLOMBIANOS S.A.S CONCIC S.A.S</t>
  </si>
  <si>
    <t>INTERVENTORIA INTEGRAL QUE INCLUYE PERO NO SE LIMITA A LA INTERVENTORIA TECNICA, FINANCIERA, ADMINISTRATIVA, JURIDICA, GESTION SOCIAL, PREDIAL Y AMBINETAL PARA EL MEJORAMIENTO DEL PROYECTO TRANSVERSAL DEL CUSIANA FASE 2 EN EL PROGRAMA DE CORREDORES PRIORITARIOS PARA LA PROSPERIDAD</t>
  </si>
  <si>
    <t>INTERVENTORIA INTEGRAL QUE INCLUYE PERO NO SE LIMITA A LA INTERVENTORIA TECNICA, FINANCIERA, ADMINISTRATIVA, JURIDICA, GESTION SOCIAL, PREDIAL Y AMBINETAL PARA EL MEJORAMIENTO DEL PROYECTO CORREDOR HONDA MANIZALES FASE 2 EN EL PROGRAMA CORREDORES PRIRITARIOS PARA LA PROSPERIDAD</t>
  </si>
  <si>
    <t>CM019P19</t>
  </si>
  <si>
    <t>CM019P19I01</t>
  </si>
  <si>
    <t>B&amp;C S.A</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</si>
  <si>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</si>
  <si>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</si>
  <si>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CONTRATO No 035 DE 2006. REALIZAR LA INTERVENTORIA INTEGRAL DEL CONTRATO DE CONCESIÓN PARA LA REHABILITACIÓN, RECONSTRUCCIÓN, CONSERVACIÓN, MANTENIMIENTO, OPERACIÓN Y EXPLOTACIÓN DE LA RED FERREA DEL PACIFICO (BUENAVENTURA- LA FELIZA Y ZARZAL- LA TEBALDA)</t>
  </si>
  <si>
    <t>CM019P19I02</t>
  </si>
  <si>
    <t>CM019P20</t>
  </si>
  <si>
    <t>CM019P20I01</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</si>
  <si>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</si>
  <si>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</si>
  <si>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</si>
  <si>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INTERVENTORÍA TÉCNICA, FINANCIERA, OPERATIVA, PREDIAL, SOCIO AMBIENTAL Y LEGAL DEL PROYECTO DE CONCESIÓN VIAL NO 503 DE 1994 "CARTAGENA BARRANQUILLA"</t>
  </si>
  <si>
    <t>INTERVENTORÍA DE LAS OBRAS DE PAVIMENTACIÓN DE LA CARRETERA CEBADAL - CONSACA - SANDONA - PASTO</t>
  </si>
  <si>
    <t>CM019P20I02</t>
  </si>
  <si>
    <t>ESTUDIOS TECNICOS S.A.S.</t>
  </si>
  <si>
    <t xml:space="preserve">INVIAS </t>
  </si>
  <si>
    <t>INTERVENTORIA PARA EL MENJORAMIENTO Y MANTENIMIENTO DE LA VIA SIMON BOLIVAR-ANCHICAYA, ANTIGUA VIA A BUENAVENTURA SECTORES BAJO ANCHICAYA-AGUACLARA Y ZACARIAS-EL PAILON</t>
  </si>
  <si>
    <t>FONADE</t>
  </si>
  <si>
    <t>REALIZAR LA INTERVENTORIA A LAS OBRAS Y ACTIVIDADES QUE SE REALICEN PARA EL MANTENIMIENTO, REHABILITACIÓN, MEJORAMIENTO Y PAVIMENTACIÓN DE LA VIA TAME-ARAUCA, ENTRE LOS SECTORES K111+000 (PUENTE SOBRE EL RIO ) Y EL K151+722 B2Y2 DE LA ANTIOQUEÑA) EN EL DEPARTAMENTO DE ARAUCA</t>
  </si>
  <si>
    <t>CM019P21</t>
  </si>
  <si>
    <t>CM019P21I01</t>
  </si>
  <si>
    <t>CONSULTORIA (URBANA E INTERURBANA) DE LA ASISTENCIA A LA INSPECCIÓN FISCAL (INTERVENTORIA) DE LA CONSTRUCCIÓN DE LA OBRA "CONCESIÓN RUTA 5 TRAMO SANTIAGO-TALCA Y ACCESO SUR A SANTIAGO</t>
  </si>
  <si>
    <t>ASESORIA A LA INSPECCIÓN FISCAL (INTERVENTORIA) A LA CONSTRUCCIÓN DE LA CONCESIÓN INTERNACIONAL VIAL SANTIAGO-VALPARAISO-VIÑA DEL MAR</t>
  </si>
  <si>
    <t>CM019P21I02</t>
  </si>
  <si>
    <t xml:space="preserve">GRUPO METRO COLOMBIA </t>
  </si>
  <si>
    <t>INTERVENTORIA TECNICA, ADMINISTRATIVA, FINANCIERA, SOCIAL Y AMBIENTAL PARA LA CONSTRUCCIÓN Y/O REHABILITACIÓN DE VIAS EN LAS LOCALIDADES DE USAQUEN, TEUSAQUILLO, BARRIOS UNIDOS, ANTONIO NARIÑO Y ENGATIVA, GRUPO 1 EN BOGOTA DC</t>
  </si>
  <si>
    <t>METROCALI</t>
  </si>
  <si>
    <t>INTERVENTORIA TECNICA, ADMINISTRATIVA, FINANCIERA, SOCIAL Y AMBIENTAL PARA LA ADECUACIÓN DE LA CONDICIÓN FUNCIONAL VIAL DE LOS CORREDORES PRETRONCALES Y ALIMENTADORES DEL SISTEMA INTEGRADO DE TRANSPORTE MASIVO SITM-MID, GRUPOS 1,2 Y 3</t>
  </si>
  <si>
    <t>INTERVENTORIA TECNICA PARA LAS VIAS INTEMEDIAS Y LOCALES QUE EJECUTAN LOS URBANIZADORES EN BOGOTA</t>
  </si>
  <si>
    <t>INTERVENTORIA TECNICA, ADMINSITRATIVA, FINANCIERA Y AMBIENTALPARA LOS CONTRATOS DE MANTENIMIENTO PERIODICO DE LA MALLA VIAL ARTERIAL PRINCIPAL Y MALLA COMPLEMENTARIA, CONFORMADA POR LOS DISTRITOS DE MANTENIMIENTO  DE LOS GRUPOS 1 Y 2, SEGUNDA GENERACIÓN CORREDORES VIALES SEGMENTADOS EN BOGOTA</t>
  </si>
  <si>
    <t>CM019P22</t>
  </si>
  <si>
    <t>CM019P22I03</t>
  </si>
  <si>
    <t>ECOVIAS S.A.S</t>
  </si>
  <si>
    <t>INTERVENTORIA DE LOS ESTUDIOS, PAVIMENTACIÓN Y/O ERPAVIMENTACIÓN DE LAS VIAS INCLUIDAS DENTRO DEL PROGRAMA DE PAVIMENTACIÓN DE INFRAESTRUCTURA VIAL DE INTEGRACIÓN Y DESARROLLO GRUPO 2</t>
  </si>
  <si>
    <t>GOBERNACIÓN DEL ATLANTICO</t>
  </si>
  <si>
    <t>INTERVENTORIA DE LAS OBRAS DE MEJORAMIENTO (RECONSTRUCCIÓN D ELOS TRAMOS EROSIONADOS) DE LA CARRETERA GUAIMARAL (TUBARÁ) - LOS POCITOS (GALAPA) - JUAN MINA (BARRANQUILLA) EN EL DEPARTAMENTO DEÑL ATLÁNTICO</t>
  </si>
  <si>
    <t>TRANSMETRO S.A</t>
  </si>
  <si>
    <t>CM019P22I02</t>
  </si>
  <si>
    <t>ESTRUCTURADOR COLOMBIA S.A.S</t>
  </si>
  <si>
    <t>DESARROLLO VIALTRASNVERSAL DEL SUR MODULO 2, INTERVENTORIA PARA EL MEJORAMIENTO Y MANTENIMIENTO DEL CORREDOR TUMACO-PASTO-MOCOA</t>
  </si>
  <si>
    <t>CM019P22I01</t>
  </si>
  <si>
    <t>BATEMAN INGENIERIA S.A.</t>
  </si>
  <si>
    <t>TRANSMETRO S.A.S</t>
  </si>
  <si>
    <t>INTERVENTORIA TECNICA, ADMINISTRATIVA, FINANCIERA Y AMBIENTAL PARA EL MEJORAMIENTO INTEGRAL DE VIAS EN LAS ZONAS DE PRECARGAS DEL SISTEMA DE TRANSPORTE MASIVO DEL DISTRITO DE BARRANQUILLA Y SU AREA METROPOLITANA SISTEMA TRANSMETRO DE ACUERDO CON LOS PLANOS DE INTERVENCIÓN DE CADA UNO DE LOS COMPONENTES, GRUPOS No 1 Y No 2.</t>
  </si>
  <si>
    <t>CM019P23</t>
  </si>
  <si>
    <t>CM019P23I01</t>
  </si>
  <si>
    <t>SUPERING S.A.S</t>
  </si>
  <si>
    <t>CM019P23I02</t>
  </si>
  <si>
    <t xml:space="preserve">ARDANUY INGENIERIA S.A </t>
  </si>
  <si>
    <t>CONSULTORÍA Y ASISTENCIA TÉCNICA PARA EL CONTROL Y VIGILANCIA DE LAS OBRAS "LINEAS SEVILLA - CÁDIZ. TRAMO: AEROPUERTO DE JEREZ DE LA FRONTERA - CÁDIZ. DUPLICACIÓN DE VÍA. SUBTRAMO: EL PORTAL"</t>
  </si>
  <si>
    <t>CM019P24</t>
  </si>
  <si>
    <t>CM019P24I01</t>
  </si>
  <si>
    <t>TECNOLOGIAS Y CONSULTORIAS AMBIENTALES Y DE GESTIÓN S.A  TECNICONSULTAS S.A.</t>
  </si>
  <si>
    <t xml:space="preserve">INTERVENTORIA TÉCNICA, ADMINISTRATIVA, FINANCIERA, LEGAL, SOCIAL Y AMBIENTLA DE LA OBRAS Y ACTIVIDADES PARA LA MALLA VIAL ARTERIAL, INTERMEDIA Y LOCAL DE LOS DISTRITOS DE CONSERVACIÓN EN LA CIUDAD DE BOGOTÁ D.C CERRESPONDIENTE AL GRUPO 1 </t>
  </si>
  <si>
    <t xml:space="preserve">INTERVENTORIA TÉCNICA, ADMINISTRATIVA, FINANCIERA, AMBIENTAL Y SOCIAL AL CONTRATO DE CONCECIÓN DE OBRA PUBLICA No 382 DE 2012, CUYO OBJETO ES LA CONSTRUCCIÓN DE L PRIMERA ETAPA DE LAS VIAS PRIORIZADAS EN EL PLAN VIAL DEL DEPARTAMENTO DE LA GUAJIRA </t>
  </si>
  <si>
    <t>CM019P24I03</t>
  </si>
  <si>
    <t>HORACIO MENDOZA MARTINEZ</t>
  </si>
  <si>
    <t>INSTITUTO NACIONAL DE CONCESIONES - INCO (EMPRESA COLOMBIANA DE VIAS FERREAS- FERROVIAS)</t>
  </si>
  <si>
    <t>INTERVENTORIA TECNICA, ADMINISTRATIVA, FINANCIERA Y OPERATIVA DEL CONTRATO DE CONCESIÓN PARA LA REHABILITACIÓN, CONSERVACIÓN, OPERACIÓN Y EXPLOTACIÓN DE LA RED ATLANTICO</t>
  </si>
  <si>
    <t>CM019P24I02</t>
  </si>
  <si>
    <t>PROYECTOS TECNICOS DE COLOMBIA S.A.S PROYTECO S.A.S</t>
  </si>
  <si>
    <t>INTERVENTORIA TECNICA, ADMINISTRATIVA, FINANCIERA, LEGAL, SOCIAL Y AMBIENTAL DE LAS OBRAS Y ACTIVIDADES PARA LA MALLA VIAL ARTERIAL, INTERMEDIA Y LOCAL DE LOS DISTRITOS DE CONSERVACION EN LA CIUDAD DE BOGOTA D.C. CORRESPONDIENTES AL GRUPO 3.</t>
  </si>
  <si>
    <t>CM019P25</t>
  </si>
  <si>
    <t>CM019P25I01</t>
  </si>
  <si>
    <t xml:space="preserve">SEDIC S.A </t>
  </si>
  <si>
    <t>INTERVENTORIA DE LA AMPLIACIÓN, RECTIFICACIÓN Y PAVIMENTACIÓN DE LA CARRETERA BOLOMBO-SANTA FE DE ANTIOQUIA</t>
  </si>
  <si>
    <t>INTERVENTORIA INTEGRAL (TÉCNICA, ADMINISTRATIVA, AMBIENTAL Y FINANCIERA) DEL PROYECTO VIAL EN CONCESIÓN, CORREDOR DE ACCESO RAPIDO A LA VARIANTE DE CARTAGENA, ALCALDIA MAYOR</t>
  </si>
  <si>
    <t>CONSULTORIA, ASESORIA E INTERVENTORIA DE LAS OBRAS DE PAVIMENTACIÓN DE LOS SECTORES REMOLINO-CUIDAD BOLIVAR DE LA CARRETERA AMAGA-CUIDAD BOLIVAR Y REMOLINO-JARDIN DE LA CARRETERA AMAGA JARDIN</t>
  </si>
  <si>
    <t xml:space="preserve">CONSULTORÍA, ASESORIAS E INTERVENTORÍA TÉCNICA Y ADMINISTRATIVA, A LAS OBRAS DE REHABILITACIÓN DEL SECTOR OBA - SOCORRO - SAN GIL DE LA CARRETERA BARBOSA - OIBA - BUCARAMANGA </t>
  </si>
  <si>
    <t>CM019P25I02</t>
  </si>
  <si>
    <t>CB INGENIEROS S.A.S</t>
  </si>
  <si>
    <t>INTERVENTORIA TÉCNICA, LEGAL FINANCIERA, ADMINISTRATIVA, AMBIENTAL, PREDIAL Y SOCIAL DEL PROYECTO "ESTUDIOS Y DISEÑOS, GESTIÓN SOCIAL, PREDIAL, AMBIENTAL Y MEJORAMIENTO DEL PROYECTO CORREDOR DEL SUR Y MARGINAL DE LA SELVA"</t>
  </si>
  <si>
    <t xml:space="preserve">
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
</t>
  </si>
  <si>
    <t>CM019P26</t>
  </si>
  <si>
    <t>CM019P26I01</t>
  </si>
  <si>
    <t>CM019P26I03</t>
  </si>
  <si>
    <t>GARPER INGENIERIA CIA S.A.S</t>
  </si>
  <si>
    <t>CM019P26I02</t>
  </si>
  <si>
    <t>TOP SUELOS INGENIERIA S.A.S</t>
  </si>
  <si>
    <t>INTERVENTORIA TÉCNICA, LEGAL, FINANCIERA, ADMINISTRATIVA, AMBIENTAL, PREDIAL Y SOCIAL DEL PROYECTO ESTUDIOS  Y DISEÑOS, GESTIÓN SOCIAL, PREDIAL, AMBIENTAL Y MEJORAMIENTO DEL PROYECTO TRANSVERSAL DEL LIBERTADOR</t>
  </si>
  <si>
    <t>SOP DEPARTAAMENTO DE ARAUCA</t>
  </si>
  <si>
    <t>INTERVENTORIA TÉCNICA, ADMINISTRATIVA, FINANCIERA Y AMBIENTAL A LAS OBRAS DE MEJORAMIENTO, CONSTRUCCIÓN Y PAVIMENTACIÓN DE LA VIA ARAUCA-TAME EN EL SECTOR RIO LIPA K11+190 Y LA ANTIOQUEÑA K151+772, MUNICIPIO DE ARAUCA, DEPARTAMENTO DE ARAUCA.</t>
  </si>
  <si>
    <t>CM019P27</t>
  </si>
  <si>
    <t>CM019P27I01</t>
  </si>
  <si>
    <t>CONCOL INGENIERIA S.A.S</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</si>
  <si>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</si>
  <si>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AGENCIA NACIONAL DE INFRAESTRUCTURA-ANI</t>
  </si>
  <si>
    <t>INTERVENTORIA TÉCNICA, FINANCIERA, OPERATIVA, PREDIAL, SOCIOAMBIENTAL Y LEGAL DEL PROYECTO DE CONCESIÓN VIAL "DESARROLLO VIAL DEL ORIENTE DE MEDELLIN VALLE DE RIONEGRO Y CONEXIÓN A PUERTO TRIUNFO, EN EL MARCO DEL CONTRATO DE CONCESIÓN 275/1996</t>
  </si>
  <si>
    <t>INTERVENTORIA TÉCNICA, ADMINISTRATIVA, FINANCIERA Y AMBIENTAL PARA LA CONSTRUCCIÓN DE LAS OBRAS DEL SISTEMA DE TRANSPORTE INTEGRADO MASIVO DEL DISTRITO DE BARRANQUILLA Y SU AREA METROPOLITANA, SISTEMA TRANSMETRO, DE ACUERDO CON LOS PLANOS DE INTERVENCIÓN DE CADA UNO DE LOS COMPONENTES (TRONCALES, ESTACIONES Y PORTALES)</t>
  </si>
  <si>
    <t>INTERVENTORIA TÉCNICA, ADMINISTRATIVA, LEGAL, FINANCIERA Y AMBIENTAL DE LA ADECUAVIÓN DE LA TRONCAL CALLE 13 AL SISTEMA TRANSMILENIO, ENTRE LA TRONCAL CARACAS Y PUENTE ARANDA</t>
  </si>
  <si>
    <t>INTERVENTORIA TÉCNICA, ADMINISTRATIVA, FINANCIERA, LEGAL, SOCIAL Y AMBIENTAL DE LAS OBRAS Y ACTIVIDADES PARA LA MALLA VIAL ARTERIAL, INTERMEDIA Y LOCAL DE LOS DISTRITOS DE CONSERVACIÓN EN LA CIUDAD DE BOGOTA DC, CORRESPONDIENTE AL GRUPO 4</t>
  </si>
  <si>
    <t>CM019P28</t>
  </si>
  <si>
    <t>CM019P28I02</t>
  </si>
  <si>
    <t>CANO JIMENEZ ESTUDIOS S.A.</t>
  </si>
  <si>
    <t>INTERVENTORIA TECNICA, FINANCIERA, AMBIENTAL Y OPERATIVA EN LA ETAPA DE CONSTRUCCIÓNDEL CONTRATO DE CONSECIÓN No 113 DE 1997 DESARROLLO ARMENIA-PEREIRA-MANIZALEZ</t>
  </si>
  <si>
    <t>INTERVENTORIA TECNICA, JURIDICA, ADMINISTRATIVA, OPERATIVA Y FINANCIERA AL CONTRATO DE CONCESIÓN No 0377 DE 2002 CONCESIÓN BRICEÑO-TUNJA-SOGAMOSO, CELEBRADO ENTRE EL INSTITUTO NACIONAL DE CONCESIONES Y EL CONSORCIO SOLARTE SOLARTE</t>
  </si>
  <si>
    <t>CM019P28I01</t>
  </si>
  <si>
    <t>CM019P29</t>
  </si>
  <si>
    <t>CM019P29I01</t>
  </si>
  <si>
    <t>IV INGENIEROS CONSULTORES SUCURSAL COLOMBIA S.A</t>
  </si>
  <si>
    <t>CONSELLERIA D INFRAESTRCUTURES TERRITORIMED AMBIENT</t>
  </si>
  <si>
    <t>CONSULTORIA Y ASISTENCIA TÉCNICA DE DIRECCIÓN, CONTROL Y VIGILANCIA DE LAS OBRAS (INTERVENTORIA) DE LA PROLONGACIÓN DE LA LINEA T4 DE TRANVIA METROVALENCIA, TRAMO RADIO TELEVISIÓN VALENCIANA RTVV -BARRIO COMA/VALTERNA</t>
  </si>
  <si>
    <t>CONSULTORIA Y ASISTENCIA TÉCNICA DE DIRECCIÓN, CONTROL Y VIGILANCIA DE LAS OBRAS (INTERVENTORIA) DE LA AUTOVIA DE PLANA (CV-10) TRAMO TORNESA-VILLANOVA D ALCOLEA (AEROPUERTO) CASTELLÓN</t>
  </si>
  <si>
    <t>CM019P29I03</t>
  </si>
  <si>
    <t>CELQO  S.A.S</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</si>
  <si>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</si>
  <si>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CM019P29I02</t>
  </si>
  <si>
    <t>ALPHA GRUPO CONSULTOR E INTERVENTOR S.A.S</t>
  </si>
  <si>
    <t>METROCALI SA</t>
  </si>
  <si>
    <t>INTERVENTORIA TÉCNICA, ADMINISTRATIVAA, FINANCIERA, SOCIAL Y AMBIENTAL DE LAS CONSTRUCCIONES DE CORREDORES Y OBRAS COMPLEMENTARIAS DEL SISTEMA INTEGRADO DE TRANSPORTE MASIVO DE PASAJEROS DE SANTIAGO DE CALI, DE ACUERDO A LOS FRENTES 1 Y 2</t>
  </si>
  <si>
    <t>ALCALDIA DE SANTIAGO DE CALI</t>
  </si>
  <si>
    <t xml:space="preserve">INTERVENTORIA TECNICA, SOCIO AMBIENTAL, LEGAL, ADMINISTRATIVA, PREDIAL Y FINANCIERA A LOS CONTRATOS DE CONCESIÓN No 005-010, 004-010 Y 003-010, DERIVADOS DE LA LICITACIÓN PUBLICA 4151-OP-09-2009, GRUPO 1- PROLONGACIÓN DE LA AV. CIRCUNVALAR, AUTOPISTA SUR ENTRE LAS CALLES 5 Y LA INTERSECCIÓN CON LA AV. CIRCUNVALAR, CALLE 16 ENTRE CARRERAS 50 Y 105, VIA A LA PAZ, INTERSECCIÓN VIAL AL DESNIVEL, AUTOPISTA SUR (CALLE 10) CARRERA 63B, SOLUCIÓN PEATONAL, AUTOPISTA SUR CALLE 10-CARRERA 68 </t>
  </si>
  <si>
    <t>SECRETARIA DE INFRAESTRUCTURA VIAL Y VALORIZACIÓN</t>
  </si>
  <si>
    <t>INTERRVENTORIA TÉCNICA, FINANCIERA Y AMBIENTAL PARA LOS ESTUDIOS Y DISEÑOS, CONSTRUCCIÓN Y MEJORAMIENTO DE LA TRANSVERSAL 103 ENTRE LAS CARRERAS 26 Y 28D POR EL SISTEMA DE CONCESIÓN</t>
  </si>
  <si>
    <t>CM019P30</t>
  </si>
  <si>
    <t>CM019P30I01</t>
  </si>
  <si>
    <t xml:space="preserve">3B PROYECTOS S.A.S. </t>
  </si>
  <si>
    <t>TRANSCARIBE SA</t>
  </si>
  <si>
    <t>CM019P31</t>
  </si>
  <si>
    <t>CM019P31I01</t>
  </si>
  <si>
    <t xml:space="preserve">AYESA DE COLOMBIA INGENIERIA Y ARQUITECTURA S.A.S </t>
  </si>
  <si>
    <t>MINISTERIO DE FOMENTO -  DIRECCIÓN GENERAL DE CARRETERAS</t>
  </si>
  <si>
    <t>CONTROL Y VGILANCIA DE LAS OBRAS AUTOVIA DEL MEDITERRANEO CN-340 DE CADIZ Y GIBRALTAR A BARCELONA. TRAMO: ALMUÑECAR (LA HERRADURA) - ALMUÑECAR (TARAMAY). PROVINCIA DE GRANADA</t>
  </si>
  <si>
    <t>CM019P31I02</t>
  </si>
  <si>
    <t xml:space="preserve">INTERSA S.A </t>
  </si>
  <si>
    <t>INTERVENTORIA TECNICA, AMBIENTAL, LEGAL, ADMINISTRATIVA, PREDIAL, FINANCIERA, Y OPERATIVA EN LA ETAPA DE OPERACIÓN DEL CONTRATO DE CONCESION #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</si>
  <si>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</si>
  <si>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</si>
  <si>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</si>
  <si>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CM019P32</t>
  </si>
  <si>
    <t>CM019P32I01</t>
  </si>
  <si>
    <t>GOMEZ CAJIAO Y ASOCIADOS S.A.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</si>
  <si>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</si>
  <si>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</si>
  <si>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</si>
  <si>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</si>
  <si>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</si>
  <si>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</si>
  <si>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CM019P32I02</t>
  </si>
  <si>
    <t>CONSULTORIA INTOK DE COLOMBIA Y ASOCIADOS S.A.S</t>
  </si>
  <si>
    <t>Bizkaiko Hegoaldeko Akzesibilitatea, SA (Interbiak)</t>
  </si>
  <si>
    <t>CONSULTORÍA Y ASISTENCIA TÉCNICA A LA DIRECCIÓN DE LAS OBRAS DE CONSTRUCCIÓN DEL CORREDOR DE CADAGUA. TRAMO ARBUIO-SODUPE Y DESDOBLAMIENTO DEL TRAMO PADURA-ARANGUREN</t>
  </si>
  <si>
    <t>M-28</t>
  </si>
  <si>
    <t>Euskal Trendibe Sarea (ETS)</t>
  </si>
  <si>
    <t xml:space="preserve">SERVICIO DE APOYO A LA DIRECCIÓN DE LAS OBRAS (INTERVENTORÍA/SUPERVISIÓN) DEL TRAMO PORTUGALETE - SANTURTZI DE LA LÍNEA 2 DEL FERROCARRIL METROPOLITANO DE BILBAO </t>
  </si>
  <si>
    <t>M-60</t>
  </si>
  <si>
    <t>CM019P33</t>
  </si>
  <si>
    <t>CM019P33I01</t>
  </si>
  <si>
    <t xml:space="preserve">SERINCO COLOMBIA </t>
  </si>
  <si>
    <t>CONTROL Y VIGILANCIA DE LAS OBRAS: PROYECTO DE ACONDICIONAMIENTO DE LA CARRETERA N-110 (SORIA A PLASENCIA) TRAMO: PLASENCIA - NAVACONEJO. PROVINCIA CACERES</t>
  </si>
  <si>
    <t>CM019P33I02</t>
  </si>
  <si>
    <t xml:space="preserve">DICONSULTORIA S.A.  </t>
  </si>
  <si>
    <t>METROCALI S.A.</t>
  </si>
  <si>
    <t>INTERVENTORÍA TÉCNICA, ADMINISTRATIVA, FINANCIERA, AMBIENTAL Y SOCIAL DE LA CONSTRUCCIÓN DEL CORREDOR TRONCAL CENTRO Y OBRAS COMPLEMENTARIAS DEL SISTEMA INTEGRADO DE TRANSPORTE MASIVO DE PASAJEROS DE SANTIAGO DE CALI, DE ACUERDO A LOS SIGUIENTES FRENTES: FRENTE 3 Y FRENTE 4</t>
  </si>
  <si>
    <t>IDEA</t>
  </si>
  <si>
    <t>INTERVENTORIA DE LAS OBRAS DE CONSTRUCCIÓN DEL PUENTE SOBRE EL RIO MAGDALENA ENTRE LOS MUNICIPIOS DE BARRANCABERMEJA Y YONDO, PUENTE VEHICULAR EN VOLADIZOS SUCESIVOS Y VIADUCTOS DE ACCESO CON UNA LONGITUD TOTAL DE 919,10M EN 16 LUCES Y 17 APOYOS ADEMAS SE INCLUYE LA CONSTRUCCIÓN DE TERRAPLENES DE ACCCESO AL PUENTE UBICADOS ENTRE LA ABSCISA K0+000 A K0+586,45 AL LADO DE BARRANCABERMEJA Y DEL K1+505,55 AL K2+161 AL LADO DE YONDO</t>
  </si>
  <si>
    <t>CM019P34</t>
  </si>
  <si>
    <t>CM019P34I01</t>
  </si>
  <si>
    <t>LKS  COLOMBIA S.A.S</t>
  </si>
  <si>
    <t xml:space="preserve">DEPARTAMENTO DE INFRAESTRUCTURAS VARIAS DE LA DIPUTACIÓN FORAL DE GIPUZKOA </t>
  </si>
  <si>
    <t xml:space="preserve">Interventoría de construcción de la carretera GI- 131 en Andoain </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</si>
  <si>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</si>
  <si>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</si>
  <si>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CM019P34I03</t>
  </si>
  <si>
    <t>CGR S.A.S.</t>
  </si>
  <si>
    <t>INTERVENTORIA TECNICA, LEGAL,FINANCIERA, ADMINISTRATIV, AMBIENTAL, PREDIAL Y SOCIAL DEL PRYECTO ESTUDIOS Y DISEÑOS GESTION SOCIAL, PREDIAL, AMBIENTAL Y MEJORAMIENTO DEL PROYECTO "TRONCAL DEL NORTE"</t>
  </si>
  <si>
    <t>CM019P34I02</t>
  </si>
  <si>
    <t>NOGAALL S.A.</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</si>
  <si>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</si>
  <si>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</si>
  <si>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MUNICIPIO DE BELLO</t>
  </si>
  <si>
    <t>INTERVENTORIA TECNICA, ADMINISTRATIVA, LEGAL Y FINANCIERA PARA LA CONSTRUCCIÍN, REHABILITACION CON MEZCLA ASFALTICA Y CONSTRUCCIÓN DE OBRAS DE URBANISMO DE LA MALLA VIAL DEL MUNICIPIO DE BELLO CORRESPONDIENTES A LAS LICITACIONES PUBLICAS N11 Y N13 DE 2012</t>
  </si>
  <si>
    <t>CM019P35</t>
  </si>
  <si>
    <t>CM019P35I02</t>
  </si>
  <si>
    <t>SONDEOS ESTRUCTURAS Y GEOTECNIA SUCURSAL COLOMBIA S.A.</t>
  </si>
  <si>
    <t>ASISTENCIA TECNICA PARA EL CONTROL Y VIGILANCIA DE LA OBRA PISTA DE VUELO 1ER 36L Y BALIZAMIENTO CAT DE LA PISTA 18R 36L CALLES DE RODAJE, CENTRAL ELECTRICA LADO FASE II EN EL AEROPUERTO DE MADRID BARAJAS</t>
  </si>
  <si>
    <t>"Consultoría y asistencia para la realización del control  y vigilancia de las obras: Autovía A-63 de Oviedo a La Espina. Tramo: Salas - La Espina ( 1a calzada )"</t>
  </si>
  <si>
    <t>CM019P35I01</t>
  </si>
  <si>
    <t>INGENIERIA CONSULTORIA Y PLANEACION S.A. INCOPLAN S.A.</t>
  </si>
  <si>
    <t>Interventoría operativa, ambiental y de mantenimiento para la concesión de la administración, operación, explotación comercial, mantenimiento, modernización y expansión del Aeropuerto Internacional El Dorado de la Ciudad de Bogotá D.C.</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</si>
  <si>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</si>
  <si>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CM019P36</t>
  </si>
  <si>
    <t>CM019P36I01</t>
  </si>
  <si>
    <t>INGENIERIA DE PROYECTOS S.A.S</t>
  </si>
  <si>
    <t>INTERVENTORIA DEL MEJORAMIENTO Y MANTENIMIENTO INTEGRAL DE LA RUTA BUENAVENTURA-BUGA DEL CORREDOR VIAL DEL PACIFICO (INCLUIDO EL MANTEMIENTO RUTINARIO, LA SEÑALIZACIÓN, EL MONITOREO Y VIGILANCIA Y LOS CONTEOS DE TRANSITO Y RUTA 40 TRAMO 4001</t>
  </si>
  <si>
    <t>FONDO DE DESARROLLO LOCAL DE BOSA</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</si>
  <si>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</si>
  <si>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</si>
  <si>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</si>
  <si>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CM019P36I02</t>
  </si>
  <si>
    <t>INGENIEROS CIVILES ESPECIALISTAS LTDA</t>
  </si>
  <si>
    <t>DEPARTAMENTO DEL ATLANTICO</t>
  </si>
  <si>
    <t>INTERVENTORIA DE LAS OBRAS DE RECUPERACIÓN DE LA BANCA EN LOS CORREDORES VIALES YE DE GUAIMARAL-TUBARA-EL VAIVEN-PIOJO Y JUAN DE ACOSTA-SIBARCO EN EL DEPARTAMENTO DEL ATLANTICO</t>
  </si>
  <si>
    <t>INTERVENTORIA TÉCNICA Y ADMINISTRATIVA DE LA CONCESIÓN PARA LA ADECUACIÓN Y/O REHABILITACIÓN DE LA RED VIAL SECUNDARIA Y TERCIARIA, SUOPERACIÓN Y MANTENIMIENTO EN UNA LONGITUD DE 88,5 KM EN EL DEPARTAMENTO DE LA GUAJIRA</t>
  </si>
  <si>
    <t>CM019P37</t>
  </si>
  <si>
    <t>CM019P37I01</t>
  </si>
  <si>
    <t>GIC GERENCIA INTERVENTORIA Y CONSULTORIA S.A.S</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</si>
  <si>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</si>
  <si>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</si>
  <si>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</si>
  <si>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</si>
  <si>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</si>
  <si>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CM019P37I02</t>
  </si>
  <si>
    <t>INTERVENTORIA TECNICA ECNOMICA, FINANCIERA, JURIDICA, ADMINISTRATIVA, OPERATIVA, MEDIO AMBIENTAL Y SOCIO PREDIAL DEL CONTRATO DE CONCESIÓN BAJO UN ESQUEMA DE ASOCIACIÓN PUBLICO PRIVASA CORRESPONDIENTE AL CORREDOR CONCESIONADO "ZIPAQUIRA- BUCARAMANGA (PALENQUE)</t>
  </si>
  <si>
    <t>INTERVENTORIA, ADMINISTRATIVA, FIANNCIERA, LEGAL, SOCIAL Y AMBIENTAL DE LAS OBRAS Y ACTIVIDADES PARA LA MALLA VIAL ARTERIAL, INTERMEDIA Y LOCAL DE LOS DISTRITOS DE CONSERVACIÓN EN LA CUIDAD DE BOGOTA D.C. GRUPO No 4.</t>
  </si>
  <si>
    <t>CM019P38</t>
  </si>
  <si>
    <t>CM019P38I01</t>
  </si>
  <si>
    <t>CONSULTORES TECNICOS Y ECONOMICOS S.A. CONSULTECNICOS</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</si>
  <si>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</si>
  <si>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</si>
  <si>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</si>
  <si>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ALCALDIA DE MEDELLÍN</t>
  </si>
  <si>
    <t>INTERVENTORIA PARA LA CONSTRUCCION DEL PUENTE DE LA  CALLE 4 SUR  Y OBRAS COMPLEMENTARIAS</t>
  </si>
  <si>
    <t>CM019P38I02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</si>
  <si>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</si>
  <si>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</si>
  <si>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CM019P39</t>
  </si>
  <si>
    <t>CM019P39I01</t>
  </si>
  <si>
    <t xml:space="preserve">D.I.S. S.A.S </t>
  </si>
  <si>
    <t>INTERVENTORIA TÉCNICA, FINANCIERA Y OPERATIVA EN LAS ETAPAS DE PRECONSTRUCCIÓN Y CONSTRUCCIÓN DEL CONTRATO DE CONCESIÓN No. 0377 DE 2002 CARRETERA BRICEÑO-TUNJA-SOGAMOSO</t>
  </si>
  <si>
    <t>CM019P39I02</t>
  </si>
  <si>
    <t>GNG INGENIERIA S.A.S</t>
  </si>
  <si>
    <t>INTERVENTORIA TECNICA ADMINISTRATIVA, FINANCIERA LEGAL Y AMBIENTAL PARA LA PAVIMENTACIÓN DE LA VIA YOPAL - EL ALGARROBO - OROCUE, SECTOR LA TURUPA - QUEBRADASECA (K0+000 AL K16+000) DEL MUNICIPIO DE YOPAL CASANARE</t>
  </si>
  <si>
    <t>ALCALDIA MUNICIPAL DE TOCANCIPA</t>
  </si>
  <si>
    <t>INTERVENTORIA TECNICA ADMINISTRATIVA Y FINANCIERA PARA LA AMPLIACION, CONSTRUCCION Y PAVIMENTACION DEL ANILLO VIAL VERGANZO SEGUNDA ETAPA DEL MUNICIPIO DE TOCANCIPA</t>
  </si>
  <si>
    <t>INSTITUTO DISTRITAL DE DESARROLLO URBANO - IDU -</t>
  </si>
  <si>
    <t>INTERVENTORIA TECNICA ADMINISTRATIVA Y FINANCIERA, LEGAL, SOCIAL, SEGURIDAD INDUSTRIAL, SALUD OCUPACIONAL Y MEDIO AMBIENTE PARA LAS OBRAS Y ACTIVIDADES PARA LA CONSERVACIÓN DE LA MALLA VIAL ARTERIAL NO TRONCAL EN EL GRUPO 5 FASE I 2013</t>
  </si>
  <si>
    <t>INTERVENTORIA TECNICA, ADMINISTRATIVA, LEGAL, FIANACIERA, SOCIAL AMBIENTAL PARA LA CONSTRUCCIÓN DE LA AV GERMAN ARCINIEGAS ENTRE LA AV CARLOS LLERAS RESTREPO Y LA CALLE 106 EN BOGOTA DC</t>
  </si>
  <si>
    <t>CONSULTORIA PARA LA INTERVENTORIA TECNICA ADMINISTRATIVA Y FINANCIERA PARA LA AMPLIACIÓN CONSTRUCCIÓN Y PAVIMENTACIÓN DEL ANILLO VIAL VERGANZO ETAPA 1 EN EL MUNICIPIO DE TOCANCIPA</t>
  </si>
  <si>
    <t>CM019P40</t>
  </si>
  <si>
    <t>CM019P40I01</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</si>
  <si>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</si>
  <si>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</si>
  <si>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</si>
  <si>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</si>
  <si>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</si>
  <si>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CM019P40I02</t>
  </si>
  <si>
    <t xml:space="preserve">INGENIERIA Y CONSULTORIA INGECON S.A.S </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</si>
  <si>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</si>
  <si>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ASESORÍA E INTERVENTORÍA TÉCNICA, FINANCIERA Y AMBIENTAL PARA LA CONSTRUCCIÓN DE UN TRAMO DE CORREDOR DEL SISTEMA INTEGRADO DE TRANSPORTE MASIVO TRANCARIBE DEL AMPARO A CUATRO VIENTOS. CARTAGENA DE INDIAS DT Y C</t>
  </si>
  <si>
    <t>CM019P41</t>
  </si>
  <si>
    <t>CM019P41I02</t>
  </si>
  <si>
    <t>INGETEC GERENCIA Y SUPERVISION S.A.</t>
  </si>
  <si>
    <t>Interventoría técnica, financiera y operativa en la etapa de Construcción del proyecto vial Armenia - Pereira - Manizales.</t>
  </si>
  <si>
    <t xml:space="preserve">Interventoría tecnica, administrativa, legal, financiera, ambiental y social al Contrato de Concesión No. 179 de la adecuación de la Troncal NQS sector sur al sistema transmilenio, Tramo 1.
</t>
  </si>
  <si>
    <t xml:space="preserve">Interventoria para el mejoramiento y pavimentacion de la carretera Cucuta - Pamplona - Malaga Ruta 55, Tramo 5505, Sector PR140+000 al PR71+680.
</t>
  </si>
  <si>
    <t>CM019P41I01</t>
  </si>
  <si>
    <t>CONSULTORES ESPECIALIZADOS Y ASOCIADOS DE SANTANDER S.A. CEAS S.A.</t>
  </si>
  <si>
    <t>AMB</t>
  </si>
  <si>
    <t>REALIZACIÓN DE LA INTERVENTORIA TECNICA Y ADMINISTRATIVA DE LAS OBRAS CORRESPONDIENTES A LA RECONSTRUCCIÓN EN CONCRETO RIGIDO Y FLEXIBLE DE LA PROLONGACIÓN DE LA AVENIDA MURILLO ENTRE LA INTERSECCION CON LA AV CIRCUNVALAR Y EL ACCESO PRINCIPAL DE LA GRAN CENTRAL DE ABASTOS DEL CARIBE</t>
  </si>
  <si>
    <t>INTERVENTORIA DE LOS ESTUDIOS Y DISEÑOS, PAVIMENTACIÓN Y/O REPAVIMENTACIÓN DE LAS VIAS INCLUIDAS DENTRO DEL PROGRAMA DE PAVIMENTACIÓN DE INFRAESTRUCTURA VIAL DE INTEGRACIÓN Y DESARROLLO GRUPO 85 VIA COROZAL BETULIA CON UNA LONG DE 17,3KM VIA TOLU VIEJO NARSONIA- PALMITO CON UNA LONG DE 7KM EN EL DEPARTAMENTO DE SUCRE</t>
  </si>
  <si>
    <t>INTERVENTORIA PARA LA CONSTRUCCIÓN DEL PARQUE INTERCAMBIADOR VIAL NEOMUNDO Y OBRAS COMPLEMENTARIAS EN EL MUNICIPIO DE BUCARAMANGA- SANTANDER</t>
  </si>
  <si>
    <t>CM019P42</t>
  </si>
  <si>
    <t>CM019P42I01</t>
  </si>
  <si>
    <t>HMV SUPERVISION S.A.S</t>
  </si>
  <si>
    <t>INSTITUTO DE NACIONAL DE VIAS</t>
  </si>
  <si>
    <t xml:space="preserve">
INTERVENTORÍA PARA EL MEJORAMIENTO Y MANTENIMIENTO INTEGRAL DE LA RUTA HATILLO (CRUCE DON MATÍAS) - CAUCÁSIA DEL CORREDOR VIAL DE OCCIDENTE (INCLUIDO EL MANTENIMIENTO RUTINARIO, LA SEÑALIZACIÓN, EL MONITOREO Y VIGILANCIA Y LOS CONTEOS DE TRÁNSITO) RUTA 25 TRAMO 2510, 2511 Y 2512.
</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</si>
  <si>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</si>
  <si>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</si>
  <si>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</si>
  <si>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</si>
  <si>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</si>
  <si>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NACIONAL DE VIAS</t>
  </si>
  <si>
    <t>INTERVENTORÍA DE LAS OBRAS DE PAVIMENTACIÓN DE LA CARRETERA CEBADAL-CONSACÁ-SANDONÁ - PASTO.</t>
  </si>
  <si>
    <t>CM019P43</t>
  </si>
  <si>
    <t>CM019P43I03</t>
  </si>
  <si>
    <t xml:space="preserve">SALGADO MELENDEZ Y ASOCIADOS INGENIEROS CONSULTORES S.A </t>
  </si>
  <si>
    <t>INTERVENTORIA PARA EL MEJORAMIENTO Y MANTENIMIENTO INTEGRAL DE LA RUTA SINCELEJO-TOLUVIEJO-CARTAGENA DEL CORREDOR VIAL DEL CARIBE (INCLUIDO EL MANTENIMIENTO RUTINARIO, LA SEÑALIZACIÓN, EL MONITOREO Y VIGILANCIA Y LOS CONTEOS DE TRANSITO) RUTA 25 8C 01 Y RUTA 90, TRAMOS 9004 Y 9005</t>
  </si>
  <si>
    <t>GOBERNACIÓN DE MAGDALENA</t>
  </si>
  <si>
    <t>CONTRATO DE INTERVENTORIA No 001 DE 2007 PARA LA PRIMERA FASE DEL PLAN DEL NORTE DEL DEPARTAMENTO DE MAGDALENA</t>
  </si>
  <si>
    <t>CM019P43I01</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</si>
  <si>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</si>
  <si>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</si>
  <si>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CM019P43I02</t>
  </si>
  <si>
    <t xml:space="preserve">TEC CUATRO S.A. SUCURSAL COLOMBIA </t>
  </si>
  <si>
    <t xml:space="preserve">CONTROL Y VIGILANCIA DE LAS OBRAS VARIANTE DE PUENTES EBRO CARRETERA N-232 DE VINAROZ A SANTANDER PK 208,000 AL PK 212,500 PROVINCIA DE ZARAGOZA, CLAVE 23-Z-3730 </t>
  </si>
  <si>
    <t>CONTROL DE LA OBRA DE AMPLIACIÓN DE LA CAPACIDAD DE LA RONDA LITORAL TRAMO ENLACE A-2 ENLACE CON LA ZONA FRANCA PROVINCIA BARCELONA CLAVE 47-B-3950</t>
  </si>
  <si>
    <t>INFRAESTRUCTURES</t>
  </si>
  <si>
    <t>DIRECCIÓN DE LAS OBRAS VARIANTE DE SANT QUIRZE DE BESORA Y MONTESOUTU CARRETA C-17 (N-152) PK 61,0 AL 65,5 TRAMO SANT QUIRZE DE BESORA - LES LLOSSES CLAVE VB-9295</t>
  </si>
  <si>
    <t>CM019P44</t>
  </si>
  <si>
    <t>CM019P44I01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</si>
  <si>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</si>
  <si>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</si>
  <si>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</si>
  <si>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</si>
  <si>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</si>
  <si>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CM019P44I02</t>
  </si>
  <si>
    <t>SIGA  INGENIERIA Y CONSULTORIA S.A  SUCURSAL COLOMBIA</t>
  </si>
  <si>
    <t>METROPLUS</t>
  </si>
  <si>
    <t>AJUSTES DE ESTUDIOS Y DISEÑOS DE LA PRETRONCAL DE ITAGUI E INTERVENTORIA PARA LA CONSTRUCCIÓN CORREDOR PARCIAL ITAGUI CARRERA 32 D ENTRE CALLES 47 Y EL PUENTE DEL PARQUE DEL ARTISTA LONGITUD 4,2KM PARA EL SISTEMA INTEGRADO DE TRANSPORTE MASIVO METROPLÚS DEL VALLE DE ABURRA</t>
  </si>
  <si>
    <t>SERVIU METROPOLITANO</t>
  </si>
  <si>
    <t>ASESORIA DE INSPECCIÓN DE OBRAS DE HABILITACIÓN CORREDOR DE TRANSPORTE PUBLCO AV VICUÑA MACKENNA</t>
  </si>
  <si>
    <t>INTERVENTORÍA INTEGRAL QUE INCLUYE PERO NO SE LIMITA A LA INTERVENTORÍA TÉCNICA, ADMINISTRATIVA, FINANCIERA. JURÍDICA, OPERATIVA, PREDIAL, SOCIO PREDIAL MEDIO AMBIENTAL DEL PROYECTO DE CONCESIÓN MALLA VIAL DEL VALLE DEL CAUCA Y CAUCA MVVCC, EN EL MARCO DEL CONTRATO DE CONCESIÓN 005 DE 1999</t>
  </si>
  <si>
    <t>CM019P45</t>
  </si>
  <si>
    <t>CM019P45I01</t>
  </si>
  <si>
    <t>TECNOCONSULTAS S.A.S</t>
  </si>
  <si>
    <t>INTERVENTORIA PARA LAS OBRAS DE MEJORAMIENTO Y PAVIMENTACIÓN DE LA TRANSVERSAL DEL … SECTOR VELEZ.</t>
  </si>
  <si>
    <t>CONSULTORIA, ASESORIA E INTERVENTORIA TÉCNICO-ADMINSITRATIVA DE LAS OBRAS DE REHABILITACIÓN DEL SECTOR K85+630-SAN ONOFRE DE LA CARRETERA TOLUVIEJO-SAN ONOFRE</t>
  </si>
  <si>
    <t>CONSULTORIA, ASESORIA E INTERENTORIA TECNICO - ADMINISTRATIVA DE LAS OBRAS DE REHABILITACIÓN DE LA CARRETERA SAN ONOFRE-MARIA LA BAJA</t>
  </si>
  <si>
    <t>CM019P45I02</t>
  </si>
  <si>
    <t>INGENIERIA Y DESARROLLO XIMA DE COLOMBIA S.A.S</t>
  </si>
  <si>
    <t>CONSULTORIA Y ASISTENCIA TECNICA PARA EL CONTROL Y VIGILANCIA DE LAS OBRAS AUTOVIA DEL MEDITERRANEO. CN 340 DE CADIZ Y GIBRALTAR A BARCELONA TRAMO RONDA ESTE- RINCON DE LA VICTORIA</t>
  </si>
  <si>
    <t>ASISTENCIA TÉCNICA PARA EL CONTROL Y VIGILANCIA DE LAS OBRAS: AMPLIACIÓN ACCESO SUR AL AEROPUERTO DE MALAGA</t>
  </si>
  <si>
    <t>CM019P46</t>
  </si>
  <si>
    <t>CM019P46I01</t>
  </si>
  <si>
    <t>INTERVENTORIA Y DISEÑOS S.A.</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</si>
  <si>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</si>
  <si>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Interventoría de las obras de construcción y pavimentación de la vía alterna interna a Buenaventura, sector Viaducto K7 - Interseccion Citronela, Ruta 40 Tramo 4001.</t>
  </si>
  <si>
    <t>CM019P46I02</t>
  </si>
  <si>
    <t xml:space="preserve">INGENOBRAS CONSTRUCCION Y CONSULTORIA S.A.S INGENOBRAS S.A.S </t>
  </si>
  <si>
    <t>GOBERNACIÓN DE CESAR</t>
  </si>
  <si>
    <t>Interventoría Técnica, Administrativa, Financiera Y Ambiental A Contratos De Obras Mayores A Ejecutarse En La Vigencia 2011 En El Departamento Del Cesar Con Recursos Del Fondo Nacional De Calamidades, Subcuenta Colombia Humanitaria</t>
  </si>
  <si>
    <t>CM019P47</t>
  </si>
  <si>
    <t>CM019P47I01</t>
  </si>
  <si>
    <t>INTEGRAL DISEÑOS E INTERVENTORIA S.A.S</t>
  </si>
  <si>
    <t>Interventoría de las obras de rehabilitación de la carretera Bucaramanga - Santa Marta, sector San Alberto - San Roque.</t>
  </si>
  <si>
    <t>Interventoría de las obras de pavimentación del sector K133+000 al K146+900 de la carretera Zaragoza - Caucasia.</t>
  </si>
  <si>
    <t>Gerencia de Megaproyectos del Departamento de Antioquia</t>
  </si>
  <si>
    <t>Interventoría de la construcción del proyecto Conexión Vial Aburrá - Rio cauca (Túnel Occidente)</t>
  </si>
  <si>
    <t>DEPARTAMENTO DE ANTIOQUIA- VALORIZACIÓN</t>
  </si>
  <si>
    <t>INTERVENTORIA PARA LA AMPLIACIÓN, RECTIFICACIÓN Y PAVIMENTACION DE LA CARRETERA DON MATIAS- ENTRERIOS- SANTA ROSA</t>
  </si>
  <si>
    <t>INTERVENTORIA PARA LA TERMINACIÓN DE LOS ESTUDIOS Y CONSTRUCCIÓN DEL VIADUCTO CAJONES Y SUS ACCESOS PR48+991 AL PR49+271 DE LA CARRETERA CAJAMARCA- IBAGUE RUTA 40 TRAMO 4003</t>
  </si>
  <si>
    <t>CM019P48</t>
  </si>
  <si>
    <t>CM019P48I01</t>
  </si>
  <si>
    <t>EGIS COLOMBIA S.A.S</t>
  </si>
  <si>
    <t>DELAGATION GENERALITE DEX GRANDA TRAVAUX</t>
  </si>
  <si>
    <t>Control y supervisióm de los trabajos de acondicionamiento y asfaltado de la carretera Nacional 1 entre Pointe Noire Et Dolicie ROUTE NATIONALE 1 (POINTE NOIRE ET DOLISIE)</t>
  </si>
  <si>
    <t xml:space="preserve">WSP SERVICIOS S.A.S </t>
  </si>
  <si>
    <t>INTERVENTORIA TECNICA, FINANCIERA Y OPERATIVA EN LAS ETAPAS DE CONSTRUCCIÓN Y OPERACIÓN DEL CONTRATO DE CONCESIÓN No 001161 DE 2001 CARRETERA ZIPAQUIRA-PALENQUE/BUCARAMANGA</t>
  </si>
  <si>
    <t>INTERVENTORIA TECNICA, ADMINISTRATIVA, FINANCIERA Y AMBIENTAL PARA EL MEJORAMIENTO Y PAVIMENTACIÓN DEL ANILLO VIAL TURISTICO DE SUGAMUXI SECTOR AQUITANA.TOTA.CITIVA.IZA-FIRATOBA.PANTANO DE VARGAS, DEPARTAMENTO DE BOYACA</t>
  </si>
  <si>
    <t>INTERVENTORIA SIMULTANEA TECNICA, ADMINISTRACIÓN, FINANCIERA, SOCIAL Y AMBIENTAL PARA LA CONSTRUCCIÓNDE LAS SIGUIENTES OBRAS; A) INTERSECCIÓN AV. PASEO COUNTRY CON AV. CARLOS LLERAS RESTREPO EN BOGOTA B)INTERSECCIÓN A DESNIVELDE LA AV. GERMAN ARCINIEGAS POR AV. LAUREANO GOMEZ EN BOGOTA C) AV. GERMAN ARCINIEGAS DESDE CL 106 HASTA AV. LAUREANO GOMEZ EN BOGOTA</t>
  </si>
  <si>
    <t xml:space="preserve">INTERVENTORIA PARA LA CONSTRUCCIÓN DE LA AVENIDA LAUREANO GOMEZ AX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</si>
  <si>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CM019P49</t>
  </si>
  <si>
    <t>CM019P49I01</t>
  </si>
  <si>
    <t>JAHV MCGREGOR S.A.</t>
  </si>
  <si>
    <t>UNIDAD ADMINISTRATIVA DE LA AERONAUTICA CIVIL- AEROCIVIL</t>
  </si>
  <si>
    <t xml:space="preserve">CONTRATO No 7000357-OH-2007
INTERVENTORIA FINANCIERA, CONTABLE, TRIBUTARIA Y ADMINISTRATIVA, PARA LA CONCESIÓN DE LA ADMINISTRACIÓN, OPERACIÓN, EXPLOTACION COMERCIAL, MANTENIMIENTO, MODERNIZACION Y EXPANSION DEL AEROPUERTO INTERNACIONAL EL DORADO DE LA CIUDAD DE BOGOTA D.C </t>
  </si>
  <si>
    <t>CM019P49I02</t>
  </si>
  <si>
    <t>PIV INGENIERIA LTDA</t>
  </si>
  <si>
    <t>INTERVENTORIA TECNICA Y FINANCIERA EN SUS ETAPAS DE DISEÑO Y PROGRAMACIÓN Y CONSTRUCCIÓN DE LA CONCESION DE LA CARRETERA ESPINAL- NEIVA DEL TRAMO 06 NEIVA CASTILLA Y EL SECTOR CASTILLA- ESPINAL- GIRARDOT LOCALIZACION DE REGIS- TOPOGRAFICOS Y REDES DE INFRAESTRUCTURA</t>
  </si>
  <si>
    <t>INTERVENTORIA PARA LA CONSTRUCCIÓN Y PAVIMENTACIÓN DE LA VIA ALTERNA AL PUERTO DE SANTA MARTA SECTOR MAMATOCO- TERMINAL MARITIMO</t>
  </si>
  <si>
    <t>INTERVENTORIA DE LAS OBRAS DE CONSTRUCCION Y PAVIMENTACION DE LA VIA ALTERNA INTERNA A BUENAVENTURA, SECTOR INTERSECCIÓN SENA- VIADUCTO 7 RUTA TRAMO 4001</t>
  </si>
  <si>
    <t>CONSULTORIA, ASESORIA E INTERVENTORIA TECNICA Y ADMINISTRATIVA DE LAS OBRAS DE REHABILITACION DEL SECTOR RIO ARIGUANI- FUNDACION. CONSTRUCCIÓN Y PAVIMENTACION DE LA VARIANTE DE FUNDACION Y DE LA REHABILITACION DEL SECTOR BOSCONIA- RIO ARIGUANI DE LA CARRETERA BUACARAMANGA- SANTA MARTA</t>
  </si>
  <si>
    <t>CM019P50</t>
  </si>
  <si>
    <t>CM019P50I01</t>
  </si>
  <si>
    <t>LA VIALIDAD LTDA</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</si>
  <si>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</si>
  <si>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</si>
  <si>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CM019P50I02</t>
  </si>
  <si>
    <t xml:space="preserve">ARENAS DE LA HOZ CONSULTORES S.A.S </t>
  </si>
  <si>
    <t>ALCALDIA MAYOR DE OROCURE</t>
  </si>
  <si>
    <t>INTERVENTORIA TECNICA, ADMINISTRATIVA , FINANCIERA Y LEGAL A LA CONSTRUCCION PARA LA SEGUNDA ETAPA DEL PROYECTO DE PAVIMENTOS EN LOS BARRIOS EL CENTRO,LA CANDELARIA, ESCALONES, LA MANGA, TIERRA BLANCA Y UNION EN EL MUNICIPIO DE OROCUE, DEPARTAMENTO DE CASANARE.</t>
  </si>
  <si>
    <t>INTERVENTORIA TECNICA, ADMINISTRATIVA, FINANCIERA Y AMBIENTAL, PRECIO GLOBAL FIJO PARA LA CONSTRUCCION DE LA FASE 1 DE LA AV. VILLAVICENCIO ENTRE AV. CALI A LA AV. TINTAL Y PARA LA CONSTRUCCION DE LA FASE 1 DE LA AV. VILLAVICENCIO A LA AV. BOSA.</t>
  </si>
  <si>
    <t>CM019P50I03</t>
  </si>
  <si>
    <t>SILVA CARREÑO Y ASOCIADOS S.A.S</t>
  </si>
  <si>
    <t>CM019P51</t>
  </si>
  <si>
    <t>CM019P51I02</t>
  </si>
  <si>
    <t>CM019P51I01</t>
  </si>
  <si>
    <t>CM019P51I03</t>
  </si>
  <si>
    <t>CM019P52</t>
  </si>
  <si>
    <t>CM019P52I01</t>
  </si>
  <si>
    <t>CM019P52I02</t>
  </si>
  <si>
    <t>CM019P52I03</t>
  </si>
  <si>
    <t>Maximo 4 contratos de Supervisión o interventoría en proyectos de Infraestructura de Transporte.</t>
  </si>
  <si>
    <t>Vigencia del contrato despues de 01/01/90</t>
  </si>
  <si>
    <t>SMMLV finalización del contrato
PONDERADO</t>
  </si>
  <si>
    <t>Minimo 1 contratos de Supervisión o interventoría en proyectos de infraestructura de transporte via</t>
  </si>
  <si>
    <t>Mínimo uno 1 de los contratos principales deberá ser de supervisión o interventoría de una concesión de un proyecto de infraestructura de transporte celebrado y ejecutado y/o en ejecución en Colombia y que incluya alcance la supervisión o interventoría Técnica y Financiera, y/o Técnica y Social, y/o Técnica y Ambiental del proyecto.</t>
  </si>
  <si>
    <t>Observaciones</t>
  </si>
  <si>
    <t xml:space="preserve">CONTRATO NO. ICCU-021-2010
CONTRATAR LA INTERVENTORÍA TÉCNICA, SOCIO - AMBIENTAL, JURÍDICA Y FINANCIERA PARA UN PERIODO DE LA ETAPA DE OPERACIÓN Y PARA LAS ACTIVIDADES DE LA ETAPA PRE OPERATIVA DE LAS OBRAS ADICIONALES DE LAS CONCESIONES VIALES DEL DEPARTAMENTO DE CUNDINAMARCA
</t>
  </si>
  <si>
    <t>INSTITUTO NACIONAL DE VÍAS - INVIAS</t>
  </si>
  <si>
    <t xml:space="preserve">CONTRATO 22-04 DE 2005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</si>
  <si>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INTERVENTORIA TECNICA, ADMINISTRATIVA Y CONTABLE DE LA AMPLIACIÓN, RECTIFICACIÓN Y PAVIMENTACIÓN DE LA CARRETERA FABIANA-LA MESA</t>
  </si>
  <si>
    <t>INTERVENTORIA TECNICA, OPERATIVA Y FINANCIERA DEL CONTRATO DE CONCESIÓN No. 0275 DE 1996, DESARROLLO VIAL DEL ORIENTE DE MEDELLIN Y VALLE DE RIONEGRO Y CONEXIÓN A PUERTO TRIUNFO</t>
  </si>
  <si>
    <t>INTERVENTORIA TÉCNICA, FINANCIERA Y OPERATIVA EN LA ETAPA DE OPERACIÓN DEL CONTRATO DE CONCESIÓN No, 0275 DE 1996. DEVIMED</t>
  </si>
  <si>
    <t>CONTRATAR LA INTERVENTORIA TÉCNICA, ADMINISTRATIVA Y FINANCIERA DEL CONTRATO DE LAS OBRAS DE MANTENIMIENTO DE LA INFRAEESTRUCUTURA DEL SISTEMA DE TRANSPORTE MASIVO DE LA CIUDAD DE BOGOTA A CARGO DE LA EMPRESA DE TRSNPORTE DEL TERCER MILENIO, TRANSMILENIO S.A</t>
  </si>
  <si>
    <t>SOCIEDAD PUBLICA DE INVESTIMENTOS DE GALICIA S.A</t>
  </si>
  <si>
    <t>ASISTENCIA TÉCNICA PARA EL CONTROL Y VIGILANCIA DE OBRA (INTERVENTORIA) O SUPERVISIÓN DE OBRAS Y COORDINACIÓN DE SEGURIDAD Y SALUD PROYECTO CONSTRUCCIÓN DE LA AUTOVIA AG-64 FERROL-VILALBA- TRAMO IGREXAFEITA-ESPIÑAREDO</t>
  </si>
  <si>
    <t>DIRECCIÓN GENERAL DE CARRETERAS (MINISTERIO DE FOMENTO - GOBIERNO DE ESPAÑA)</t>
  </si>
  <si>
    <t xml:space="preserve">INTERVENTORÍA AL CONTRATO DE CONCESIÓN Nº 0441993 PARA LA REHABILITACIÓN, CONSTRUCCIÓN, MEJORAMIENTO, CONSERVACIÓN, MANTENIMIENTO Y OPERACIÓN DE LA VÍA BARRANQUILLA - CIÉNAGA ENTRE LAS ABSCISAS K0+000 AL K62+000. </t>
  </si>
  <si>
    <t>INTERVENTORÍA AL CONTRATO DE CONCESIÓN PARA LA CONSTRUCCIÓN Y MEJORAMIENTO DE LA VÍA TRASVERSAL DE BARÚ</t>
  </si>
  <si>
    <t>INTERVENTORÍA DE LOS ESTUDIOS Y DISEÑOS DEFINITIVOS Y GESTIÓN PREDIAL DE LA DOBLE CALZADA YÉ DE CIÉNAGA - SANTA MARTA Y DE LA DOBLE CALZADA DE LA VÍA ALTERNA AL PUERTO, SECTOR QUEBRADA DEL DOCTOR - MAMATOCO Y DISEÑO DE LAS OBRAS COMPLEMENTARIAS Y DE ESPACIO PUBLICO DEL PLAN VIAL, INTERVENRTORÍA DE LA CONSTRUCCIÓN Y FINANCIACIÓN DE LA SEGUNDA CALZADA ENTRE LA YE DE  CIÉNAGA Y SANTA MARTA Y REHABILITACIÓN DE LA CALZADA EXISTENTE.</t>
  </si>
  <si>
    <t>INTERVENTORÍA TÉCNICA, ADMINISTRATIVA, LEGAL, FINANCIERA, AMBIENTAL Y SOCIAL PARA LA EJECUCIÓN DE LA TOTALIDAD DE LAS OBRAS DE CONSTRUCCIÓN Y TODAS LAS ACTIVIDADES NECESARIAS PARA LA ADECUACIÓN DE LA AC 26 (AVENIDA JORGE ELIECER GAITÁN) AL SISTEMA TRANSMILENIO  EN EL TRAMO 3 COMPRENDIDO  ENTRE LA TV 76  Y LA LA KR 428 Y EN EL TRAMO 4 COMPRENDIDO ENTRE LA KR 428 Y LA KR 19  GRUPO 4 DE LA LICITACIÓN PUBLICA N IDU-LP-DG-022-2007</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</si>
  <si>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</si>
  <si>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</si>
  <si>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INGENIERIA DE ESTUDIOS Y ASESORIAS S.A.S INESAS</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</si>
  <si>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</si>
  <si>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INTERVENTORIA TECNICA, FINANCIERA, CONTABLE, JURIDICA, ADMINISTRATIVA, OPERATIVA, AMBIENTAL Y SOCIO-PREDIAL DEL CONTRATO DE CONCESIÓN No. 113 DE 1997 CONCESIÓN ARMENIA - PEREIRA - MANIZALES - LA PAILA, CONTRATO 375 DE 2013</t>
  </si>
  <si>
    <t>CONSULTORIA Y ASISTENICA PARA EL CONTROL Y VIGILANCIA DE LAS OBRAS: CARRETERA N-420 DE CORDOBA A TARRAGONA POR CUENCA. TRAMO: VARIANTE DE FALSET</t>
  </si>
  <si>
    <t>INTERVENTORIA TECNICA PARA LAS VIAS INTERMEDIAS Y LOCALES QUE EJECUTAN LOS URBANIZADORES EN BOGOTA D.C. CONTRATO No. 076 DE 2008</t>
  </si>
  <si>
    <t>AUTORIDAD PORTUARIA DE MELILLA.  MINISTERIO DE FOMENTO</t>
  </si>
  <si>
    <t>ASISTENCIA TÉCNICA  PARA LA VIGILANCIA Y CONTROL MEDIOAMBIENTAL DE LAS OBRAS DE NUEVA ALINEACIÓN DEL MUELLE RIBERA I EN EL PTO. DE MELILLA</t>
  </si>
  <si>
    <t>UNIDAD ESPECIAL DE AERONÁUTICA CIVIL</t>
  </si>
  <si>
    <t>INTERVENTORÍA TÉCNICA Y ADMINISTRATIVA PARA LA CONSTRUCCIÓN DE LA TORRE DE CONTROL DEL AEROPUERTO INTERNACIONAL EL DORADO Y EL CENTRO DE GESTIÓN AERONÁUTICO DE COLOMBIA CGAC. BOGOTÁ</t>
  </si>
  <si>
    <t>BIDEGI</t>
  </si>
  <si>
    <t xml:space="preserve">INTERVENTORIA TECNICA, FINANCIERA, OPERATIVA, PREDIAL, SOCIO- AMBIENTAL Y LEGAL DEL PROYECTO DE CONCESIÓN VIAL CORDOBA </t>
  </si>
  <si>
    <t>INTERVENTORÍA DE LA AMPLIACIÓN RECTIFICACIÓN Y PAVIMENTACIÓN DE LA CARRETERA GUATAPE -SAN RAFAEL -SAN CARLOS</t>
  </si>
  <si>
    <t>INTERVENTORIA TECNICA EN SU ETAPA DE CONSTRUCCIÓN DE LA CONCESIÓN DEL PROYECTO VIAL DENOMINADO DESARROLLO VIAL PARA EL NORTE DE BOGOTA EN EL DEPARTAMENTO DE CUNDINAMARCA</t>
  </si>
  <si>
    <t>INTERVENTORIA TECNICA Y FINANCIERA EN SU ETAPA DE CONSTRUCCIÓN DE LA CONCESIÓN DEL SECTOR SANTA FE DE BOGOTÁ - CAQUEZA (PUERTO REAL) QUE INCLUYE LA CONSTRUCCIÓN DEL TUNAL DEL BOQUERÓN (LONGITUD APROXIMADA2,3 KM)</t>
  </si>
  <si>
    <t>INTERVENTORIA AL CONTRATO DE CONCESIÓN No 007/2010 PROYECTO VIAL RUTA DEL SOL-SECTOR 3</t>
  </si>
  <si>
    <t>INTERVENTORIA DE LOS ESTUDIOS Y DISEÑOS, PAVIMENTACIÓN Y/O REPAVIMENTACIÓN DE LAS VÍAS INCLUIDAS DENTRO DL PROGRAMA DE PAVIMENTACIÓN DE INFRAESTRUCTURA VIAL DE INTEGRACIÓN Y DESARROLLO GRUPO 69 VÍA PASTO- BUESACO- EL EMPATE, CON UNA LONGITUD DE 22,88 KILOMETROS EN EL DEPARTAMENTO DE NARIÑO.</t>
  </si>
  <si>
    <t>INTERVENTORÍA PARA EL MEJORAMIENTO DE LAS CARRETERAS CARRETO-CALAMAR-PONDERA-PALMAR DE VARELA CÓDIGOS 2515 Y 2516 SABANA LARGA BARRANQUILLA, CÓDIGO 9005 Y CARMEN DE BOLÍVAR ZAMBRANO- PLATO - PUEBLO NUEVO - BOSCONIA</t>
  </si>
  <si>
    <t>INTERVENTORÍA PARA LAS OBRAS DE MEJORAMIENTO Y PAVIMENTACIÓN DE LA TRANSVERSAL DEL CARARE, SECTOR VÉLEZ LANDÁZURI, TRAMO K8+700- K16+500, RUTA 62, TRAMO 6208.</t>
  </si>
  <si>
    <t>INTERVENTORÍA TÉCNICA, FINANCIERA, OPERATIVA, PREDIAL, SOCIO AMBIENTAL Y LEGAL DEL PROYECTO DE CONCESIÓN MALLA VIAL DEL VALLE DEL CAUCA Y CAUCA.</t>
  </si>
  <si>
    <t>GOBERNACIÓN DE SUCRE</t>
  </si>
  <si>
    <t>INTERVENTORIA TECNICA, ADMINISTRATIVA, FIANNCIERA Y AMBIENTAL PARA LAS OBRAS DE MEJORAMEINTO EN PAVIMENTO ASFALTICO DE LA VIA SAMPUES SAN BENITO ABAD, MUNICIPIOS DE SAMPUES Y SAN BENITO EN EL DEPARTAMENTO DE SUCRE</t>
  </si>
  <si>
    <t>002-95 INTERVENTORIA A LAS OBRAS QUE DEBERA EMPRENDER EL AREA METROPOLITANA DE BARRANQUILLA PARA LA CONSTRUCCIÓN DEL PUENTE VEHICULAR Y DE LOS INTERCAMBIOS VIALES LOCALIZADOS EN LA INTERSECCIÓN DE LA CALLE 45 MURILLO CON LA AVENIDA CIRCUNVALAR</t>
  </si>
  <si>
    <t>AGENCIA NACIONAL DE INFRAESTRUCTURA - ANI -</t>
  </si>
  <si>
    <t>EMPRESA DE TRANSPORTE DEL TERCER MILENIO, TRANSMILENIO S.A</t>
  </si>
  <si>
    <t>CONTRATAR LA INTERVENTORÍA TÉCNICA ADMINISTRATIVA, FINANCIERA Y DEL CONTRATO DE LAS OBRAS DE MANTENIMIENTO DE LA INFRAESTRUCTURA DEL SISTEMA DE TRANSPORTE MASIVO DE LA CIUDAD DE BOGOTÁ.</t>
  </si>
  <si>
    <t xml:space="preserve">MINISTERIO DE OBRAS PÚBLICAS DE CHILE </t>
  </si>
  <si>
    <t>ASESORÍA A LA INSPECCIÓN FISCAL PARA LA CONSTRUCCIÓN DE LAS OBRAS DEL PROYECTO MEJORAMIENTO RUTA X-25, SECTOR CRUCE RUTA 7- PUERTO CISNES, TRAMO DM. 0,00 AL DM. 16,5000, PROVINCIA DE AYSÉN, REGIÓN DE AYSÉN.</t>
  </si>
  <si>
    <t xml:space="preserve">CONTRATO NO. 1862 DE 2008
INTERVENTORÍA PARA EL MEJORAMIENTO Y MANTENIMIENTO DE LAS CARRETERAS LA PINTADA - BOLOMBOLO, CÓDIGO 25B01, BOLOMBOLO - SANTAFÉ DE ANTIOQUIA, CÓDIGO 25B02, SANTAFÉ DE ANTIOQUIA - TURBO, CÓDIGOS 6201 - 6202 - 6203, UBICADOS EN EL DEPARTAMENTO DE ANTIOQUIA.
</t>
  </si>
  <si>
    <t xml:space="preserve">CONTRATO NO. 274-2002
INTERVENTORÍA TÉCNICA, ADMINISTRATIVA, LEGAL,  FINANCIERA Y AMBIENTAL DE LA ADECUACIÓN DE LA TRONCAL AMÉRICAS AL SISTEMA TRANSMILENIO TRAMO 1, ENTRE PUENTE ARANDA Y LA CARRERA 70B, EN BOGOTÁ D.C.
</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</si>
  <si>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</si>
  <si>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CONSECIÓN AUTOPISTA BOGOTÁ GIRARDOT</t>
  </si>
  <si>
    <t>INTERVENTORIA TECNICA INTEGRAL DE LAS ACTIVIDADES EJECUTADAS POR LA CABG REFERENTES AL DISEÑO, CONSTRUCCIÓN, MANTENIMIENTO, OPERACIÓN Y GESTIÓN AMBIENTAL, ENCAMINADAS AL CUMPLIMIENTO DEL CONTRATO DE CONCESIÓN</t>
  </si>
  <si>
    <t>INTERVENTORÍA PARA EL MEJORAMIENTO Y MANTENIMIENTO MEDIA - CANOA- ANSERMA NUEVO- LA VIRGINIA CÓDIGO 2302 Y MIRANDA- RIO DESBARATAO - PRADERA- PALMIRA CÓDIGO 3105</t>
  </si>
  <si>
    <t>MAATZ - COMPAÑÍA NACIONAL DE CAMINOS</t>
  </si>
  <si>
    <t>SUPERVISIÓN Y CONTROL DE CALIDAD DEL PROYECTO DE CONCESIÓN RUTA 431, COMPRENDE LA CONSTRUCCIÓN DE UNA RUTA NUEVA, SU OPERACIÓN Y MANTENIMIENTO.</t>
  </si>
  <si>
    <t xml:space="preserve">INSTITUTO DE DESARROLLO URBANO - IDU </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</si>
  <si>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</si>
  <si>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INTERVENTORIA TECNICA, ADMINISTRATIVA Y FINANCIERA DEL CONTRATO DE CONCESIÓN PARA LA REHABILITACIÓN, CONSERVACIÓN, OPERACIÓN Y EXPLOTACIÓN DE LA RED PACIFICA (BUENAVENTURA-LA FELISA Y ZARZAL-TEBAIDA) Y Y DE LA CONSTRUCCIÓN, EXPLOTACIÓN Y MANTENIMIENTO DE LA CENTRAL DE TRANSFERENCIA DE CARGA DE LA FELISA.</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</si>
  <si>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</si>
  <si>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</si>
  <si>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</si>
  <si>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t>
  </si>
  <si>
    <t>INTERVENTORÍA DE LA CONSTRUCCIÓN Y PAVIMENTACIÓN DEL SECTOR QUEBRADA LAS DORADAS - DEPRESIÓN EL VERGEL - ORRAPIHUASI DE LA CARRETERA ALTAMIRA - FLORENCIA</t>
  </si>
  <si>
    <t>INTERVENTORIA DE LAS OBRAS DE PAVIMENTACIÓN DE LA CARRETERA CEBADAL-CONSACA-SANDONA-PASTO</t>
  </si>
  <si>
    <t>INTERVENTORÍA TÉCNICA, FINANCIERA, OPERATIVA, PREDIAL, SOCIO - AMBIENTAL Y LEGAL DEL PROYECTO DE CONCESIÓN VIAL NO. 503 DE 1994. "CARTAGENA - BARRANQUILLA"</t>
  </si>
  <si>
    <t>INTERVENTORÍA INTEGRAL DEL CONTRATO DE CONCESIÓN QUE INCLUYE PERO NO SE LIMITA A LA INTERVENTORÍA TÉCNICA, FINANCIERA, CONTABLE, JURIDICA, MEDIO AMBIENTAL, SOCIO PREDIAL, OPERATIVA Y ADMINISTRATIVA DEL CONTRATO DE CONCESIÓN N 007 DE 2007</t>
  </si>
  <si>
    <t>METRO CALI</t>
  </si>
  <si>
    <t>INTERVENTORIA TECNICA, ADMINSTRATIVA, FINANCIERA, SOCIAL Y AMBIENTAL PARA LA ADECUACIÓN DE LA CONDICIÓN FUNCIONAL VIAL DE LOS CORREDORES PRETRONCALES Y ALIMENTADORES DEL SISTEMA INTEGRADO DE TRANSPORTE MASIVO SITM-MIO, GRUPO 1, 2 Y 3</t>
  </si>
  <si>
    <t>INTERVENTORIA DE ESTUDIOS Y DISEÑOS, PAVIMENTACIÓN Y/O REPAVIMENTACIÓN DE LAS VIAS INCLUIDAS DENTRO DEL PROGRAMA DE PAVIMENTACIÓN DE INFRAESTRUCUTURA VIAL DE INTEGRACIÓN Y DESARROLLO , GRUPO 2</t>
  </si>
  <si>
    <t>INTERVENTORIA TECNICA, ADMINISTRATIVA, FIANNCIERA Y AMBIENTAL, PARA EL MEJORAMIENTO INTEGRAL DE VIAS EN LAS ZONAS DE PRECARGA DEL SISTEMA DE TRASNPORTE MASIVO DEL DISTRITO DE BRRANQUILLA Y SU AREA METROPOLITANA, DE ACUARERDO CON LOS PPLANOS DE INTERVENCIÓN DE CADA UNO DE LOS COMPONENTES, GRUPO 1, 2, 3, 4 Y 5</t>
  </si>
  <si>
    <t>INTERVENTORIA TECNICA, ADMINSITRATIVA, FINANCIERA Y OPERATIVA DEL CONTRATO DE CONCESIÓN PARA LA REHABILITACIÓN, CONSERVACIÓN, OPERACIÓN Y EXPLOTACIÓN DE LA RED ATLANTICO</t>
  </si>
  <si>
    <t>INTERVENTORÍA TÉCNICA, LEGAL, FINANCIERA, ADMINISTRATIVA, AMBIENTAL, PREDIAL Y SOCIAL DEL PROYECTO "ESTUDIOS Y DISEÑOS, GESTIÓN SOCIAL, PREDIAL, AMBIENTAL Y MEJORAMIENTO DEL PROYECTO CORREDOR DEL SUR MARGINAL DE LA SELVA"</t>
  </si>
  <si>
    <t>ALCALDIA MAYOR DE CARTAGENA DE INDIAS</t>
  </si>
  <si>
    <t>INTERVENTORÍA INTEGRAL (TÉCNICA, ADMINISTRATIVA, AMBIENTAL Y FINANCIERA) DEL PROYECTO VIAL EN CONCESIÓN, CORREDOR DE ACCESO RÁPIDO A LA VARIANTE DE CARTAGENA. ALCALDÍA MAYOR</t>
  </si>
  <si>
    <t>INTERVENTORÍA DE LA AMPLIACIÓN, RECTIFICACIÓN Y PAVIMENTACIÓN DE LA CARRETERA BOLOMBOLO - SANTA FE DE ANTIOQUIA</t>
  </si>
  <si>
    <t>CONSULTORIA, ASESORIA E INTERVENTORIA TECNICA Y ADMINISTRATIVA DE LAS OBRAS DE PAVIMENTACIÓN DE LOS SECTORES REMOLINO-CIUDAD BOLIVAR DE LA CARRETERA AMAGÁ-CIUDAD BOLIVAR Y REMOLINO-JARDIN DE LA CARRETERA AMAGÁ-JARDIN</t>
  </si>
  <si>
    <t>DEPARTAMENTO DEL MAGDALENA - SECRETARIA DE INFRAESTRUCTURA</t>
  </si>
  <si>
    <t>INTERVENTORÍA AL CONTRATO DE CONCESI6N NO. 044 DE 1.993 PARA LA REHABILITACIÓN, CONSTRUCCIÓN, MEJORAMIENTO, CONSERVACIÓN, MANTENIMIENTO Y OPERACIÓN DE LA VÍA BARRANQUILLA - CIÉNAGA, ENTRE LAS ABSCISAS KO+OOO AL K62+000.</t>
  </si>
  <si>
    <t>"CONSULTORÍA Y ASISTENCIA PARA EL CONTROL Y VIGILANCIA DE LAS OBRAS DE LA AUTOVÍA A-34, EN EL TRAMO: CAMBRILS - VARIANTE DE VILASECA (PROVINCIA DE TARRAGONA)"</t>
  </si>
  <si>
    <t>"CONSULTORÍA Y ASISTENCIA PARA EL CONTROL Y VIGILANCIA DE LAS OBRAS DE LA AUTOVÍA A-62, EN EL TRAMO: CIUDAD RODRIGO - FUENTES DE OÑORO  (PROVINCIA DE SALAMANCA)"</t>
  </si>
  <si>
    <t xml:space="preserve">INTERVENTORÍA TÉCNICA, LEGAL, FINANCIERA, ADMINISTRATIVA, AMBIENTAL, PREDIAL Y SOCIOS DEL PROYECTO "ESTUDIOS Y DISEÑOS, GESTIÓN PREDIAL, AMBIENTAL Y MEJORMAIENTO DEL PROYECTO TRANSVERSAL DEL LIBERTADOR </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</si>
  <si>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</si>
  <si>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INTERVENTORÍA TÉCNICA Y FINANCIERA EN SUS ETAPAS DE DISEÑO, PROGRAMACIÓN Y CONSTRUCCIÓN DEL PROYECTO DE CONCESIÓN DESARROLLO VIAL DEL ORIENTE DE MEDELLIN Y VALLE DE RIO NEGRO Y CONEXIÓN PUERTO TRIUNFO . CONTRATO DE CONCESIÓN No. 275/96</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</si>
  <si>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</si>
  <si>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INTERVENTORÍA TÉCNICA, JURIDICA, ADMINISTRATIVA, OPERATIVA Y FINANICERA AL CONTRATO DE CONCESIÓN M 006 DE 2007 CONCESIÓN AREA METROPOLITANA DE CUCUTA Y NORTE DE SANTANDER CELEBRADO ENTRE EL INSTITUTO NACIONAL DE CONCESIONES Y CONCESIONARIA SAN SIMON S.A</t>
  </si>
  <si>
    <t>INTERVENTORIA TÉCNICA, FINANCIERA, AMBIENTAL Y OPERATIVA EN LA ETAPA DE CONSTRUCCIÓN DEL CONTRATO DE CONCESIÓN No 113 DE 1997 DESARROLLO VIAL ARMENIA- PEREIRA -  MANIZALES</t>
  </si>
  <si>
    <t>INTERVENTORIA TÉCNICA, JURIDICA, ADMINISTRATIVA, OPERATIVA Y FINANCIERA AL CONTRATO DE CONCESIÓN No0377 DE 2002 CONCESIÓN "BRICEÑO - TUNJA SOGAMOSO"</t>
  </si>
  <si>
    <t>INTERVENTORIA TÉCNICA, SOCIO AMBIENTAL, LEGAL, ADMINISTRATIVA, PREDIAL Y FINANCIERA A LOS CONTRATOS DE CONCESIÓN AP 005-010, 004,-010 Y 003-010, DERIVADOS DE LA LICITACIÓN PUBLICA 4151-OP-09-2009, GRUPO 1</t>
  </si>
  <si>
    <t>METROPLÚS S.A.</t>
  </si>
  <si>
    <t>SUPERVISIÓN PARA LA CONSTRUCCIÓN DE DOS TRAMOS DE CORREDOR PARA EL SISTEMA INTEGRADO DE TRANSPORTE MASIVO, METROPLÚS DEL VALLE DE ABURRA.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</si>
  <si>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INSTITUTO NACIONAL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</si>
  <si>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</si>
  <si>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ADMINISTRATIVA Y AMBIENTAL EN LA CONSTRUCCIÓN DE UN TRAMO DE CORREDOR DEL SISTEMA INTEGRADO DE TRANSPORTE MASIVO TRANSCARIBE DESDE CUATRO VIENTOS A BAZURTO EN CARTAGENA DE INDIAS DISTRITO TURÍSTICO Y CULTURAL</t>
  </si>
  <si>
    <t>BIZKAIKO HEGOALDEKO AKZESIBILITATEA, SA (INTERBIAK)</t>
  </si>
  <si>
    <t>EUSKAL TRENDIBE SAREA (ETS)</t>
  </si>
  <si>
    <t xml:space="preserve">CONTROL Y VIGILANCIA DE LAS OBRA: LINEA VALENCIA - TARRAGONA TRAMO: LAS PAL,AS - OROPESA. VIA Y ELECTRIFICACIÓN, INSTALACIONES DE SEGURIDAD  Y COMUNICACIONES, ESTACIÓN DE BENICASSIM E INTEGRACIÓN URBANA DEL FERROCARRIL EN LAS PROXIMIDADES DE LA ESTACIÓN OROPESA </t>
  </si>
  <si>
    <t xml:space="preserve">GOBERNACIÓN DEL VALLE </t>
  </si>
  <si>
    <t>INTERVENTORÍA TÉCNICA, ADMINISTRATRIVA Y FINANCIERA DEL PROYECTO DE REHABILITACIÓN VIAL DEL DEPARTAMENTO DEL VALLE DEL CAUCA APROBADOS POR COLOMBIA HUMANITARIA QUE COMPRENDE LAS SIGUIENTES OBRAS: REHABILITACIÓN DE LA VÍA JAMUNDI - RIO CLARO - TIMBA (TRAMO 1 Y 2)</t>
  </si>
  <si>
    <t>INTERVENTORÍA DE LAS OBRAS DE CONSTRUCCIÓN Y PAVIMENTACIÓN DE LA VÍA ALTERNA INTERNA A BUENAVENTURA, SECTOR VIADUCTO K7 - INTERSECCIÓN CITRONELA, RUTA 40 TRAMO 4001</t>
  </si>
  <si>
    <t>INTERVENTORÍA TÉCNICA, OPERATIVA Y FINANCIERA DEL CONTRATO DE CONCESIÓN NO. 0849/95, CARRETERA NEIVA - ESPINAL - GIRARDOT (INCLUYE LA INTERVENTORÍA DE OBRAS COMPLEMENTARIAS ADICIONALES AUTORIZADAS AL CONCESIONARIO)</t>
  </si>
  <si>
    <t>INTERVENTORIA TECNICA, LEGAL, FINANCIERA, ADMINISTRATIVA, AMBIENTAL, PREDIAL Y SOCIAL DEL PROYECTO, ESTUDIOS Y DISEÑOS, GESTIÓN SOCIAL, PREDIAL, AMBIENTAL Y MEJORAMIENTO DEL PROYECTO "TRONCAL DEL NORTE"</t>
  </si>
  <si>
    <t>CORPORACIÓN DE ABASTOS DE BOGOTA- CORABASTOS S.A.</t>
  </si>
  <si>
    <t>INTERVENTORÍA DE CONSTRUCCIÓN DE LA CARRETERA GI- 131 EN ANDOAIN (CLAVE 1-V-18/2002 B-DO)</t>
  </si>
  <si>
    <t>INTERVENTORIAS PARA EL MEJORAMIENTO Y MANTENIMIENTO DEL CORREDOR TUMACO-PASTO-MOCOA</t>
  </si>
  <si>
    <t>"CONSULTORÍA Y ASISTENCIA PARA LA REALIZACIÓN DEL CONTROL Y VIGILANCIA DE LAS OBRAS: AUTOVÍA A-66 RUTA DE LA PLATA CARRETERA N-630 DE GIJÓN AL PUERTO DE SEVILLA. TRAMO: MORALES DEL VINO- CORRALES PROVINCIA DE ZAMORA"</t>
  </si>
  <si>
    <t>CONSULTORIA Y ASISTENCIA PARA EL CONTROL Y VIGILANCIA DE LAS OBRAS EJE ATLANTICO DE LATA VELOCIDAD. VARIANTE DE PORTAS (PONTEVEDRA). TRAMO II: PORTAS-VILAGARCIA DE ARROUSA. PLATAFORMA Y VIA. SUPRESIÓN DE PASS DE NIVEL EN LA RED FERROVIARIA DE GALICIA- LINEA MONTEFORTE-VIGO, DEL MUNICIPIO DE COLES (ORENSE)</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</si>
  <si>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</si>
  <si>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METRO CALI S.A</t>
  </si>
  <si>
    <t>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t>
  </si>
  <si>
    <t>INTERVENTORIA DE LAS OBRAS DE RECUPERACIÓN DE LA BANCA EN LOS CORREDORES VIALES YE DE GUAIMARAL-TUBARA-EL VAIVEN-PIOJO Y JUAN DE ACOSTA-SIBARCO, EN EL DEPARTAMENTO DEL ATLANTICO</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</si>
  <si>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</si>
  <si>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</si>
  <si>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 xml:space="preserve">REGIÓN DE MURCIA
CONSEJERÍA DE OBRAS PÚBLICAS Y ORDENACIÓN DEL TERRITORIO
DIRECCIÓN GENERAL DE CARRETERAS
</t>
  </si>
  <si>
    <t>INTERVENTORIA TECNICA, ADMINISTRATIVA, FINANCIERA, LEGAL, SOCIAL Y AMBIENTAL DE LAS OBRAS Y ACTIVIDADES PARA LA MALLA VIAL ARTERIAL, INTERMEDIA Y LOCAL DE LOS DISTRITOS DE CONSERVACIÓN EN LA CIUDAD DE BOGOTÁ D.C-GRUPO 4</t>
  </si>
  <si>
    <t>INTERVENTORÍA TÉCNICO, ECONÓMICA, FINANCIERO, JURÍDICA, ADMINISTRATIVA, OPERATIVO, MEDIO AMBIENTO/ Y SOCIO PREDIO/ DEL CONTRATO DE CONCESIÓN BOJO UN ESQUEMA DE ASOCIACIÓN PÚBLICO PRIVADA QUE SE DERIVE DEL PROCESO LICITATORIO NO VJ-VE-LP-004-2012 CORRESPONDIENTE AL CORREDOR CONCESIONADO "ZIPAQUIRÁ - BUCARAMANGA (PALENQUE)", DENOMINADO CORREDOR "ZIPAQUIRÁ -BUCARAMANGA (PALENQUE)" (VALOR FACTURADO A LA FECHA Y TIENE EN CUENTA PARTICIPACIÓN)</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</si>
  <si>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</si>
  <si>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INTERVENTORIA TECNICA Y FINANCIERA EN LA ETAPA DE OPERACIÓN DEL CONTRATO DE CONCESIÓN No. 664 DE 1994, PROYECTO "DESARROLLO VIAL PARA EL NORTE DE BOGOTA" EN EL DEPARTAMENTO DE CUNDINAMARCA</t>
  </si>
  <si>
    <t xml:space="preserve">El numeral 5.1.1 literal f) EXPERIENCIA ESPECÍFICA el cual establece: “(…) f) Valor: El valor mínimo de cada contrato será el cinco (5%) del valor del presupuesto oficial del módulo al que se presente oferta expresado en SMLMV del año en el que se encuentra establecido el presupuesto oficial del respectivo módulo (…)” Al efectuar la revisión de la documentación presentada junto con la propuesta para los módulos 1 y 2, se encuentra que ninguno de los contratos aportados cumple con lo establecido en el numeral 5.1.1 literal f), por lo tanto y de conformidad con el numeral 5.1 CRITERIOS DE CALIFICACIÓN el proponente no obtiene puntaje en la experiencia específica y su propuesta es rechazada.
</t>
  </si>
  <si>
    <t>INTERVENTORIA PARA EL MANTENIMIENTOY REHABILITACIÓN DE LAS CARRETERAS ARMENIA-IBAGUE. SECTOR ARMENIA-CAJAMARCA. RUTA 40. TRAMO 4003. DEPARTAMENTO DE QUINDIO Y TOLIMA</t>
  </si>
  <si>
    <t>INTERVENTORIA TECNICA, ADMINISTRATIVA, FINANCIERA Y AMBIENTAL DE LA CONSTRUCCIÓN INTERCAMBIO VIAL ESTACIÓN MADERA</t>
  </si>
  <si>
    <t>INSTITUTO DE DESARROLLO URBANO -IDU -</t>
  </si>
  <si>
    <t xml:space="preserve">INTERVENTORIA TECNICA ADMINISTRATIVA Y FINANCIERA LEGAL, SOCIAL, SEGURIDAD INDUSTRIAL, SALUD OCUPACIONAL Y MEDIO AMBIENTE PARA LAS OBRAS Y ACTIVIDADES PARA LA CONCERVACIÓN DE LA MALLA VIAL ARTERIAL NO TRONCAL EN EL GRUPO 5 FASE I 2013 </t>
  </si>
  <si>
    <t>INTERVENTORÍA PARA EL MEJORAMIENTO Y LA PAVIMENTACIÓN DE LA CARRETERA SANTA CECILIA-PUEBLO RICO-APIA RUTA 5003</t>
  </si>
  <si>
    <t>INTERVENTORÍA AL CONTRATO DE CONCESIÓN NO. 106 DEL 5 DE JUNIO DE 2003 PARA LA ADECUACIÓN DE LA TRONCAL NQS SECTOR NORTE TRAMO II COMPRENDIDO ENTRE LA CALLE 92 Y LA CALLE 68</t>
  </si>
  <si>
    <t>SUPERVISIÓN DE LA CONSTRUCCIÓN DEL DISTRIBUIDOR VIAL SAN ANTONIO EN LOS TRAMOS IV, V Y VI</t>
  </si>
  <si>
    <t>SUPERVISIÓN TÉCNICA Y DE CONTROL ADMINISTRATIVO Y FINANCIERO PARA LA CONSTRUCCIÓN DEL PUENTE QUE CONECTARÁ A LA CALZADA IGNACIO ZARAGOZA CON LA AUTOPISTA MÉXICO-PUEBLA, CON UNA GAZA DE INCORPORACIÓN A LA CALZADA ERMITA IZTAPALAPA</t>
  </si>
  <si>
    <t>INTERVENTORÍA TÉCNICA, FINANCIERA Y OPERATIVA EN LA ETAPA DE CONSTRUCCIÓN DEL PROYECTO VIAL ARMENIA - PEREIRA - MANIZALES.</t>
  </si>
  <si>
    <t>INTERVENTORÍA TÉCNICA, ADMINISTRATIVA, LEGAL, FINANCIERA, AMBIENTAL Y SOCIAL AL CONTRATO DE CONCESIÓN NO. 179 DE LA ADECUACIÓN DE LA TRONCAL NQS SECTOR SUR AL SISTEMA TRANSMILENIO, TRAMO 1.</t>
  </si>
  <si>
    <t>INTERVENTORIA DE LOS ESTUDIOS Y DISEÑOS, PAVIMENTACIÓN Y/O REPAVIMENTACIÓN DE LAS VIAS INCLUIDAS DENTRO DEL PROGRAMA DE PAVIMENTACIÓN DE INFRAESTRUCTURA VIAL DE INTEGRACIÓN Y DESARROLLO GRUPO 85 VIA COROZAL-BETULIA, VIA TOLUVIEJO-NARSOVIA-PALMITO, EN EL DEPARTAMENTO DE SUCRE</t>
  </si>
  <si>
    <t>INTERVENTORÍA PARA EL MEJORAMIENTO Y PAVIMENTACIÓN DE LA CARRETERA CÚCUTA - PAMPLONA - MÁLAGA RUTA 55, TRAMO 5505, SECTOR PR140+000 AL PR71+680.</t>
  </si>
  <si>
    <t>INSTITUTO DE NACIONAL DE VIAS - INSTITUO NACIONAL DE CONCESIONES INCO</t>
  </si>
  <si>
    <t>INTERVENTORÍA TÉCNICA, OPERATIVA Y FINANCIERA EN LA ETAPA DE OPERACIÓN DEL CONTRATO DE CONCESIÓN 503 DE 1994, CARRETERA CARTAGENA - BARRANQUILLA.  INCLUYE REVISIÓN DE SISTEMAS DE TRATAMIENTO DE SUELOS PARA ESTABILIZACIÓN DE TALUDES Y ARCILLAS EXPANSIVAS.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</si>
  <si>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</si>
  <si>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 xml:space="preserve">CONTRATO DE INTERVENTORÍA N001 DE 2007 PARA LA PRIMERA FASE DEL PLAN VIAL DEL NORTE DEL DEPARTAMENTO MAGDALENA </t>
  </si>
  <si>
    <t>INTERVENTORIA PARA EL MEJORAMIENTO Y MANTENIMIENTO INTEGRAL DE LA RUTA SINCELEJO-TOLUVIEJO-CARGAENA DEL CORREDOR VIAL DEL CARIBE (INCLUIDO EL MANTENIMIENT RUTINARIO, LA SEÑALIZACIÓN, EL MONITOREO Y VIGILANCIA Y LOS CONTEOS DE TRANSITO) RUTA 25 SO O02 Y RUTA 90, TRAMOS 9004 Y 9005</t>
  </si>
  <si>
    <t>MINISTERIO DE OBRAS PUBLICAS DE CHILE</t>
  </si>
  <si>
    <t>ASESORIA A LA INSPECCIÓN FISCAL CONCESIÓN CAMINO LA MEDERA VIII REGIÓN</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</si>
  <si>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OTROSÍES Y ADICIONALES, SUSCRITOS ENTRE EL INCO, HOY AGENCIA NACIONAL DE INFRAESTRUCTURA Y LA SOCIEDAD CONCESIONARIA AUTOPISTAS DE SANTANDER S.A</t>
  </si>
  <si>
    <t>SESORIA DE INSPECCIÓN TECNICA DE OBRAS DE HABITACIÓ CORREDOR DE TRANSPORTE PUBLICO, AVENIDA VICUÑA MACKENNA</t>
  </si>
  <si>
    <t>CONSULTORIA, ASESORIA E INTERVENTORIA TECNICO-ADMINISTRATIVA DE LAS OBRAS DE REHABILITACIÓN DE LA CARRETERA SAN ONOFRE-MARIA LA BAJA</t>
  </si>
  <si>
    <t>El subnumeral 5 del numeral 5.1.1. establece " (…) "La experiencia especifica definida en el presente numeral, se acreditará mediante el diligenciamiento del Formato 6 que deberá estar acompañado de cualquiera de los documentos que se listan a continuación los cuales deberán contener como mínimo la siguiente información: (i) nombre del contratista y de sus miembros, junto con la discriminación de la participación de cada miembro en la estructura plural anterior; (ii) objeto y/o alcance del contrato; (iii) fecha de inicio; (iv) fecha de terminación y/o de liquidación; (v) valor total cancelado del contrato (incluido IVA y sus reformas si aplica)(...) (i) Copia del contrato junto con la constancia de ejecución y cumplimiento, y/o terminación y el acta de liquidación y/o el acto administrativo de liquidación (...) (ii) Una certificación emitida por la entidad contratante (...) documentos oficiales de la entidad contratante en los que conste la información requerida en el pliego y las especificaciones técnicas de los contratos". Para el contrato de orden 2 no se presentó ninguno de los documentos anteriormente mencionados, por lo tanto no se tiene en cuenta este contrato en todos los módulos y el puntaje se otorgará de conformidad con lo establecido en el literal g)</t>
  </si>
  <si>
    <t>CONSULTORIA Y ASISTENCIA TECNICA PARA EL CONTROL Y VIGILANCIA DE LAS OBRAS AUTOVIA DEL MEDITERRANEO. CN-340 DE CADIZ Y GIBRALTAR A BARCELONA, TRAMO RONDA ESTE-RINCON DE LA VICTORIA</t>
  </si>
  <si>
    <t>INTERVENTORIA INTEGRAL, QUE INCLUYE PERO NO SE LIMITA A LA INTERVENTORIA FINANCIERA, ADMINISTRATIVA, TECNICA, LEGAL, OPERATIVA, AMBIENTAL Y SEGURIDAD DEL CONTRATO DE CONCESIÓN No. 10000078-OK DE 2010, CUYO OBJETIVO ES LA CONCESIÓN DE LAS TERMINALES AEROPORTUARIAS DE NORORIENTE</t>
  </si>
  <si>
    <t xml:space="preserve">El numeral 5.1.1 literal c) el cual establece “(…) Como mínimo uno (1) de los contratos principales, mediante los cuales se va a acreditar la experiencia específica, deberá ser de supervisión o interventoría de una concesión de un proyecto de infraestructura de transporte celebrado y ejecutado y/o en ejecución en Colombia y que incluya por lo menos dentro de su objeto y/o alcance la supervisión o interventoría que puede ser Técnica y Financiera, y/o Técnica y Social, y/o Técnica y Ambiental del proyecto (…)”. Además en el literal f) del numeral 5.1.1. EXPERIENCIA ESPECÍFICA se establece: “(…) f) Valor: El valor mínimo de cada contrato será el cinco (5%) del valor del presupuesto oficial del módulo al que se presente oferta expresado en SMLMV del año en el que se encuentra establecido el presupuesto oficial del respectivo módulo (…)” Para los módulos 1 y 2 , se encuentra que el contrato de Orden 4 no cumple con lo establecido en el numeral 5.1.1 literal f), y por tanto dicho contrato no se tiene como admisible para la acreditación experiencia específica. En concordancia con lo anterior al no tener admisible el contrato de Orden 4, el proponente no cumple con lo establecido en el literal c) del numeral 5.1.1 en el cual se exige para otorgar el puntaje un contrato de concesión ejecutado en Colombia
</t>
  </si>
  <si>
    <t>INTERVENTORÍA TÉCNICA, ADMINISTRATIVA, FINANCIERA, SOCIAL, AMBIENTAL Y LEGAL AL CONTRATO DE CONCESIÓN NO, 146 DE 2003, PARA LA ADECUACIÓN DE LA TRONCAL AVENIDA SUBA AL SISTEMA TRANSMILENIO, PARA EL TRAMO N° 2: COMPRENDIDO ENTRE LA CALLE 127A Y LA AV. CIUDAD DE CALI EN BOGOTÁ D.C.</t>
  </si>
  <si>
    <t>INTERVENTORÍA TÉCNICA, ADMINISTRATIVA, FINANCIERA Y AMBIENTAL A CONTRATOS DE OBRAS MAYORES A EJECUTARSE EN LA VIGENCIA 2011 EN EL DEPARTAMENTO DEL CESAR CON RECURSOS DEL FONDO NACIONAL DE CALAMIDADES, SUBCUENTA COLOMBIA HUMANITARIA</t>
  </si>
  <si>
    <t>DEPARTAMENTO DE ANTIOQUIA</t>
  </si>
  <si>
    <t>INTERVENTORIA TECNICA Y FINANCIERA DURANTE LAS ETAPAS DE DISEÑO Y CONSTRUCCIÓN DE LA CONCESIÓN PARA EL DESARROLLO  VIAL ABURRA NORTE (DOBLE CALZADA NIQUIA-EL HATILLO)</t>
  </si>
  <si>
    <t>INTERVENTORIA DE LAS OBRAS DE PAVIMENTACIÓN DEL SECTOR K133+OOO AL K146+900 DE LA CARRETERA ZARAGOZA-CAUCASIA</t>
  </si>
  <si>
    <t>INTERVENTORIA INTEGRAL DEL CONTRATO DE CONCESIÓN QUE INCLUYE PERO NO SE LIMITA A LA INTERVENTORIA TECNICA, FINANCIERA, OPERATIVA, CONTABLE, JURIDICA, MEDIOAMBIENTAL, SOCIOPREDIAL, ADMINISTRATIVA, DEL CONTRATO DE CONCESIÓN No. 003 DE 2006, INCLUIDO EL ALCANCE OPCIONAL - TUNAL DAZA, SEGUN MODIFICATORIO No. 1.</t>
  </si>
  <si>
    <t>GERENCIA DE MEGAPROYECTOS DEL DEPARTAEMNTO DE ANTIOQUIA</t>
  </si>
  <si>
    <t>INTERVENTORIA A LA CONSTRUCCIÓN DEL PROYECTO CONEXIÓN VIAL ABURRA - RIO CAUCA (TUNAL DE OCCIDENTE)</t>
  </si>
  <si>
    <t>INTERVENTORIA TECNICA, FINANCIERA Y OPERATIVA EN LAS ETAPAS DE PRECONSTRUCCIÓN Y REHABILITACIÓN Y CONSTRUCCIÓN DELCONTRATO DE CONCESIÓN No 001161 DE 2001 CARRETERA ZIPAQUIRA-BUCARAMANGA (PALENQUE)</t>
  </si>
  <si>
    <t>INTERVENTORIA TECNICA, ADMINISTRATIVA, FINANCIERA Y AMBIENTAL PARA EL MEJORAMIENTO Y PAVIMENTACIÓN DEL ANILLO VIAL TURISTICO DE SUGAMUXI SECTOR AQUITANA.TOTA.CUITIVA.IZA-FIRAVITOBA.PANTANO DE VARGAS, DEPARTAMENTO DE BOYACA</t>
  </si>
  <si>
    <t xml:space="preserve">INTERVENTORIA PARA LA CONSTRUCCIÓN DE LA AVENIDA LAUREANO GOMEZ AK (9) DESDE AV SAN JUAN BOSCO AC (170) HASTA LA AVENIDA CEDRITOS AC (147) Y CONSTRUCCIÓN DE LA CALZADA SUR DE LA AVENIDA SAN JOSE AC (170)DESDE AVENIDA BOYACA HASTA AVENIDA COTA AX (91) CORRESPONDIENTES RESPECTIVAMENTE A LOS CODIGOS DE OBRA 101 Y 107 DEL ACUERDO 180 DE 2005 DE VALORIZACIÓN EN BOGOTA </t>
  </si>
  <si>
    <t>DELEGATION GENENLE DES GRANDS TRAVAUX</t>
  </si>
  <si>
    <t>CONTROL Y SUPERVISION DE LOS TRABAJOS DE ACONDICIONAMIENTO Y ASFALTADO DE LA CARRETERA NACIONAL 1 ENTRE POINTE NOIRE Y DOLOCIE</t>
  </si>
  <si>
    <t>INTERVENTORIA TECNICA Y FINANCIERA EN SUS ETAPAS DE DISEÑO Y PROGRAMACIÓN Y CONSTRUCCIÓN DE LA CONCESIÓN DE LA CARRETERA ESPINAL-NEIVA DEL TRAMO 06 NEIVA CASTILLA Y EL SECTOR CASTILLA- ESPINAL-GIRARDOT LOCALIZACIÓN DE REGIS-TOPOGRAFICOS Y REDES DE INFRAESTRUCTURA</t>
  </si>
  <si>
    <t>INTERVENTORIA PARA LA CONSTRUCCIÓN Y PAVIMENTACIÓN DE LA VIA ALTERNA AL PUERTO DE SANTA MARTA, SECTOR MAMATOCO-TERMINAL MARITIMO</t>
  </si>
  <si>
    <t>INTERVENTORIA DE LAS OBRAS DE CONSTRUCCIÓN Y PAVIMENTACIÓN DE LA VIA ALTERNA, INTERNA A BUENAVENTURA, SECTOR, INTERSECCIÓN SENA-VIADUCTO 7 RUTA TRAMO 4001</t>
  </si>
  <si>
    <t>CONSULTORIA, ASESORIA E INTERVENTORIA TECNICA Y ADMINISTRATIVA DE LAS OBRAS DE REHABILITACIÓN DEL SECTOR RIO ARIGUANI - FUNDACIÓN, CONSTRUCCIÓN Y PAVIMENTACIÓN DE LA VARIANTE DE FUNDACIÓN Y DE LA REHABILITACIÓN DEL SECTOR BOSCONIA-RIO ARIGUANI DE LA CARRETERA BUCARAMANGA-SANTA MARTA</t>
  </si>
  <si>
    <t>CM010P51I03</t>
  </si>
  <si>
    <t>CM010P51I01</t>
  </si>
  <si>
    <t>CM010P51I02</t>
  </si>
  <si>
    <t>CM010P52I03</t>
  </si>
  <si>
    <t>CM010P52I01</t>
  </si>
  <si>
    <t>CM010P52I02</t>
  </si>
  <si>
    <t>PROCESO</t>
  </si>
  <si>
    <t>Fecha de terminación del contrato/ Fecha Ultima facturación (contratos ejecución)</t>
  </si>
  <si>
    <t>SMMLV finalización del contrato  PONDERADO</t>
  </si>
  <si>
    <t>SUMATORIA CONTRATOS &gt;= 40% P.O.</t>
  </si>
  <si>
    <t>PROPONENTE LIDER, 51 % DE LA EXPERIENCIA REQUERIDA</t>
  </si>
  <si>
    <t>10% DE LA EXP GENERAL REQUERIDA</t>
  </si>
  <si>
    <t>VJ-VGC-CM-023-2015</t>
  </si>
  <si>
    <t>CM023PO01</t>
  </si>
  <si>
    <t>DEPATAMENTO DE INFRAESTRUCTURA VARIAS DE LA DIPUTACIÓN FORAL DE GIPUZKOA</t>
  </si>
  <si>
    <t>INTEVENTORÍA DE CONSTRUCCIÓN DE LA VARIANTE DE LA CARRETERA GI-131 EN ANDIAIN</t>
  </si>
  <si>
    <t>NASUVINSA</t>
  </si>
  <si>
    <t>INTERVENTORÍA TECNICA, ADMINISTRATICA, LEGAL, FINANCIERA, AMBIENTAL, SOCIAL OPERATIVA Y DE SEGURIDAD INDUSTRIAL DURANTE LA EJECUSIÓN DE LAS OBRAS CIVILES DE LA CIUDADELA "ECOCIUDAD DE SARRIGUREN Y CIDAD DE LA INNOVACIÓN" COMUNIDAD FORAL DE NAVARRA, ESPAÑA.</t>
  </si>
  <si>
    <t>AL, FINANCIERA, ADMINISTRATIVA, AMBIENTAL, PREDIAL Y SOCIALDE PROYECTOS, ESTUDIOS Y DISEÑOS DE GESTIÓN SOCIAL, PREDIAL, AMBIENTAL Y MEJORAMIENTO DEL PROYECTO "TRONCAL NORTE"</t>
  </si>
  <si>
    <t>CORABASTOS</t>
  </si>
  <si>
    <t>INTERVENTORÍA TPECNICA, LEGAL, ADMINISTRATIVA, FINANCIERA Y OPERATIVA DEL CONTRATO DE CONCESIÓN NO 070 DE 2005, PARA DISEÑO, CONSTRUCCIÓN, OPERACIÓN Y MANTENIMENTO DE LA MALLA VIAL DE LA CENTRAL DE ABASTOS S.A (CORABASTOS) EN LA CIUDAD DE BOGOTA.</t>
  </si>
  <si>
    <t>INTERVENTORÍA TÉCNICA, ADMINISTRATIVA, LEGAL Y FINANCIERA PARA LA CONSTRUCCIÓN. REHABILITACIÓN, CON MEZCLA ASFÁLTICA Y CONSTRUCCIÓN DE OBRAS DE URBANISMO, DE LA MALLA VIAL DEL MUNICIPIO DE BELLO, CORRESPONDIENTE A LAS LICITACIONES PÚBLICAS NO 11 Y NO 13 DE 2012.</t>
  </si>
  <si>
    <t>NO APACERE EN EL RUP, POR LO TANTO NO SE INCLUYE EN EL TOTAL DE LA EXPERIENCIA ACREDITADA</t>
  </si>
  <si>
    <t>CM023PO02</t>
  </si>
  <si>
    <t>DEPARTAMENTO DEL MAGDALENA, SERCRETARIA DE INFRAESTRUCTURA</t>
  </si>
  <si>
    <t>INTERVENTORIA DEL CONTARTO DE CONSECIÓN NO 044 DE 1993 PARA LA REHABILITACIÓN, CONSTRUCCIÓN, MEJORAMIENTO, CONSERVACIÓN, MANTENIMIENTO Y OPERACIÓN DE LA VIA BARRANQUILLA-CIENAGA ENTRE LAS ABCISAS K0+00 AL K62+000 JURISDICCIÓN MUNICIPIOS DE CIENAGA, PUERTO VIEJO Y SITIO NUEVO.(DEPARTAMENTO DEL MAGDALENA) Y MINICIPIO DE BARRANQUILLA (DEPASTAMENTO DE ATLANTICO)</t>
  </si>
  <si>
    <t xml:space="preserve">ALCALDIA MAYOR DE CARTAGENA DE INIDIAS </t>
  </si>
  <si>
    <t>INTERVENTORIA DEL CONTRATO DE CONCESION PARA LA CONSTRUCCIÓN Y MEJORAMIENTO DE LA VÍA TRANSVERSAL DE BARU</t>
  </si>
  <si>
    <t xml:space="preserve">GOBERNACION DEL MAGDALENA </t>
  </si>
  <si>
    <t>INTERVENTORÍA DE LOS ESTUDIOS Y DISEÑOS DEFINITIVOSY GESTION PREDIAL DE LA DOBLE CALZADA YE DE CIENAGA -SANTA MARTA Y DE LA DOBLE CALZADA DE LA VIA ALTERNA AL PUERTO SECTOR QUEBRADA DEL DOCTOR-MAMATOCO Y DISEÑO DE LAS OBRAS COMPLEMENTARIAS Y DE ESPACIO PUBLICO DEL PLAN VIAL. INTERVENTORÍA DE LA CONSTRUCCIÓN Y FINANCIACIÓN DE LA SEGUNDA CALZADA ENTRE LA YE DE CIENAGA Y SANTA MARTA Y LA REHABILITACIÓN DE LA CALZADA EXISTENTE. CONSTRUCCION Y FINANCIACIÓN DE UNA CALZADA DE AL VIA ALTERNA AL PUERTO, SECTOR QUEBRADA DEL DOCTOR-MAMATOCO Y LA DOBLE CALZADA DE LA YE DE CIENAGA-SANTA MARTA. INTERVENTORÍA AL MANTENIMIENTO, CONSERVACIÓN Y OPERACIÓN DE LA CARRETERA BARRANQUILLA - CIENAGA, ACTUALMENTE ENTREGADA EN CONCESIÓN POR EL DEPARTAMENTO MEDIANTE EL CONTRATO NO 044-93 A PARTIR DEL 1 DE ENERO DE 2013. INTERVENTORÍA DE OBRAS COMPLEMENTARIAS O ADICIONALES DENTRO DEL CONTRATO OBJETO DE LICITACIÓN DM-020 96 DEL DEPARTAMENTO DEL MAGDALENA</t>
  </si>
  <si>
    <t>INTERVENTORIA TECNICA, ADMINISTRATIVA, LEGAL, FINANCIERA, AMBIENTAL Y SOCIAL PARA LA EJECUCIÓN DE LA TOTALIDAD DE LAS OBRAS DE CONSTRUCCIÓN Y TODAS LAS OBRAS NECESARIAS PARA LA ADECUACIÓN DE LA AC 26 (AVENIDA JORGE ELIECER GAITAN) AL SISTEMA TRANSMILENIO, EN EL TRAMO COMPRENDIDO ENTRE LA TV 76 Y LA KR 42B Y EN EL TRAMO 4 COMPRENDIDO ENTRE LA KR 42B Y LA KR 19, GRUPO 4 DE LA LICITACIÓN PUBLICA NUMERO IDU-LP-DG-022-2007</t>
  </si>
  <si>
    <t>MINISTERIO DE FOMENTO DIRECCIÓN GENERAL DE CARRETERAS</t>
  </si>
  <si>
    <t>INSPECCION DEL CONTRATO DE CONCESIÓN DE OBRAS PUBLICAS PARA CONSERVACIÓN Y EXPLOTACIÓN DE AUTOVIAS DE PRIMERA GENERACIÓN DE LA AUTOVIA A-4 DEL SUR DEL PK 9100 AL 67500, TRAMO MADRID -OCAÑA. RED DE CARRETERAS DEL ESTADO. PROVINCIA DE MADRID.</t>
  </si>
  <si>
    <t>CM023PO03</t>
  </si>
  <si>
    <t>DEPARTAMENTO DE LA GUAJIRA</t>
  </si>
  <si>
    <t>INTERVENTORIA TÉCNICA Y ADMINISTRATIVA PARA LA CONCESIÓN PARA LA ADECUACIÓN Y/O REHABILITACIÓN DE LA RED VIAL SECUNDARIA Y TERCIARIA, SU OPERACIÓN Y MANTENIMIENTO DE UNA LONGITUD DE 88,5 KM EN EL DEPARTAMENTO DE LA GUAJIRA</t>
  </si>
  <si>
    <t>Se toma el valor facturado a la fecha expresado en SMMLV del certificado.</t>
  </si>
  <si>
    <t xml:space="preserve">DEPARTAMENTO DEL ATLANTICO </t>
  </si>
  <si>
    <t>INTERVENTORÍA DE LAS OBRAS DE RECUPERACIÓN DE LA BANCA EN LOS CORREDORES VIALES YE DE GUAIMARAL-TUBARA- EL VAIVEN - PIOJO Y JUAN DE ACOSTA, EN EL DEPARTAMENTO DEL ATLÁNTICO</t>
  </si>
  <si>
    <t>INTERVENTORÍA PARA EL MEJORAMIENTO Y MANTENIMIENTO INTEGRAL DE LA RUTA BUENAVENTURA -BUGA DEL CORREDOR VIAL PACIFICO (INCLUIDO EL MANTENIMIENTO RUTINARIO, LA SEÑALIZACIÓN, ELMONITORERO Y VIGILANCIA Y LOS CONTEOS DE TRÁNSITO) RRUTA 40 TRAMO 4001</t>
  </si>
  <si>
    <t>INTERVENTORÍA TECNICA, ADMINISTRATIVA, FINANCIERA Y AMBIENTAL PARA EL DIAGNOSTICO, MANTENIMIENTO RUTINARIO Y PERIODICO DE LA MALLA VIAL ARTERIAL PRINCIPAL Y MALLA VIAL COMPLEMENTARIA, CONFORMADA POR EL DISTRITO DE MANTENIMIENTO 1 DE LA FASE iv CORREDORES VIALES EN BOGOTA D.C.</t>
  </si>
  <si>
    <t>METROCALI S.A</t>
  </si>
  <si>
    <t>INTERVENTORÍA TÉCNICA, ADMINISTRATIVA, FINANCIERA, SOCIAL Y AMBIENTAL PARA LA CONSTRUCCIÓN DE LOS CARRILES MIXTOS Y EL ESPACIO Y EL ESPACIO PÚBLICO DEL CORREDOR TRONCAL DE LA CALLE 5/ CARRERA 100 ENTRE CARRERA 56 Y CALLE 20, Y LAS OBRAS COMPLEMENTARIAS DEL SISTEMA INTEGRADO DE TRANSPORTE MASIVO DE PASAJEROS DE SANTIAGO DE CALI</t>
  </si>
  <si>
    <t>CM023PO04</t>
  </si>
  <si>
    <t>ANI (ANTES INCO)</t>
  </si>
  <si>
    <t xml:space="preserve">INTERVENTORÍA TÉCNICA, JURIDICA, ADMINISTRATIVA, OPERATIVA Y FINANCIERA DEL CONTRATO DE CONCESIÓN "GIRARDOT-IBAGUE-CAJAMARCA"  </t>
  </si>
  <si>
    <t>INTERVENTORIA PARA EL MEJORAMIENTO Y PAVIMENTACION DE LA CARRETERA PAMPLONA-CUESTABOBA, SECTOR PAMPLONA - CUESTABOBA RUTA 66 TRAMO 6603</t>
  </si>
  <si>
    <t>CONSULTORIA, ASESORIA E INTERVENTORÍA TÉCNICA Y ADMINISTRATIVA DE LAS OBRAS DE CONSTRUCCIÓN Y PAVIMENTACIÓN DE LA VARIANTE DE IBAGUE-PASO NACIONAL.</t>
  </si>
  <si>
    <t>INTERVENTORIA TÉCNICA, ADMINISTRATIVA, LEGARL, FINANCIERA Y AMBIENTAL AL CONTRATO DE CONCESIÓN IDU 242 DE 2003 PARA LA ADECUACIÓN DEL TRAMO COMPRENDIDO ENTRE LA AVENIDA CIUDAD DE VILLAVICENCIO Y EL LIMITE CON SOACHA (CUNDINAMARCA), PERTENECIENTE A LA TRONCAL TRANSMLENIO NQS Y LA CONSTRUCCIÍN DE LA ESTACIÓN DE CABECERA Y EL PATIO( GARAJE) Y MANTENIMIENTO DE LA ESTACIÓN DE CABECERA DE LA TRONCAL NQS</t>
  </si>
  <si>
    <t>BISKAIKO HEGOALDEKO AKZESIBILITATEA, S.A</t>
  </si>
  <si>
    <t>CONSULTORIA Y ASISTENCIA TECNICA A LA DIRECCÓN DE LAS OBRAS DE CONSTRUCCIÓN DEL CORREDOR DE CADAGUA, TRAMO ARBUIO-SODUPE Y DESDOBLAMIENTO DEL TRAMO PADURA-AGRANGUREN</t>
  </si>
  <si>
    <t>EUSKAL TRENDIBE SAREA</t>
  </si>
  <si>
    <t>SERVICIO DE APOYO A LA DIRECCIÓN DE LAS OBRAS (INTERVENTORÍA/SUPERVISIÓN) DEL TRAMO PORTUGALEGTE-SANTURTZA DE LA  LINEA 2 DEL FERROCARRIL METROPOLITANO DE BILBAO</t>
  </si>
  <si>
    <t>CM023PO05</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</si>
  <si>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</si>
  <si>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</si>
  <si>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AGENCIA NACIONAL DE INFRAESTRUTURA - ANI</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</si>
  <si>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</si>
  <si>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Asistencia técnica para control y vigilancia de obra (interventoria o supervisión de obras) y coordinación de seguridad y salud proyecto construcción de la autovía AG-64 Ferrol - Vilalba. Tramo: Igrexafeita - Espiñaredo</t>
  </si>
  <si>
    <t>Consultoría y asistencia para el control y vigilancia de las obras: autovía A-8 del Cantábrico. Tramo: Mondoñedo - Lorenzana</t>
  </si>
  <si>
    <t>CM023PO06</t>
  </si>
  <si>
    <t>INTERVENTORIA TECNICA, ADMINISTRATIVA, FINANCIERA, SOCIAL Y AMBIENTAL PARA CONSTRUCCIÓN, REHABILITACIÓN Y CONSERVACIÓN DE VIAS PARA LA RUTA ALIMENTADORES DEL SISTEMA INTRGEADO TRANSMILENIO ZONA 4, GRUPO 1 EN BOGOTA D.C</t>
  </si>
  <si>
    <t>INTERVENTORIA INTEGRAL DEL CONTRATO DE CONCESIÓN QUE INCLUYE PERO NO SE LIMITA A LA INTERVENTORIA TECNICA, FINANCIERA, CONTABLE, JURIDICA, MEDIO-AMBIENTAL, SOCIO-AMBIENTAL, SOCIO-PREDIAL, ADMINISTRATIVA, DE SEGUROS, OPERATIVA Y DE MANTENIMIENTO DE CONTRATO DE CONCESIÓN, EN EL CUAL HACE PARTE DEL PROYECTO VIAL RUTA DEL SOL Y QUE CORRESPONDE AL SECTOR 1 COMPRENDIDO ENTRE TOBIA GRANDE/VILLETA- GUADUAS EL KORAN</t>
  </si>
  <si>
    <t>INTERVENTORIA INTEGRAL QUE INCLUYE PERO NO SE LIMITA A LA INTERVENTORIA TECNICA, FINANCIERA, ADMINISTRATIVA, JURIDICA, GESTION SOCIAL, PREDIAL Y AMBIENTAL PARA EL MEJORAMIENTO DEL PROYECTO TRANSVERSAL DEL CUSIANA FASE EN EL PROGRAMA DE CORREDORES PRIORITARIOS PARA LA PROSPERIDAD</t>
  </si>
  <si>
    <t>INTERVENTORIA INTEGRAL QUE INCLUYE PERO NO SE LIMITA A LA INTERVENTORIA TECNICA, FINANCIERA, ADMINISTRATIVA, JURIDICA, GESTION SOCIAL, PREDIAL Y AMBIENTAL PARA EL MEJORAMIENTO DEL PROYECTO CORREDOR HONDA MANIZALES FASE 2 EN EL PROGRAMA DE CORREDORES PRIORITARIOS PARA LA PROSPERIDAD</t>
  </si>
  <si>
    <t>CM023PO07</t>
  </si>
  <si>
    <t>P07-02</t>
  </si>
  <si>
    <t>GENERALITAT VALENCIA (CONSELLERÍA DÍNFRAESTRUCTES TERRITORI ME AMBIENT)</t>
  </si>
  <si>
    <t>ASISTENCIA TECNICA PARA LA EJECUCIÓN DEL PROYECTO DE CONSTRUCCIÓN DEL TERCER CARRIL DE LA AUTOVIA DE LLIRIA, TRAMO TVV-BYPASS. PATERNA (VALENCIA)</t>
  </si>
  <si>
    <t>CONTROL Y VIGILANCIA DE LAS OBRAS DE SEGURIDAD VIAL: MEJORA INTEGRAL DE LA SEGURIDADVIAL EN LA N-340. TRAMO: ALMENARA-NULES (CLAVE: 33-CS-5620)</t>
  </si>
  <si>
    <t>APOYO A LA DIRECCIÓN DE LA OBRA CIERRE RONDA NORTE DE VALENCIA Y CONEXIONES CON MAESTRO RODRIGO-BENIMAMET, CV-35, BURJASSOT Y FUTUTRA VIAL PARQUE NORTE (VALENCIA)</t>
  </si>
  <si>
    <t>GENERALITAT VALENCIA</t>
  </si>
  <si>
    <t>APOYO A LA DIRECCIÓN DE LA OBRA: RONDA NORTE DE VALENCIA, TRAMO BENIMAMET- CIUDAD FALLERA Y MODIFICACIÓN NO. 1</t>
  </si>
  <si>
    <t>INTERVENTORÍA TÉCNICA, ADMINISTRATIVA, TÉCNICA, FINANCIERA, AMBIENTAL, OPERATIVA Y JURÍDICA AL PLAN DE INVERSIONES DE LOS CONTRATOS DE CONCESIÓN PORTUARIA NO 006 DE 1993, 009 DE 1994 Y 003 DE 2008- SUSCRITOS ENTRE LA NACIÓN-SUPERTINTENDENCIA GENERAL DE PUERTOS Y/O EL INSTITUTO NACIONAL DE CONCESIONES INCO, HOY ADMINISTRADO POR LA ANI Y LAS SOCIEDADES PORTUARIA REGIONAL DE SANTA MARTA S.A, Y LA SOCIEDAD TERMINAL DE CONTENEDORES DE CARTAGENA S.A-CONTECAR S.A, RESPECTIVAMENTE Y OTROSIES, ASÍ COMO REGULAR LOS TERMINOS Y CONDICIONES BAJO LOS CUALES LA ANI PAGARA AL INTERVENTOR DE FORMA MENSUAL LA CONTRAPRESTCION OFRECIDA POR EL INTERVENTOR Y ACEPTADA POR LA ANID DURANTE EL CONCURSO DE MERITO ABIERTOS, CONSISTENTE EN UNA SUMA GLOBAL FIJA, QUE INCLUYE LOS COSTOS DIRECTOS, VIATICOS, HONORARIOS Y EL IMPUESTO AL VALOR AGREGADO IVA.</t>
  </si>
  <si>
    <t>Por tratarse de un contrato en ejecución con la Agencia Nacional de Infraestructura, se requiere a la supervisión del proyecto al interior de la entidad para informar el último valor facturado a Enero del 2016.</t>
  </si>
  <si>
    <t>INTERVENTORIA INTEGRAL DEL CONTRATO DE CONCESIÓN, QUE INCLUYE PERO NO SE LIMITA A LA INTERVENTORIA TECNICA, FINANCIERA, CONTABLE, JURIDICA, MEDIOAMBIENTAL, SOCIO-PREDIAL, ADMINISTRATIVA, DE SEGUROS, OPERATIVA Y DE MANTENIMIENTO DEL CONTRATO DE CONCESIÓN NO 002 DE 2007 Y DEMAS DOCUMENTOS QUE LO MODIFIQUEN, ADICIONEN O COMPLEMENTEN PARA LA CONCESIÓN VIAL. ALCANCE CONTRATO DE CONCESIÓN NO 002 DE 2007: ESTUDIOS Y DISEÑOS DEFINITIVOS, GESTION PREDIAL, GESTION SOCIAL, GESTION AMBIENTAL, FINANCIACIÓN, CONSTRUCCIÓN, REHABILITACIÓN, MEJORAMIENTO, OPERACIÓN Y MANTENIMIENTO DEL PROYECTO DE CONCESION VIAL CORDOBA-SUCRE.</t>
  </si>
  <si>
    <t>CM023PO08</t>
  </si>
  <si>
    <t>P08-02</t>
  </si>
  <si>
    <t>SECRETARIA DE ORAS PUBLICAS DE BARRANQUILLA</t>
  </si>
  <si>
    <t>INTERVENTORIA A LA CONSTRUCCION Y RECONSTRUCCIÓN DE LA ESTRUCTURA DE PAVIMENTO RIGIDO EN LA MALLA VIAL CORRESPONDIENTE A LOS SECTORES I, II Y III DE LA ZONA COMPRENDIDA ENTRE LAS CALLES 30 A 45 EXCLUSIVE Y LAS CARRERAS 21 A 41 INCLUSIVE EN LA CIUDAD DE BARRANQUILLA</t>
  </si>
  <si>
    <t>INTERVENTORIA GENERAL PARA LA RECONSTRUCCION DE LA CALLE 17 ENTRE LAS CARRERAS 38 DE BARRANQUILLA Y SU INTERSECCIÓN CON LA CALLE 30 EN EL MUNICIPIO DE SOLEDAD EN EL SITIO DENOMINADO LA VIRGENCITA.</t>
  </si>
  <si>
    <t>INTERVENTORIA A LAS OBRAS QUE DEBERA EMPRENDER EL AREA METROPOLOTANA DE BARRANQUILLA PARA LA CONSTRUCCIÓN DEL PUENTE VEHICULAR Y DE LOS INTERCAMBIOS VIALES LOCALIZADOS EN LA INTERSECCION DE LA CALLE 45 MURILLO CON LA AVENIDA CIRCUNVALAR</t>
  </si>
  <si>
    <t>INTERVENTORIA PARA EL MEJORAMIENTO Y MANTENIMIENTO INTEGRAL DE LA RUTA BUENAVENTURA BUGA DEL CORREDOR VIAL DEL PACIFICO ( INCLUIDO MANTENIMIENTO RUTINARIO, LA SEÑALIZACIÓN, EL MONITOREO Y LA VIGILANCIA DE LOS CONTEOS DE TRANSITO) RUTA 40 TRAMO 4001.</t>
  </si>
  <si>
    <t>GOBERNACION DEL CESAR</t>
  </si>
  <si>
    <t>INTERVENTORIA TECNICA, ADMINISTRATIVA, FINANCIERA Y AMBIENTAL A CONTRATOS DE OBRAS MAYORES A EJECUTARSE DE LA VIGENCIA 2011 EN EL DEPARTAMENTO DEL CESAR CON RECURSOS DEL FONDO NACIONAL DE CALAMIDADES, SUCUENTA COLOMBIA HUMANITARIA</t>
  </si>
  <si>
    <t>CM023P09</t>
  </si>
  <si>
    <t>Gobernación de Antioquia</t>
  </si>
  <si>
    <t xml:space="preserve">Interventoría de la ampliación, rectificación y pavimentación de la carretera La Metida - Concordia </t>
  </si>
  <si>
    <t xml:space="preserve"> Interventoría técnica, administrativa, financiera y ambiental  de la Construccion del Contrato de Concesión No. 97-CO-20-1738: Proyecto Desarrollo Vial de Aburra Norte (Niquia - Hatillo) y Auditoria de Aforos de Recaudos en las Estaciones de Peaje del proyecto.</t>
  </si>
  <si>
    <t xml:space="preserve">Transmilenio S.A. </t>
  </si>
  <si>
    <t>Interventoría técnica, administrativa y financiera del contrato de las obras de mantenimiento de la Infraestructura del sistema de transporte masivo de la ciudad de Bogotá D.C.</t>
  </si>
  <si>
    <t>CM023P10</t>
  </si>
  <si>
    <t xml:space="preserve">Ministerio de Fomento </t>
  </si>
  <si>
    <t>Control y vigilancia de las obras: Nueva Ronda de circunvalación oeste de Malaga Tramo: Conexión MA-417- Autovía A-357 del Guadalhorce. Provincia de Malga</t>
  </si>
  <si>
    <t>EURO</t>
  </si>
  <si>
    <t>Control y vigilancia de las obras: Autovía A-50 Tramo: Narros del Castillo - Peñaranda de Bracamonte. Provincia de Salamanca y Ávila.</t>
  </si>
  <si>
    <t>Supervision del Proyecto las obras de mantenimiento y explotacion de las autopistas de peaje R-3 de Madrid a Arganda del Rey R-5 de Madrid a Navalcarnero y M-50 entre la A-6 y la M-409 Provincia de Madrid</t>
  </si>
  <si>
    <t>Control y Vigilancia de las obras Autovia de la Plata A-66 Carretera N-630 de Gijón al Puerto de sevilla Tramo: Clzada de Valduciel - Salmanca, Provincia de Salamanca</t>
  </si>
  <si>
    <t>Agencia Nacional de Infraestructura - ANI</t>
  </si>
  <si>
    <t>Interventoria tecnica, financiera, operativa predial, socio ambiental y legal del proyecto concesion Malla Vial del valle del Cauca y Cauca</t>
  </si>
  <si>
    <t xml:space="preserve">Asesoria e interventoria tecnica, administrativa y ambiental en la construccion de un tramo de corredor del sistema integrado de Transporte masivo Yranscaribe desde Cuatro Vientos a Bazurto </t>
  </si>
  <si>
    <t>CM023P11</t>
  </si>
  <si>
    <t>Secretaria de Obras y servicios de la Ciudad de Mexico</t>
  </si>
  <si>
    <t>Supervisión a la construcción de los puentes vehiculares Fray Servando y Av. Del taller en el cruce de Francisco de Paso y Troncoso y Av. Del Taller</t>
  </si>
  <si>
    <t>PESO MEXICANO</t>
  </si>
  <si>
    <t>Supervisión a la construcción del distribuidor vial (puente vehicular) Ermita Iztapalapa eje 3 Oriente, delegación Iztapalapa</t>
  </si>
  <si>
    <t>Supervision de la construccion del corredor vial de la linea 4 metrobus buenavista - centro historico - San Lazaro con extensión al aeropuerto internacional de la Ciudad de Mexico en una longitud de26,3 km con influencia en las delegaciones Cuahetemoc y venustiano carranza</t>
  </si>
  <si>
    <t>CM023P12</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</si>
  <si>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</si>
  <si>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</si>
  <si>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Interventoria administrativa, tecnica, ambiental y financiera para el diseño, la rehabilitación y recuperacion de la via rioblanco - Chaparral y la via Ataco planadas en el departamento del tolima por porcentaje sobre el valor de los diseños y las obras.</t>
  </si>
  <si>
    <t>Instituto Nacional de Vías - INVIAS</t>
  </si>
  <si>
    <t>Interventoria del mejoramiento y mantenimiento integral de la ruta la Mata - Bosconia del corredor vial del Magdalena (Incluido el mantenimiento rutinario, la señalizacion, el monitoreo y vigilancia y los conteos de transito) Ruta 45 tramo 4515 Y 4516</t>
  </si>
  <si>
    <t>CM023P13</t>
  </si>
  <si>
    <t>Interventoría tecnica, administrativa y contable de  la Ampliacion, rectificacion y pavimentacion de la carretera Guatape - San Rafael - San Carlos</t>
  </si>
  <si>
    <t>Interventoria de las obras de rehabilitacion del sector Quibdo -  Yuto</t>
  </si>
  <si>
    <t>Interventoria para el mejoramiento  y pavimentacion de la carretera Fuente de Oro - Puerto Lleras - Cruce Puerto Rico - Puerto Arturo . San José del Guaviare sector cruce Puerto Rico - Puerto Arturo</t>
  </si>
  <si>
    <t>Interventoria técnica en su etapa de construcción de la Concesion del proyecto vial deominado Desarrollo Vial del Norte de Bogotá en el departamento de Cundinamarca</t>
  </si>
  <si>
    <t>Consultores en Ingeniería S.A.S. por medio de su matriz Restrepo y Uribe S.A.S.</t>
  </si>
  <si>
    <t>Interventoria al Contrato de Concesion No. 007/2010 proyecto vial Ruta del Sol - sector 3</t>
  </si>
  <si>
    <t>Ejecución</t>
  </si>
  <si>
    <t xml:space="preserve">EJECUCION </t>
  </si>
  <si>
    <t>Interventoria tecnica y financiera en su etapa de construccion de la concesion del sector de Santa Fe de Bogota - Caqueza (Puente Real) que incluye la construccion del tunel de Boqueron (Lungitud aproximada 2.3 km</t>
  </si>
  <si>
    <t>CM023P14</t>
  </si>
  <si>
    <t xml:space="preserve">Interventoría de la ampliación, rectificación y pavimentación de la carretera Bolombolo - Santa Fé de Antioquia </t>
  </si>
  <si>
    <t>Alcaldía de Cartagena</t>
  </si>
  <si>
    <t>Interventoría integral (Técnica, Administrativa, Ambiental y Financiera) del proyecto vial en Concesión corredor de acceso rápido a la variante de Cartagena, Alcaldía Mayor</t>
  </si>
  <si>
    <t xml:space="preserve">Consultoría, asesoría e interventoria tecnica y administrativa de las obras de pavimentacion de los sectores Remolino - Ciudad bolivar y Remolino - Jardin de la carretera Amaga - Jardin </t>
  </si>
  <si>
    <t xml:space="preserve">Consultoría, asesoría e interventoria tecnica y administrativa de las obras de rehabilitacion del sector Oiba - Socorro - San Gil de la carretera Barbosa - Oiba - Bucaramanaga. </t>
  </si>
  <si>
    <t>Interventoria tecnica, legal, financiera, administrativa, ambiental, predial y social del proyecto "Estudios y diseños, gestión social, predial, ambiental y mejoramiento del proyecto corredor del sur y Marginal de la Selva</t>
  </si>
  <si>
    <t>Interventoría técnica y administrativa para la construccion de las vias de acceso a barrios en la localidad de Usme así: Acceso UE-3 (Barrios el Virrey y los Comuneros),  acceso UE-5 (barrios Alfonso Lopez, Lareforma, La Alborada y El Progreso) Acceso UE-6 (Barrios serranias, Lorenzo, Alcantuz y Antonio Jose de Sucre) y acceso UE-8 ( Barrios el Danubio y la Fiscala) en Bogotá</t>
  </si>
  <si>
    <t>CM023P15</t>
  </si>
  <si>
    <t>Ministerio de Fomento Dirección general de carreteras</t>
  </si>
  <si>
    <t>Asistencia técnica para el control y vigilancia de las obras acceso sur al aeropuerto de Malaga</t>
  </si>
  <si>
    <t>Consultoría y asistencia técnica para el control y vigilancia de las obras: Autovía del mediterraneo CN-340 de Cadiz y Gibraltar a Barcelona tramo ronda este - rincón de la Victoria</t>
  </si>
  <si>
    <t>Asistencia tecnica de control y vigilancia de la obra: Acceso al puerto de Malaga segunda fase MA-22 tramo MA-21 central térmica</t>
  </si>
  <si>
    <t xml:space="preserve">Consultoría y asistencia técnica para el control y vigilancia de las obras: Autovía A-44, autovía de Sierra Nevada, tramo Izbor- Velez de Benaudalia. </t>
  </si>
  <si>
    <t>Contratista: CEMOSA EN UT CEMOSA-ESTEYCO</t>
  </si>
  <si>
    <t>Asistencia técnica para el control y vigilancia de las obras: Autovía del mediterraneo CN-340 DE Cadiz y Gilbraltar a Barcelona, Tramo: Albarrobo - Frigiliana (Provincia de Malaga)</t>
  </si>
  <si>
    <t>CM023P16</t>
  </si>
  <si>
    <t>Interventoría técnica, Administrativa, financiera y operativa al contrato de concesión para la rehabilitación conservación y explotación de la red férrea del Atlántico No de contrato 04-0197-0-2001</t>
  </si>
  <si>
    <t>Secretaria de comunicaciones y transportes subsecretaria de infraestructura</t>
  </si>
  <si>
    <t>Ingeniero independiente (supervisión) para la construcción de la nueva autopista concesionada Amozoc-Perote en los estados de puebla Tlaxcala y Veracruz</t>
  </si>
  <si>
    <t>CM023P017</t>
  </si>
  <si>
    <t>Interventoria Tecnica, Administrativa, Financiera y Ambiental al suministro de todos los insumos y servicios necesarios para el mantenimiento vial por ejecución directa a cargo de la UAERMV</t>
  </si>
  <si>
    <t>UNIDAD ADMINISTRATIVA ESPECIAL DE REHABILITACION Y MANTENIMIENTO VIAL - UAERMV.</t>
  </si>
  <si>
    <t>Interventoria de los estudios y diseños, pavimentacion y/o repavimentacion de las vias incluidas dentro del programa de pavimentacion de infraestructura vial de integracion y desarrollo grupo 6 via Betania -Puerto Boy con una longitud de 9.24 KMS; via Caramanta - Valparaiso con una longitud de 13.10 KMS en el Departamento de Antioquia</t>
  </si>
  <si>
    <t>Interventoria a la obras de modernizacion y expansion de la concesion de la administracion, operación, explotacion comercial, mantenimiento, modernizacion y expansion del aeropuerto Internacional El Dorado de la ciudad de Bogota</t>
  </si>
  <si>
    <t>En ejecucion</t>
  </si>
  <si>
    <t>TRANSMILENIO S.A</t>
  </si>
  <si>
    <t>Interventoria tecnica, administrativa, financiera y legal del contrato de las obras de mantenimiento de la infraestructura del sistema de transporte masivo de la ciudad de Bogota</t>
  </si>
  <si>
    <t>CM023P018</t>
  </si>
  <si>
    <t>GOBERNACION DE SUCRE</t>
  </si>
  <si>
    <t>Interventoria Tecnica, Administrativa, Financiera y Ambiental para las obras de mejoramiento en pavimento asfaltico de la via Sampues - San Benito Abad Municipios de Sampues (K49+500) y San Benito Abad (K0+000) en el departamento de Sucre.</t>
  </si>
  <si>
    <t>Interventoria Tecnica, Administrativa, Financiera, y Ambiental para el mejoramiento en pavimentos asfaltico de la via Sincelejo - Cerrito de la Palma, Laguna, Flor, San Antonio de Palmito departamento de Sucre.</t>
  </si>
  <si>
    <t>Control y Vigilancia de las obras Autovia A50 Avila-Salamanca CN501 de Madrid a Salamanca Tramo Villar de Gallimazo - Encinas de Abajo Provincia de Salamanca</t>
  </si>
  <si>
    <t>P18-03</t>
  </si>
  <si>
    <t>Interventoria del contrato de concesión que incluye pero no se limita a la Interventoria, Administrativa, Tecnica, Legal, Operativa, Ambiental y de Seguridad Aeroportuaria del Contrato de Concesión 8000011OK de 2008</t>
  </si>
  <si>
    <t>CM023P019</t>
  </si>
  <si>
    <t>MINISTERIO DE OBRAS PUBLICAS DE CHILES</t>
  </si>
  <si>
    <t>INSTITUTO DE DESARROLLO URBANO IDU</t>
  </si>
  <si>
    <t xml:space="preserve">Contrato No.196-2006
Interventoría técnica, administrativa, financiera y socio ambiental para la construcción y/o rehabilitación de vías en las localidades de Usaquen, Teusaquillo, Barrios Unidos, Antonio Nariño y Engativa. Grupo 1 en Bogotá </t>
  </si>
  <si>
    <t xml:space="preserve">Contrato No. MC-IT-01-13
Interventoría Técnica, Adminsitrativa, Financiera, Social y Ambiental para la adecuación de la condición funcional vial de los corredores pretroncales y alimentadores del Sistema Integrado de Transporte Masivo STIM-MIO, para los Grupos </t>
  </si>
  <si>
    <t>CM023P020</t>
  </si>
  <si>
    <t>CONSELLERIA D INFRAESTRUCTURAS TERRITORI MED AMBIENT</t>
  </si>
  <si>
    <t>Consultoria y asistencia tecnica de direccion, control y vigilancia de las obras (interventoria) de la prolongacion de la linea T4 de tranvia, Metrovalencia, tramo Radio Television Valenciana RTW BARRIO DE LA Coma /V alterna</t>
  </si>
  <si>
    <t>Consultoria y asistencia tecnica de direccion, control y vigilancia de las obras (interventoria) de la autovia de plana (CV-10) Pobla Tornesa - Villanova d Alcolea (Aeropuerto) Castellon</t>
  </si>
  <si>
    <t>Interventoria de los estudios y diseños, pavimentacion y/o repavimentacion de las vias incluidas desde el programa de pavimentacion de infraestructura vial de integracion y desarrollo grupo 26 via Santiago-Berrio-Perales con una longitud de 16 Km en el Departamento de Antioquia; via Transversal Boyaca (Dos y medio el Oasis) (Segmento) con una longitud de 20 Km en el Departamento de Boyaca</t>
  </si>
  <si>
    <t>COL</t>
  </si>
  <si>
    <t>P20-03</t>
  </si>
  <si>
    <t>ALPHA GRUPO CONSULTOR S.A.S.</t>
  </si>
  <si>
    <t>Interventoria Tecnica, Administrativa, Financiera, Social y Ambiental de la construccion de corredores y obras complementarias del sistema integrado de transporte masivo de pasajeros de Santiago de Cali, de acuerdo a los siguientes frentes: Troncal Sur en la Carrera 15/Diagonal 15/Calle 75 entre carrera 23 (Autopista Sur) y terminal del pueblo mallarino; frente 2: Pretroncal via Navarro de la Calle 121 / Carrera 25 entre carrera 28F (via Navarro) y calle 75 ( Canal Puerto Mallarino)</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</si>
  <si>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</si>
  <si>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VALORIZACION SANTIAGO DE CALI</t>
  </si>
  <si>
    <t>Interventoria tecnica, financiera y ambiental, para los estudios y diseños construccion y mejoramiento de la transversal 103 entre las carreras 26 y 28D por el sistema de concesion</t>
  </si>
  <si>
    <t>CM023P021</t>
  </si>
  <si>
    <t xml:space="preserve">DEPARTAMENTO DE TERRITORIO Y SOSTENIBILIDAD </t>
  </si>
  <si>
    <t>Direccion de las obras (Interventoria/Supervision) de construccion de carril reservado para autobuses y vehiculos de alta ocupacion a la autopista e-58 entre el nudo de Ripollet y la Avenida Meridiana</t>
  </si>
  <si>
    <t>INFRAESTRUCTURES CAL.</t>
  </si>
  <si>
    <t>Asistencia tecnica Unidad de evaluacion y supervision de proyectos y obra Concesion Desdoblamiento del Eje transversal Carretera C-25 PK132+300 al 180+400 Tramo Manresa - Vic Clave AC-DC-050682</t>
  </si>
  <si>
    <t>AJUNTAMIENTO DE BARCELONA</t>
  </si>
  <si>
    <t>Seguimiento y control de los proyectos y obras mejora infraestructura del transporte en la ciudad de Barcelona</t>
  </si>
  <si>
    <t>Interventoria Tecnica, Financiera y operativa en la Etapa de Preconstruccion y construccion del contrato de Concesion GG-040-2004. Concesion Bogota-Girardot.</t>
  </si>
  <si>
    <t>CM023P022</t>
  </si>
  <si>
    <t>Contrato No. 020 de 2009. Interventoria técnica, administrativa, legal, operativa, financiera, predial, social y ambiental al contrato de concesión no. GG-040-2004, celebrado entre el Intituto Nacional de Concesiones - INCO y la Sociedad Concesión Autopista Bogotá - Girardot.</t>
  </si>
  <si>
    <t xml:space="preserve">TREN DE OCCIDENTE S.A </t>
  </si>
  <si>
    <t>Realizar actividades de supervisión técnica y control de calidad en la rehabilitación y recuperación del corredor férreo Concesionado en el sector  Zaragoza - La Felisa</t>
  </si>
  <si>
    <t>CM023P023</t>
  </si>
  <si>
    <t>Interventoria Tecnica, Administrativa, Financiera y ambiental para la construccion de las obras del Sistema Integrado de Transporte Masivo, del Distrito de Barranquilla y su area Metropolitana, Sistema Transmetro, de acuerdo a los planos de Intervencion de cada uno de los componentes</t>
  </si>
  <si>
    <t>Interventoria de las obras de construccion y pavimentacion de la vía alterna interna a Buenaventura, sector Viaducto K7 - Interseccion Citronela, Ruta 40 Tramo 4001.</t>
  </si>
  <si>
    <t>P23-02</t>
  </si>
  <si>
    <t>Desarrollo vial Transversal del Sur. Modulo 2. Interventorias para el mejoramiento y mantenimiento del corredor Tumaco-Pasto-Mocoa.</t>
  </si>
  <si>
    <t>CM023P024</t>
  </si>
  <si>
    <t>CONTRATO DE INTERVENTORIA No. SEA 069 DEL 20 DE ABRIL DE 2012. El objeto del presente contrato es regular los terminos y condiciones bajo los cuales el interventor se obliga a ejecutal para la AGENCIA la Interventoria Integral del contrato de Concesion, que incluye, pero no se limita a la Interventoria Tecnica, Financiera, contable, Juridica, Medioambiental, Social-Predial, administrativa, de seguros, operativa y de Mantenimiento del Contrato de Concesion No. 008 de  2007 y demas documentos que lo modifiquen, adicionen o complementen para la Concesion Vial Ruta Caribe, asi como regular los terminos y condciones bajo los cuales la AGENCIA pagara al Interventor de forma Mensual la contraprestacion ofrecida por el interventor y aceptada por la AGENCIA durante el concurso de meritos abierto consistentes en una suma global fija.</t>
  </si>
  <si>
    <t>Control y Vigilancia de las obras: N-340 de Cadiz y Gibraltar a Barcelona Autovia A-7 Tramo: Muro de Alcoy - Puerto Albaida</t>
  </si>
  <si>
    <t>Consultoria y Asistencia Tecnica en materia de control y vigilancia, coordinador en materia de medio ambiente y seguridad y salud de las obras: M-40 Remodelacion con el enlace de la carretera M-511, Clave 47-M-1201</t>
  </si>
  <si>
    <t>P24-02</t>
  </si>
  <si>
    <t>Interventoria para el mejoramiento y mantenimiento integral de la ruta Calarca-Ibague y variante de Ibague del corredor vial del Pacifico (incluido mantenimiento rutinario, señalizacion, el monitoreo, vigilancia y los conteos de transito)</t>
  </si>
  <si>
    <t>CM023P025</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</si>
  <si>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</si>
  <si>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INSTITUTO NACIONAL DE VÌAS - INVIAS</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</si>
  <si>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</si>
  <si>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Interventoría Técnica, Jurídica, Administrativa, Operativa y Financiera al contrato de Concesión "Girardot-Ibague-Cajamarca" celebrado entre el Instituto Nacional de Concesiones y la Concesionaria San Rafael S.A.</t>
  </si>
  <si>
    <t>Interventoría para el mejoramiento y mantenimiento de las carreteras Cucuta-Puerto Santander (Sector PR2+0900-Puerto Santander) código 5507, Aguaclara-Ocaña código 7007, Ocaña - Alto el Pozo-Sardinata, código 7008, Sardinata. Cucuta (Sector Sardinata el Zulia) código 7009 Rionegro-San Alberto código 45A08 y Ocaña Convenciòn (Sector la Ondina convención) código 70 NS01, Módulo 3.</t>
  </si>
  <si>
    <t>Consultoría, Asesoría e Interventoría Técnica y Administrativa para la Construcción y Pavimentación de la carretera Popayan-Totoró-Inza. Sector Popayan-Tororó.</t>
  </si>
  <si>
    <t>CM023P026</t>
  </si>
  <si>
    <t>Consultoría (Urbana Interurbana) de la asesoría a la inspección Fiscal (Interventoría) de la construcción de la obra "Concesión Ruta 5 Tramo Santiago-Tolca y acceso sur a Santiago.</t>
  </si>
  <si>
    <t>Situación de Control INGELOG S.A. (Chile)</t>
  </si>
  <si>
    <t>Asesoría a la inspección Fiscal (Interventoría) a la Construcción de la Concesión Internacional vial Santiago-Valparaiso-Viña del Mar</t>
  </si>
  <si>
    <t>MINISTERIO DE FOMENTO (ESPAÑA)</t>
  </si>
  <si>
    <t>Control y vigilancia (Interventoría) de las obras "AutovíaA-8 del Cantábrico CN-634 de San Sebastían a Santiago de Compostela Tramo: Ribadeo-Reinante.</t>
  </si>
  <si>
    <t>ADIF (ESPAÑA)</t>
  </si>
  <si>
    <t>Consultoría y Asistencia (Interventoría) para el control y vigilancia de las obras del nuevo acceso ferroviario al Norte y Noroeste de España. Tramo Soto del Real-Segovia. Infraestructura y Vía. Lote No. 05</t>
  </si>
  <si>
    <t>CM023P027</t>
  </si>
  <si>
    <t>Interventoría a los diseños y a la construcciçon de las obras de modernización y expansiòn del aeropuerto internacional el dorado "Luis Carlos Galán Sarmiento" de la ciudad de Bogotá en Colombia.</t>
  </si>
  <si>
    <t>P27-03</t>
  </si>
  <si>
    <t>Interventoría Técnica, Administrativa, Financiera y ambiental para las intervenciones integrales a la malla vial local del grupo vial fase II-grupo 1 (localidades Santafe, Antonio Nariño, Candelaria, Chapinero, Teusaquillo y Mártires) con recursos cofinanciados entre el idu y los fondos de desarrollo local, en la ciudad de Bogotá D.C.</t>
  </si>
  <si>
    <t>Interventoría de los estudios y diseños, pavimentación y/o repavimentación de las vías incluidas dentro del programa de pavimentación de infraestructura vial de integración y desarrollo GRUPO 69 Pasto-Buesaco-El empate con una longitud de 22,88 Kilometros en el departamento de Nariño.</t>
  </si>
  <si>
    <t>Interventoría para el mejoramiento y mantenimiento de las carreteras Carreto-Calamar-Ponedera-Palmar de Varela, códigos 2515 y 2516, Sabanalarga-Barranquilla, código 9006 y Cármen de Bolivar-Zambrano-Plato-Pueblo Nuevo-Bosconia, códigos 8001, 8002 y 8003, Módulo No. 5.</t>
  </si>
  <si>
    <t>Interventoría para el mejoramiento y pavimentación de la transversal del carare sector Vélez-Landázuri, tramo K8+700-K16+500, ruta 62 tramo 6208</t>
  </si>
  <si>
    <t>Interventoría para la revisión y actualización de estudios y diseños, reconstrucción, pavimentación y/o repavimentación de la vía La Apartada-Ayapel del K0+000 al K15+000 con una longitud de 15 km en el departamento de Córdoba Módulo 1</t>
  </si>
  <si>
    <t>CM023P028</t>
  </si>
  <si>
    <t>MINISTERIO DE FOMENTO  (ESPAÑA)</t>
  </si>
  <si>
    <t>CONTROL Y VIGILANCIA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</si>
  <si>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No. 0849 DE 1995 DESARROLLO VIAL CARRETERA NEIVA-ESPINAL-GIRARDOT.</t>
  </si>
  <si>
    <t>INTERVENTORIA TECNICA, ADMINISTRATIVA, FINANCIERA Y AMBIENTAL DE LA ADECUACIÓN DE LA TRONCAL AMERICAS AL SISTEMA TRANSMILENIO, TRAMO 1 ENTRE PUENTE ARANDA Y LA CARRERA 70B, EN BOGOTÁ D.C.</t>
  </si>
  <si>
    <t>CM023P029</t>
  </si>
  <si>
    <t>Interventoría técnica y Financiera en sus etapas de diseño y programación y construcción de la concesión de la carretera Espinal-Neiva del tramo 06 Neiva Castilla y el sector Castilla-Espinal-Girardot localización de Regis-Topográficos y redes de Infraestructura.</t>
  </si>
  <si>
    <t>Interventoría de las obras de construcción y pavimentación de la vía alterna, interna a buenaventura, sector, intersección SENA-Viaducto 7 ruta tramo 4001</t>
  </si>
  <si>
    <t>Consultoría, Asesoría e Interventoría Técnica y Administrativa de las obras de rehabilitación del sector río Ariguani-Fundación, construcción y pavimentación de la variante de fundación y de la rehabilitación del sector Bosconia-Rio Ariguani de la carretera Bucaramanga-Santa Marta</t>
  </si>
  <si>
    <t>P29-02</t>
  </si>
  <si>
    <t>Interventoría técnica, administrativa, legal Financiera, Ambiental y Social para la ejecución de las obras de construcción y todas las actividades necesarias para la adecuación de la calle 26 (Avenida Jorge Eliecer Gaitán) y de la carrera 10a (Avenida Fernando Mazuera), al sistema transmilenio en el tramo 3 comprendido entre la transversal 76 y la carrera 42B y el tramo 4 comprendido entre la carrera 42B y la carrera 19, grupo 4 de la licitación Pública IDU-LP-DG-022-2007 en Bogotá D.C.</t>
  </si>
  <si>
    <t>Interventoría de los estudios y diseños, pavimentación y/o repavimentación de las vías incluidas dentro del programa de pavimentación de infraestructura vial de integración y desarrollo GRUPO 55 vía Acevedo-Pitalito con una longitud de 7 Km Vía Ruta 45 Guacayo-La laguna (segmento) con una longitud de 10 Km vía San Agustín-El Estrecho-Obando con una longitud de 6 Km en el departamento del Huila.</t>
  </si>
  <si>
    <t>Interventoría de los estudios y diseños, pavimentación y/o repavimentación de las vías incluidas dentro del programa de pavimentación de infraestructura vial de integración y desarrollo GRUPO 26 vía Santiago-Berrio-Peralescon una longitud de 10 Km en el departamento de Antioquia; Vía Transversal Boyaca (Dos y medio-El Oasis) (segmento) con una longitud de 20 Km en el departamento de Boyaca.</t>
  </si>
  <si>
    <t>CM023P030</t>
  </si>
  <si>
    <t>PROVINCIA DE CROTONE - SECTOR OBRAS PÚBLICAS (ITALIA)</t>
  </si>
  <si>
    <t>Trabajos de modernización de la carretera que conecta la Ss107 con Crotonei y Trepidó Lote 1. Certificación relativa a la ejecución del servicio de proyecto y supervisión de trabajos.</t>
  </si>
  <si>
    <t>ITALFER (ITALIA)</t>
  </si>
  <si>
    <t>Certificación de prestaciones de ingeniería llevadas a cabo por el Consorcio Tplav en el ámbito del sistema Ferroviario Italiano de alta velocidad.</t>
  </si>
  <si>
    <t>MINISTERIO DE OBRAS PÚBLICAS Y COMUNICACIONES (PARAGUAY)</t>
  </si>
  <si>
    <t>Adquisición de servicios de Fiscalización de las obras de construcción de la ruta Juqueri - San Roque Gonzalez en el Departamento de Paraguari</t>
  </si>
  <si>
    <t>P30-03</t>
  </si>
  <si>
    <t>CONTROL Y VIGILANCIA DE LAS OBRAS AUTOVIA A-66 DE LA PLATA CN-630 DE GIRON A SEVILLA. TRAMO: FUENTE DE CANTOS (N) FUENTE DE CANTOS (S)</t>
  </si>
  <si>
    <t>Se subsana situación juridica.</t>
  </si>
  <si>
    <t>CM023P031</t>
  </si>
  <si>
    <t>Consultoría y asistencia para el control  y vigilancia de las obras de la Autovía A-50 Ávila-Salamanca, en el tramo: Peñalba de Ávila-San Pedro del arroyo (Provincia de Ávila)</t>
  </si>
  <si>
    <t>En ejecución</t>
  </si>
  <si>
    <t>Consultoría y asistencia para el control  y vigilancia de las obras de la Autovía A-62, en el tramo: Ciudad Rodrigo-Fuentes de Oroño (Provincia de Salamanca)</t>
  </si>
  <si>
    <t>Consultoría y asistencia para el control  y vigilancia de las obras de la Autovía A-34, en el tramo: Cambrils-Variante de Vilaseca (Provincia de Tarragona)</t>
  </si>
  <si>
    <t>Interventoría al Contrato de Concesión No. 044 de 1993 para la rehabilitación, construcción, Mejoramiento, Conservación, mantenimiento y operación de la vía Barranquilla-Cienaga entre las abcisas K0+000 al K62+000</t>
  </si>
  <si>
    <t>Interventoría técnica, legal, financiera, administrativa, ambiental, predial y social del proyecto "Estudios y diseños, gestión social, predial, ambiental y mejoramiento del proyecto Transversal del Libertador" que dentro de la ejecución del contrato se incluye la construcción de las obras de drenaje, estructura de pavimento rígido, construcción de obras en sitios críticos de os sectores de Córdoba y Guacanas, Construcción de Pontones y Puentes.</t>
  </si>
  <si>
    <t>GOBERNACIÓN DE ARAUCA</t>
  </si>
  <si>
    <t>Interventoría Técnica, Administrativa, Financiera y ambiental a las obras de mejoramiento, construcción y pavimentación de la vía Arauca-Tame en el sector Rio Lipa (K111+190) y la Antioqueña (K151+772) Municipio de Arauca, Departamento de Arauca.</t>
  </si>
  <si>
    <t>El Formato No. 5 no concuerda con la certificación en su objeto, y fechas de inicio-fin (folio 154) motivo por el cual este contrato no se tiene en cuenta. No obstante lo anterior, con los demás contratos el proponente acredita la experiencia general solicitada en el pliego de condiciones, razón por la cual esto no afecta su habilitación por este concepto.</t>
  </si>
  <si>
    <t>CM023P032</t>
  </si>
  <si>
    <t>Contratar la Interventoría técnica, socioambiental, jurídica y financiera de un periodo de la etapa de operación y para las actividades de la etapa preoperativa de las obras adicionales de las concesiones viales del departamento de Cundinamarca.</t>
  </si>
  <si>
    <t>Interventoría integral del contrato de Concesión que incluye pero no se limita a la interventoría técnica, financiera, contable, jurídica, medio ambiental, socio predial, administrativa, de seguros, operativa y de mantenimiento del contrato de Concesión No.SEA-016 el cual hace parte del proyecto vial Ruta del Sol y que corresponde al sector 2 comprendido entre Puerto Salgar y San Roque.</t>
  </si>
  <si>
    <t xml:space="preserve">Interventoría técnica, socio-ambiental, administrativa y financiera de los siguientes proyectos: Estudios, diseños, construcción, mejoramiento rehabilitación y pavimentación de la red de troncales y red colectora a cargo del departamento de Cundinamarca para las siguientes vías 1). Vía Carmen de Curupa-Ubate, Municipio de Carmen de Curupa; 2). Vía Ubate-Cucunuba, Municipio de Ubate; 3). Vía Chocontá-Cucunuba, Municipio de Chocontá; 4). Vía sector la vuelta de Tres Esquinas, Municipio de Suesca; 5). Vía La Punta-Tenjo, Municipio de Tenjo; 6). Vía Siberia-Tenjo, Municipio de Tenjo; 7). Vía Boqueron Pandi, Municipio de Pandi; 8). Vía Tocaima Agua de Dios, Municipios de Tocaima y Agua de Dios; 9). Vía Troncal del Magdalena, sector Girardot-Cambao, Departamento de Cundinamarca; 10). Vía la Shell-Arbelaez, Municipio de Arbelaez; 11). Vía Caqueza-Ubate, Municipios de Caqueza y Ubate; 12). Vía Ubaque-La laguna, Municipio de Ubaque; 13). Vía Villeta-Utica-Caparrapi, Municipio de Villeta; 14). Diagnóstico, estudios, diseños, construcción, mejoramiento, mantenimiento y pavimentación de la Concesión troncal del Tequendama integrado por los trayectos viales Chuzaca-El Colegio-El Triunfo-Viotá- El Portillo del Departamento de Cundinamarca (Construcción en el K2+900, K14+600 y K4+750 del tramo Chusaca-el Colegio, Obras de Estabilización). </t>
  </si>
  <si>
    <t>Interventoría técnica, socio-ambiental, administrativa y financiera de los proyectos: 1. Rehabilitacion de la vía Tenjo-La Punta-Siberia-Tenjo-Tabio-Cajica, Municipio de Tenjo. 2. Mejoramiento de la vía Subachoque. 3. Estudios, diseños y pavimentación vía casco urbano de Madrid, Los Arboles-Puente Piedra en el Municipio de Madrid, 4. Mejoramiento de la vía Zipaquira-Nemocon-Suesca, Municipio de Zipaquirá, 5. Rehabilitación de la vía Capellania-Guacheta, 6. Mejoramiento y pavimentación de la Autopista Medellín parque la Florida costado occidental aeropuerto El Dorado, Municipio de Cota Cundinamarca; 7. Mejoramiento y rehabilitación de la vía Los Alpes-Quipile-Cajitas, Municipio Quipile, 8. Rehabilitación de la via Cartagenita-Zipacon-Cachipa-La Gran Vía-Tena-Los Alpes-Petaluma-Anolaima-Corralejas y San Carlos-La Florida, 9. Rehabilitación y mejoramiento de la vía Puerta Amarilla (Ricaurte) Los Manueles-Agua de Dios-Tocaima y construcción puente sobre el río Bogotá, 10. Mejoramiento vía Zipaquirá-Pacho-La Palma, Municipio de Pacho Departamento de Cundinamarca.</t>
  </si>
  <si>
    <t>Interventoría de los estudios y diseños, pavimentación y/o repavimentación de las vías incluidas dentro del programa de pavimentación de infraestructura vial de integración y desarrollo GRUPO 63 vía Puerto López-Puerto Gaitán con una longitud de 29,3 Km en el departamento del Meta.</t>
  </si>
  <si>
    <t>Interventoría de los estudios y diseños, pavimentación y/o repavimentación de las vías incluidas dentro del programa de pavimentación de infraestructura vial de integración y desarrollo GRUPO 93 vía Barbacoas-Junín con una longitud de 25 Km en el departamento de Nariño.</t>
  </si>
  <si>
    <t>CM023P033</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</si>
  <si>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</si>
  <si>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t>
  </si>
  <si>
    <t>NO APLICA - SITUACIÓN DE CONTROL</t>
  </si>
  <si>
    <t>Fiscalización de las obras. Asistencia técnica para supervisión, comprobación, vigilancia ambiental y coordinación de segurisdad y salud en las obras de la autovía A-7 en Santomera con la Comarca del Mar Menor. Tramo: Zenata-San Javier T.T.M.M., de Murcia, Santomera, Beniel y San Javier.</t>
  </si>
  <si>
    <t>Fiscalización de las obras. Asitencia técnica para supervisión, comprobación y vigilancia ambiental en las obras de construcción de los accesos al nuevo aeropuerto de la región de Murcia desde la Autovía a 30 (Murcia-Cartagena)</t>
  </si>
  <si>
    <t>Fiscalización de las obras. Asistencia ténica a la dirección de las obras para el control y supervisión, comprobación de topografia, gestión de expropiaciones, vigilancia ambiental, ensayos de contraste y coordinación de seguridad y acondicionamiento de la plataforma de la Carretera MU-701. Segunda Fase: Lorca - La Parroquia. P.P.K.K. 0+000 al 15+689. T.M. de Lorca</t>
  </si>
  <si>
    <t>Ejecutar la interventoría técnica, económica, financiera, jurídica, administrativa, operativa, medio ambiental y socio predial del contrato de concesión bajo un esquema de Asociación pública privada que se derive del proceso licitatorio No. VJ-VE-LP-004-2012 correspondiente al corredor concesionado "Zipaquirá-Bucaramanga (Palenque)"</t>
  </si>
  <si>
    <t>Interventoría técnica, administrativa, financiera, legal, social y ambiental de las obras y actividades para la malla vial arterial, intermedia y local de los distritios de conservación en la ciudad de Bogotá D.C. - Grupo 4</t>
  </si>
  <si>
    <t>CM023P034</t>
  </si>
  <si>
    <t>Interventoría técnica, administrativa, legal,  financiera, ambiental y social de las obras de construcción y todas las actividades necesarias para la adecuación de la calle 26 (Avenida Jorge Eliecer Gaitán) y de la carrera 10 (Av Fernando Mazuera), al sistema transmilenio, del tramo 3 que comprende la adecuación de la carrera 10 ( Av.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entre calle 26 y calle 19, en Bogotá D.C.</t>
  </si>
  <si>
    <t>Asesoría e Interventoría técnica, administrativa y financiera y ambiental del contrato de obra para la construcción de un tramo de corredor del sistema integrado de transporte masivo de Cartagena transcribe, del sector del mercado de Bazurto hasta la India Catalina, Cartagena de Indias Distrito Turístico y Cultural.</t>
  </si>
  <si>
    <t>Interventoría para el mejoramiento y mantenimiento de las carreteras Mediacanoa-Ansermanuevo-La Virginia código 2302 y Miranda-Rio Desbaratado-Pradera-Palmira código 3105</t>
  </si>
  <si>
    <t>CM023P035</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</si>
  <si>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segun corresponda del proyecto vial Transversal de las Americas y la preparación de los estudios y diseños definitivos, la gestión predial, social y ambiental, la obtención y/o modificación de licencias ambientales, la financiación, la operación y el mantenimiento de las obras, en el corredor vial "Transversal de las Americas sector 1", denominado corredor vial del Caribe</t>
  </si>
  <si>
    <t>Interventoría de la construcción y pavimentación del sector quebrada las doradas - depresión el vergel - Orrapihuasi de la carretera Altamira-Florencia</t>
  </si>
  <si>
    <t>INSTITUTO NACIONAL DE CONCESIONES - INCO - AHORA ANI</t>
  </si>
  <si>
    <t>Interventoría técnica, financiera, operativa, predial, socio ambiental y legal del proyecto de concesión vial No. 503 de 1994 "Cartagena-Barranquilla"</t>
  </si>
  <si>
    <t>P35-02</t>
  </si>
  <si>
    <t>Interventoría para  el mejoramiento y mantenimiento de la vía Simón Bolivar - Anchicaya, antigua vía a buenaventura sectores bajo Anchicaya (K68) - Aguaclara (K80) y Zacarias (K106) - El Pailon (K114)</t>
  </si>
  <si>
    <t>FONDO FINANCIERO DE PROYECTOS DE DESARROLLO - FONADE</t>
  </si>
  <si>
    <t>Realizar la internventoría a las obras y actividades que se realicen para el mantenimiento, rehabilitación, mejoramiento y pavimentación de la vía Tame-Arauca, entre los sectores K111+000 (puente sobre el rio lipa) y el K151+722 82y2 de la antioqueña) en el departamento de Arauca.</t>
  </si>
  <si>
    <t>P35-03</t>
  </si>
  <si>
    <t>Interventoría integral que incluye pero no se limita a la interventoría técnica, administrativa, financiera, juridica, operativa, predial, socio predial medioambiental del proyecto de concesión Malla Vial del Valle del Cauca y Cauca MVVCC, en el marco del contrato de concesión 005 de 1999</t>
  </si>
  <si>
    <t>CM023P036</t>
  </si>
  <si>
    <t>Autoridad Portuaria de Melilla.  Ministerio de Fomento</t>
  </si>
  <si>
    <t>Asistencia técnica  para la vigilancia y control medioambiental de las obras de nueva alineación del Muelle Ribera I en el Puerto de Melilla</t>
  </si>
  <si>
    <t>Interventoría técnica y administrativa para la construcción de la Torre de Control del Aeropuerto Internacional el Dorado y el Centro de Gestión Aeronáutico de Colombia CGAC. Bogotá</t>
  </si>
  <si>
    <t xml:space="preserve"> Ministerio de Fomento</t>
  </si>
  <si>
    <t>Contrato de consultoría y asistencia técnica para el control y vigilancia de las obras "Línea Sevilla - Cadiz. Tramo: Aeropuerto de Jerez de la Frontera - Cadiz. Duplicación de vía. Subtramo: El Portal".</t>
  </si>
  <si>
    <t>Administrador de Infraestructuras Ferroviarias (ADIF)</t>
  </si>
  <si>
    <t>Servicios de asistencia técnica para el control de obras de plataforma del corredor mediterráneo de alta velocidad. Tramo Pulpi-Almeria: Subtramo Vera - Los Gallardos.</t>
  </si>
  <si>
    <t>P36-03</t>
  </si>
  <si>
    <t>Interventoría técnica, administrativa, financiera, legal, social, seguridad industrial, salud ocupacional y medio ambiente para las obras y actividades para la conservación de la malla vial arterial no troncal en el grupo 5, Fase I-2003, a precio global fijo con ajuste en la Ciudad de Bogotá D.C.</t>
  </si>
  <si>
    <t>CM023P037</t>
  </si>
  <si>
    <t>METROLÍNEA S.A.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</si>
  <si>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</si>
  <si>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Interventoría a la Actualización de los Estudios y Diseños a Fase III y construcción del viaducto de la Carrera Novena y obras complementarias en el Municipio de Bucaramanga. Contrato No. 0348 de 2010</t>
  </si>
  <si>
    <t>Interventoría técnica, administrativa y ambiental para la construcción de tres tramos de infraestructura del Sistema Integrado de Transporte Masivo para el Área Metropolitana de Bucaramanga, sobre la diagonal que entre avenida quebradaseca y el intercambiador de la puerta del sol y la autopista Bucaramanga-Floridablanca, entre el intercambiador de la puerta del sol y el puente provenza del Municipio de Bucaramanga. Contrato No.  001 de 2006</t>
  </si>
  <si>
    <t>Contrato No. 167 de 2006. Interventoría técnica, administrativa, financiera, ambiental, social, de seguridad industrial y salud ocupacional para la construcción de la avenida de los comuneros desde la avenida circunvalar hasta la avenida carrera en Bogotá D.C.</t>
  </si>
  <si>
    <t>CM023P038</t>
  </si>
  <si>
    <t>METROCALÍ S.A.</t>
  </si>
  <si>
    <t>Interventoría técnica, administrativa, financiera, ambiental y social de la construcción del corredor troncal centro y obras complementarias del sistema integrado de transporte masivo de pasajeros de Santiago de Cali, de acuerdo a los siguientes frentes: Frente 3 y Frente 4</t>
  </si>
  <si>
    <t>INSTITUTO PARA EL DESARROLLO DE ANTIOQUIA - IDEA</t>
  </si>
  <si>
    <t>Interventoría de las obras de construcción del puente sobre el río magdalenaentre los municipios de Barrancabermeja (Santander) y Yondó (Antioquia). Puente vehícular en voladizos sucesivos y viaductos de acceso con una longitud total de 919,10 men 16 luces y 17 apoyos, ademas se incluye la construcción de terraplenes de acceso al puente ubicados entre la abscisa K0+00 a K0+586,45 al lado de Barrancabermeja y del K1+505,55 al K2+161 al lado de Yóndo.</t>
  </si>
  <si>
    <t>Control y Vigilancia de la obra: Eje Atlántico de Alta Velocidad Variante de Ordes (a Coruña)</t>
  </si>
  <si>
    <t>Control y Vigilancia de las obras "Proyecto de acondicionamiento de la carretera N-110 (Soria a Plasencia) Tramo. Plasencia-Navaconcejo. Provincia Cáceres.</t>
  </si>
  <si>
    <t>CM023P039</t>
  </si>
  <si>
    <t>P39-01</t>
  </si>
  <si>
    <t>Contrato de Interventoría No. 001 para la primera fase del plan vial del norte del departamento Magdalena</t>
  </si>
  <si>
    <t>P39-02</t>
  </si>
  <si>
    <t>Interventoría técnica, financiera y operativa en las etapas de construcción y operación del contrato de concesión No. 01161 de 2001 carretera Zipaquirá-Palenque/Bucaramanga</t>
  </si>
  <si>
    <t>GOBERNACIÓN DE BOYACÁ</t>
  </si>
  <si>
    <t>Internventoría técnica, administrativa, financiera y ambiental para el mejoramiento y pavimentación del anillo vial turistico de Sugamuxi sector Aquitana-Tota-Cuitiva-Iza-Firavitoba-Panto de Vargas-Departamento de Boyacá</t>
  </si>
  <si>
    <t>Internventoría técnica, administrativa, legal, social y ambiental para la construcción de las siugientes obras a) intersección av. Paseo country (carrera 15), con av Carlos Lleras Restrepo (cll 100) en Bogotá, b) intersección a denivel de la Av. German Arciniegas (cr. 11) por Av. Laureano gomez (cra. 9) en bogotá c) Av. German Arciniegas (cra 11) desde cll 106 hasta av. Laurena Gomez (Carrera 9)en Bogotá</t>
  </si>
  <si>
    <t>Interventoría para la construcción de la Av. Laureano Gomez AK (9) desde Av. San Juan Bosco Ac (170) hasta la Av. Cedritos Ac (147) y construcción de la calzada sur de  la Av. San Jose AC (170) desde la Av. Boyacá hasta Av. Cota Ak (91) correspondientes respectivamente a los codigos de obra 101 y 107 del acuerdo 180 de 2005 de valorización en Bogotá.</t>
  </si>
  <si>
    <t>CM023P040</t>
  </si>
  <si>
    <t>P40-01</t>
  </si>
  <si>
    <t xml:space="preserve">Interventoría técnica, administrativa, financiera, social y ambiental para la revisión y ajuste de los estudios y diseños, y construcción del corredor centro troncal de Aguablanca y obras complementarias del sistema integrado de transporte masivo de pasajeros de Santiago de Cali. </t>
  </si>
  <si>
    <t>SECRETARIA DE OBRAS Y VIAS DEL DEPARTAMENTO DE LA GUAJIRA</t>
  </si>
  <si>
    <t>Interventoría técnica y administrativa de la concesión para la adecuación y/o rehabilitación de la red vial secundaria y terciaria, su operación y mantenimiento en una longitud de 88,5 km. En el departamento de la Guajira</t>
  </si>
  <si>
    <t>Interventoría técnica, legal, administrativa, financiera, y operativa del contrato de concesión No. 070 de 2005 para el diseño, construcción, operación y mantenimiento de la malla vial d la central de abastos s.a. (Corabastos) en la ciudad de Bogotá.</t>
  </si>
  <si>
    <t>VALORIZACI´N DEPARTAMENTAL DEL VALLE</t>
  </si>
  <si>
    <t>Interventoría obra de pavimentación de la vía Darien-Jiguales-Puente Tierra</t>
  </si>
  <si>
    <t>P40-02</t>
  </si>
  <si>
    <t>Interventoría técnica, legal, financiera, administrativa, ambiental, predial y social del proyecto estudios y diseños gestión social predial ambiental construcción del proyecto "Transversal de Boyaca"</t>
  </si>
  <si>
    <t>EMPRESAS PUERTOS DE COLOMBIA</t>
  </si>
  <si>
    <t>Interventoría de las obras de rehabilitación del temrinal maritimo de Buenaventura</t>
  </si>
  <si>
    <t>CM023P41</t>
  </si>
  <si>
    <t>P41-02</t>
  </si>
  <si>
    <t>Alcaldía de Barranquilla</t>
  </si>
  <si>
    <t xml:space="preserve">InterventorÍa a los trabajos de diseño, contruccion, rehabilitacion y mantenimiento de la mmalLa vial del distrito de Barranquilla por el sistema de concesión. </t>
  </si>
  <si>
    <t xml:space="preserve">Transmetro </t>
  </si>
  <si>
    <t xml:space="preserve">Interventoría técnica, administrativa, financiera y ambiental para el mejoramiento integral de vías en las zonas de precarga del sistema de transporte masivo del distrito de Barranquilla y su area metropolitana sistema transmetro, de acuerdo con los plano de intervención de cada uno de los componentes grupo No. 1, 2,3, 4 y 5 </t>
  </si>
  <si>
    <t>NVIAS</t>
  </si>
  <si>
    <t>Interventoria de los estudios y diseños, pavimentacion y/o repavimentacion de las vias incluidas dentro del programa de pavimentacion de infraestructura vial de integracion y desarrollo grupo 2</t>
  </si>
  <si>
    <t xml:space="preserve">Gobernación de Atlantico </t>
  </si>
  <si>
    <t xml:space="preserve">Interventoria de las obras (reconstruccion de los tramos erosionados) de la carretera Guaimaral ( Tubaral) los pocitos ( Galapa) Juan Mina (Barranquilla) en el departamento de Atlantico </t>
  </si>
  <si>
    <t>P41-01</t>
  </si>
  <si>
    <t>Interventoria tecnica, administrativa, financiera y ambiental para el mejoramiento integral de vias en las zonas de precarga del sistema de transporte masivo del distrito de Barranquilla y su area metropolitana sistema transmetro de acuero con los planos de intervencion de cada uno de los componentes grupo No. 1,2,3,4,5</t>
  </si>
  <si>
    <t>Interventoria tecnica, financiera y operativa del contrato de concesion No. 0444 de 1994 Bogota - Villavicencio</t>
  </si>
  <si>
    <t>CM023P42</t>
  </si>
  <si>
    <t>P42-01</t>
  </si>
  <si>
    <t>APORTA EXPERIENCIA DE LA MATRIZ ACI PROYECTOS SAS FOLIO RUP 149</t>
  </si>
  <si>
    <t>METROPLUS S.A.</t>
  </si>
  <si>
    <t>Supervision para la construccion de dos tramos de corredor para el sistema Integrado de Transporte Masivo, Metroplus del Valle de Aburra. Lote 1: calle 30 entre Carreras 70 y 87 y Lote 2 carrera 45 entre calle 67 y 86, incluye la adecuacion de las carreras 44 y 46 entre calles 67 y 93</t>
  </si>
  <si>
    <t>Interventoria tecnica, financiera y operativa en la etapa de operación del Contrato de Concesion No. 0447 de 1994 carretera Santafe de Bogota (Puente el Cortijo) . Siberia - La Punta - El Chuscal - La Vega - Rio Tobia - Villeta con base en el acta de incorporacion del acuerdo conciliatorio suscrito entre la Sociedad Concesionaria Sabana de Occidente y el Instituto Nacional de Concesiones - INCO - dentro del Contrato de Concesion No. 0447 de 1994, suscrita el 10 de enero de 2008. De igual manera debera efectuar la interventoria de las actividades de mantenimiento que se desarrollen durante la vigencia del contrato.</t>
  </si>
  <si>
    <t>Interventoria Tecnica, Administrativa, financiera y ambiental, para las intervenciones integrales a la malla vial local del grupo vial fase II, grupo 2 (Localidades Fontibon, Puente Aranda y Barrios Unidos), con recursos confinados entre el IDU y los Fondos de Desarrollo Local en la ciudad de Bogota D.C.</t>
  </si>
  <si>
    <t>CM023P43</t>
  </si>
  <si>
    <t>P43-02</t>
  </si>
  <si>
    <t>Interventoría técnica, financiera, ambiental y operativa en la etapa de construcción del contrato de Concesión No. 113 de 1997 Desarrollo Vial Armenia - Pereira - Manizales.</t>
  </si>
  <si>
    <t>Interventoría Técnica, Jurídica, Administrativa, Operativa y Financiera al Contrato de Concesión No 0377 de 2002 Concesión “Briceño - Tunja  - Sogamoso” Celebrado Entre el Instituto Nacional de Concesiones y el Consorcio Solarte Solarte.</t>
  </si>
  <si>
    <t xml:space="preserve">Interventoría Técnica, Financiera, Operativa, Predial, Socioambiental y legal del proyecto de Concesion Vial Santa Marta - Riohacha - Paraguachon, en el marco del contrato de concesión 445 de 1194 de conformidad con los terminos de referencia del concurso. </t>
  </si>
  <si>
    <t>P43-01</t>
  </si>
  <si>
    <t xml:space="preserve">INTERVENTORÍA TÉCNICA, ADMINISTRATIVA, LEGAL, FINANCIERA, AMBIENTAL Y SOCIAL DE LAS OBRAS DE CONSTRUCCIÓN Y TODAS LAS ACTIVIDADES NECESARIAS PARA LA EJECUCIÓN DE LA CALLE 26 (AVENIDA JORGE ELIECER GAITÁN) Y LA CARRERA 10a (AV. FERNANDO MAZUELA), AL SISTEMA TRANSMILENIO, DEL TRAMO 3 QUE COMPRENDE LA ADECUACIÓN DE LA CARRERA 10a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 COMPRENDIDOS EN EL GRUPO 3 ENTRE CALLE 26 Y CALLE 19, EN BOGOTÁ D.C., COMPRENDIDOS EN EL GRUPO 3 DE LA LICITACIÓN PUBLICA NUMERO IDU - LP - DG - 022 - 2007  EN BOGOTÁ D.C. </t>
  </si>
  <si>
    <t>EXPERIENCIA APORTADA DE YAMIL MONTENEGRO CALDERON REPRESENTANTE LEGAL</t>
  </si>
  <si>
    <t>CM023P44</t>
  </si>
  <si>
    <t>P44-01</t>
  </si>
  <si>
    <t>ALCALDIA DE MEDELLIN</t>
  </si>
  <si>
    <t>P44-02</t>
  </si>
  <si>
    <t>EN EJECUCION</t>
  </si>
  <si>
    <t>EN EJECUCIÒN</t>
  </si>
  <si>
    <t>CM023P45</t>
  </si>
  <si>
    <t>P45-01</t>
  </si>
  <si>
    <t>SECRETARIA DE INFRAETRUCTURA FISICA DE LA GOBERNACION DE ANTIOQUIA (GERENCIA DE MEGAPROYECTOS DEL DEPARTAMENTO DE ANTIOQUIA)</t>
  </si>
  <si>
    <t>Interventoría de la construcción del Proyecto Conexión Vial Aburrá - Río Cauca (Túnel de Occidente)</t>
  </si>
  <si>
    <t>DEPARTAMENTO DE ANTIOQUIA - DEPARTAMENTO ADMINISTRATIVO DE VALORIZACION</t>
  </si>
  <si>
    <t>Interventoría de la ampliación, rectificación y pavimentación de la carretera Don Matías - Entrerrios - Santa Rosa</t>
  </si>
  <si>
    <t>Interventoría para la terminación de los estudios y construcción del viaducto Cajones y sus acceso PR48+991 al PR49+271 de la carretera Cajamarca - Ibagué, ruta 40 tramo 4003</t>
  </si>
  <si>
    <t>CM023P46</t>
  </si>
  <si>
    <t>P46-01</t>
  </si>
  <si>
    <t>INTERVENTORIA PARA EL MEJORAMIENTO Y PAVIMENTACION DE LA CARRETERA CUCUTA - PAMPLONA - MALAGA RUTA 55, TRAMO 5505, SECTOR PR140+000 AL PR71+680.</t>
  </si>
  <si>
    <t>INTERVENTORÍA AL CONTRATO DE CONCESIÓN NO. 179 DE 2003PARA LA ADECUACIÓN DE LA TRONCAL NQS SECTOR SUR AL SISTEMA TRANSMILENIO, PARA LOS TRAMOS COMPRENDIDOS ENTRE LA CALLE 10 Y LA ESCUELA GENERAL SANTANDER.</t>
  </si>
  <si>
    <t>P46-02</t>
  </si>
  <si>
    <t>INTERVENTORIA DE LOS ESTUDIOS Y DISEÑOS, PAVIMENTACION Y/O REPAVIMENTACION DE LAS VIAS INCLUIDAS DENTRO DEL PROGRAMA DE PAVIMENTACION DE INFRAESTRUCTURA VIAL DE INTEGRACION Y DESARROLLO GRUPO 85 VIA COROZAL BETULIA CON UNA LONGITUD DE 17,3 KILOMETROS VIA TOLU VIEJO VARSOVIA - PALMITO CON UNA LONGITUD DE 7 KILOMETROS EN EL DEPARTAMENTO DE SUCRE</t>
  </si>
  <si>
    <t>REALIZACION DE LA INTERVENTORIA TECNICA Y ADMINISTRATIVA DE LAS OBRAS CORRESPONDIENTES A LA RECONSTRUCCION EN CONCRETO RIGIDO Y FLEXIBLE DE LA PROLONGACION DE LA AVENIDA MURILLO ENTRE LA INTERSECCION CON LA AVENIDA CINCURVALAR Y ACCESO PRINCIPAL DE LA GRAN CENTRAL DE ABASTOS DEL CARIBE</t>
  </si>
  <si>
    <t>INTERVENTORIA PARA LA CONSTRUCCION DEL PARQUE INTERCAMBIADOR VIAL NEOMUNDO Y OBRAS COMPLEMENTARIAS EN EL MUNICIPIO DE BUCARAMANGA - SANTANDER</t>
  </si>
  <si>
    <t>CM023P47</t>
  </si>
  <si>
    <t>P47-02</t>
  </si>
  <si>
    <t>AENA Aeropuertos S.A.</t>
  </si>
  <si>
    <t>Asistencia técnica para el control y vigilancia de la obra pista de vuelo 18R-36L y balizamiento CAT II/III de la pista 18R-36L, calles de rodaje, central eléctrica lado aire fase II en el aeropuerto de Madrid Barajas</t>
  </si>
  <si>
    <t>Ministerio de Fomento</t>
  </si>
  <si>
    <t>Consultoría y asistencia técnica para la realización del control y vigilancia de las obras: Autovía A-63 de Oviedo a la Espina. Tramo: Salas - La Espina (1a calzada)</t>
  </si>
  <si>
    <t>P47-01</t>
  </si>
  <si>
    <t>Aeronáutica Civil - Agencia Nacional de Infraestructura</t>
  </si>
  <si>
    <t>Interventoría operativa, ambiental y de mantenimiento para la concesión de la administración, operación, explotación comercial, mantenimiento, modernización y expansión del aeropuerto internacional El Dorado de la Ciudad de Bogotá D.C.</t>
  </si>
  <si>
    <t>Agencia Nacional de Infraestructura</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</si>
  <si>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</si>
  <si>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CM023P48</t>
  </si>
  <si>
    <t>P48-01</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</si>
  <si>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</si>
  <si>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</si>
  <si>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</si>
  <si>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Interventoria de las obras de pavimantacion de la Carretera Cebadal-Consacá-Sandoná - Pasto.</t>
  </si>
  <si>
    <t>CERTIFICA EXPERIENCIA HIDROESTUDIO, INGENIEROS Y CONSULTORES LIMITADA, ABSORBIDA POR HMV SAS, FOLIOS 158-171</t>
  </si>
  <si>
    <t>CM023P49</t>
  </si>
  <si>
    <t>P49-01</t>
  </si>
  <si>
    <t>Interventoría para el mejoramiento y mantenimiento integral de la ruta caucacia- Sincelejo del corredor vial de occidente (incluido el mantenimiento rutinario, la señalización, el monitoreo y vigilancia y los conteos de transito) Ruta 25 tramo 2513 y 2514</t>
  </si>
  <si>
    <t>Interventoría de las obras de Construcción y pavimentación de la vía alterna interna, sector Piñal (pr3-sena pr4+300) incluyen intersección a desnivel a la altura del Sena ruta 40 tramo 4001</t>
  </si>
  <si>
    <t>P49-02</t>
  </si>
  <si>
    <t>Interventoría que incluye pero no se limita a la Interventoría técnica, financiera, administrativa, jurídica, gestión social, predial y ambiental del proyecto corredor de las Palmeras fase II para el programa de la prosperidad modulo I</t>
  </si>
  <si>
    <t>Alcaldía de Orocure</t>
  </si>
  <si>
    <t>Interventoría técnica , administrativa, financiera y legal de para construcción para la segunda etapa del proyecto de pavimentos en los barrios el centro, la candelaria, escalones, la manga, tierra blanca y unión del municipio de Orocua Departamento de Casanare</t>
  </si>
  <si>
    <t>Interventoría técnica , administrativa, financiera y Ambeintal de Precio global fijo para la construcción de la fase I de la avenida Villavicencio entre avenida Cali a La avenida Tital y para la construcción de la fase I de la avenida Tintal entre Avenida Villavicencio a la Avenida Bosa</t>
  </si>
  <si>
    <t>P49-03</t>
  </si>
  <si>
    <t>Interventoría técnica y administrativa para el mejoramiento de la carretera fuente de oro-  Puerto lleras en el departamento del Meta</t>
  </si>
  <si>
    <t>CM023P50</t>
  </si>
  <si>
    <t>P50-01</t>
  </si>
  <si>
    <t>INTERVENTORIA TECICA, ADMINISTRATIVA, FINANCIERA, LEGARL, SOCIAL Y AMBIENTAL DE LAS OBRAS Y ACTIVIDADES PARA LA MALLA VIAL ARTERIAL, INTERMEDIA Y LOCAL, DE LOS DISTRITIS DE CONSERVACION EN LA CIUDAD DE BOGOTA D.C CORRESPONDIENTE AL GRUPO 1</t>
  </si>
  <si>
    <t>GOBERNACION DE LA GUAJIRA</t>
  </si>
  <si>
    <t>INTERVENTORAI TECNICA, ADMINISTRATIVA, FINANCIERA, AMBIENTAL Y SOCIAL AL CONTRATO DE OBRA PUBLICA NO 382 DE 2012, CUYO OBJETO ES LA CONSTRUCCIÓN DE LA PRIMERA ETAPA DE LAS VIAS PRIORIZADAS EN EL PLAN DEL DEPARTAMENTO DE LA GUAJIRA.</t>
  </si>
  <si>
    <t>P50-03</t>
  </si>
  <si>
    <t>INTERVENTORIA TECNICA, ADMINISTRATIVA, FINANCIERA Y OPERATIVA DEL CONTRATO DE CONCESION PARA LA REHABILITACION, CONSERVACION OPERACIÓN Y EXPLOTACION DE LA RED ATLANTICO.</t>
  </si>
  <si>
    <t>P50-02</t>
  </si>
  <si>
    <t>INTERVENTORIA TECNICA, ADMINISTRATIVA, FINANCIERA, LEGAL, SOCIAL Y AMBIENTAL DE LAS OBRAS Y ACTIVIDADES PARA LA MALLA VIAL ARTERIAL, INTEMEDIA Y LOCAL DE LOS DISTRITOS DE CONSERVACION EN LA CIUDAD DE BOGOTA D.C CORRESPONDIENTE AL GRUPO 3.</t>
  </si>
  <si>
    <t xml:space="preserve"> VJ-VGC-CM-001-2016</t>
  </si>
  <si>
    <t>CM001P01</t>
  </si>
  <si>
    <t xml:space="preserve">SMA S.A.  </t>
  </si>
  <si>
    <t>Gobernación del Magdalena</t>
  </si>
  <si>
    <t>Contrato de Interventoría No 001 de 2007 para la primera fase del plan vial del norte del departamento del Magdalena</t>
  </si>
  <si>
    <t xml:space="preserve">WSP SERVICIOS S.A.S  </t>
  </si>
  <si>
    <t>Instituto Nacional de Concesiones -INCO</t>
  </si>
  <si>
    <t>Interventoría técnica, financiera y operativa en las etapas de construcción y operación del contrato de concesión No 001161 de 2001  carretera Zipaquirá - Palenque/Bucaramanga</t>
  </si>
  <si>
    <t>Gobernación de Boyacá</t>
  </si>
  <si>
    <t>Interventoría técnica, administrativa, financiera y ambiental para el mejoramiento y pavimentación del anillo vial turístico de Sugamuxi sector Aquitania-Tota-Cuitiva-Iza-Firavitoba-Pantano de Vargas. Departamento de Boyacá</t>
  </si>
  <si>
    <t>Instituto de Desarrollo Urbano -IDU</t>
  </si>
  <si>
    <t>Interventoría técnica, administrativa, financiera, legal, social y ambiental para la construcción de las siguientes obras: a) intersección Av. Paseo Country (cr 15) con Av. Carlos Lleras Restrepo (cl100) en Bogotá. B) Intersección a desnivel de la Av. Germán Arciniega (cra11) por Av. Laureano Gómez (cr 9) en Bogotá. C) Av. Germán Arciniega (cr 11) Desde Cl 106 hasta Av. Laureano Gómez (cr 9) en Bogotá</t>
  </si>
  <si>
    <t>Interventoría para la construcción de la Avenida Laureano Gómez Ak (9) desde Av. San Juan Bosco Ac(170) hasta Avenida Cedritos Ac(147) y construcción de la calzada sur de la Avenida San José Ac(170)  desde la Avenida Boyacá hasta Avenida Cota Ak(91)  correspondientes respectivamente a los códigos de obra 101 y 107 del acuerdo 180 de 2005 de valorización en Bogotá</t>
  </si>
  <si>
    <t>CM001P02</t>
  </si>
  <si>
    <t xml:space="preserve">GRUSAMAR INGENIERIA Y CONSULTING SL SUCURSAL </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</si>
  <si>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</si>
  <si>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 xml:space="preserve">JUAN AMADO LIZARAZO </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</si>
  <si>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</si>
  <si>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CM001P03</t>
  </si>
  <si>
    <t>P03-03</t>
  </si>
  <si>
    <t>GESTIÓN INTEGRAL DEL SUELO SUCURSAL COLOMBIA</t>
  </si>
  <si>
    <t>Área de Gobierno de Urbanismo y Vivienda</t>
  </si>
  <si>
    <t>Asistencia técnica para la supervisión de rehabilitación, mantenimiento, acondicionamiento y mejora de las urbanas principales pavimentadas, incluyendo también las redes subterráneas de servicios domiciliarios( abastecimiento de aguas, alcantarillado, gas , energía eléctrica y telefonía)</t>
  </si>
  <si>
    <t>Asistencia técnica para la supervisión control y vigilancia de las obras de rehabilitación, mantenimiento acondicionamiento y mejora de vías urbanas principales pavimentadas, todas ellas pavimentadas con pavimento asfaltico, incluidas sus redes subterráneas de servicios públicos domiciliarios (abastecimiento, alcantarillado, telefonía gas y suministro eléctrico)</t>
  </si>
  <si>
    <t>OMC</t>
  </si>
  <si>
    <t>Control y vigilancia de las obras ronda Sur de León. Tramo: de la N-630 a la A -66. Red arterial de León. Provincia de León. CLAVE: 48-LE-3580-30, 183/03-6: 55/03</t>
  </si>
  <si>
    <t>C&amp;M CONSULTORES S.A.</t>
  </si>
  <si>
    <t>CM001P04</t>
  </si>
  <si>
    <t xml:space="preserve">GEOTECNIA Y CIMIENTOS INGEOCIM S.A.S. </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</si>
  <si>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2005.(SIC)</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</si>
  <si>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</si>
  <si>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TYPSA</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</si>
  <si>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</si>
  <si>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</si>
  <si>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</si>
  <si>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CM001P05</t>
  </si>
  <si>
    <t xml:space="preserve">AFA CONSULTORES Y CONSTRUCTORES S.A </t>
  </si>
  <si>
    <t>Secretaria de Infraestructura Departamento del Magdalena</t>
  </si>
  <si>
    <t>Interventoría del contrato de concesión no 044 de 1993 para la rehabilitación, construcción, mejoramiento, conservación, mantenimiento y operación de la vía barranquilla-Ciénaga, entre abscisas K0+000 al K62+000</t>
  </si>
  <si>
    <t>Alcaldia mayor de Cartagena</t>
  </si>
  <si>
    <t>Interventoría a el contrato de concesión para la construcción y mejoramiento de la vía transversal de Barú</t>
  </si>
  <si>
    <t>Gobernacion del departamento de Magdalena</t>
  </si>
  <si>
    <t>Interventoría de los estudios y diseños definitivos y gestión predial de la doble calzada Ye de Ciénaga-Santa Marta y de la doble calzada de la vía alterna al puerto, sector Quebrada del Doctor- Mamatoco y diseño de las obras complementarias y del espacio publico del plan vial del norte</t>
  </si>
  <si>
    <t>EJECUCION</t>
  </si>
  <si>
    <t>INC GROUP S.A.S.</t>
  </si>
  <si>
    <t>Interventoría técnica, administrativa, legal. Financiera, ambiental y social para la ejecución de la totalidad de las obras de contribución y todas las actividades necesarias para la adecuación de la AC 26 (Av. Jorge Eliecer Gaitán) al sistema transmilenio, en el tramo 3 comprendido entra la TV 76 y la KR 19, Grupo 4 de la licitación publica numero IDU-LP-DG-022-2007 en Bogotá</t>
  </si>
  <si>
    <t>Experiencia aportada a través de matriz</t>
  </si>
  <si>
    <t>MINISTERIO DE FOMENTO (CARRETERAS DEL ESTADO DE MADRID)</t>
  </si>
  <si>
    <t>Inscripcion al contrato de concesion de obras publicas para la consevacion y explotacion de autovias de primera generacion de la autovia A-4 del Sur, del p.k. 9100 al 67.5oo Tramo: Madrid-Ocaña. Red de Carreteras del estado. Provincia de Madrid</t>
  </si>
  <si>
    <t>CM001P06</t>
  </si>
  <si>
    <t xml:space="preserve">INZETT S.A.S.  </t>
  </si>
  <si>
    <t>UAMERV</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</si>
  <si>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</si>
  <si>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J FELIPE ARDILA V &amp; CIA S.A.S.</t>
  </si>
  <si>
    <t>EJECUCIÓN</t>
  </si>
  <si>
    <t>INTERVENTORIA TECNICA, ADMINISTRATIVA, FINANCIERA Y LEGAL DEL CONTRATO DE LAS OBRAS DE MANTENIMIENTO DE LA INFRAESTRUCUTRA DEL SISTEMA DE TRANSPORTE MASIVO DE LA CIUDAD DE BOGOTA</t>
  </si>
  <si>
    <t>CM001P07</t>
  </si>
  <si>
    <t>CM001P08</t>
  </si>
  <si>
    <t>SECRETARIA DE OBRAS Y SERVICIOS DE LA CIUDAD DE MÈXICO</t>
  </si>
  <si>
    <t>SUPERVISIÒN A LA CONSTRUCCIÒN DE LOS PUENTES VEHICULARES FRAY SERVANDO Y AV. DEL TALLER EN EL CRUCE DE FRANCISCO DE PASO Y TRONCOSO Y AV. DEL TALLER</t>
  </si>
  <si>
    <t>MX</t>
  </si>
  <si>
    <t>SUPERVISIÒN PARA LA CONSTRUCCIÒN DEL DISTRIBUIDOR VIAL (PUENTE VEHICULAR) ERMITA IZTAPALAPA EJE 3 ORIENTE, DELEGACIÒN IZTAPALAPA</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</si>
  <si>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</si>
  <si>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INTERVENTORÌA TÈCNICA, ADMINISTRATIVA, FINANCIERA Y AMBIENTAL PARA LAS INTERVENCIONES INTEGRALES A LA MALLA VIAL LOCAL DEL GRUPO VIAL FASE I-GRUPO2 (LOCALIDAD DE SUBA) CON RECURSOS COFINANCIADOS ENTRE EL IDU Y LOS FONDOS DE DESARROLLO LOCAL, EN LA CIUDAD DE BOGOTÀ D.C.</t>
  </si>
  <si>
    <t>ASESORIA E INTERVENTORÌA TÈCNICA, FINANCIERA Y AMBIENTAL PARA LA CONSTRUCCIÒN DE UN TRAMO DE CORREDOR DEL SISTEMA INTEGRADO DE TRANSPORTE MASIVO TRANCARIBE DEL AMPARO A CUATRO VIENTOS CARTAGENA DE INDIAS DT Y C</t>
  </si>
  <si>
    <t>CM001P09</t>
  </si>
  <si>
    <t>ALCALDIA B/QUILLA</t>
  </si>
  <si>
    <t>INTERVENTORÍA A LOS TRABAJOS DE DISEÑO, CONSTRUCCIÓN, REHABILITACIÓN Y MANTENIIENTO DE LA MALLA VIAL DEL DISTRITO DE BARRANQUILLA POR EL SISTEMA DE CONCESIÓN</t>
  </si>
  <si>
    <t>INTERVENTORIA TECNICA, ADMINISTRATIVA, FINACIERA Y AMBIENTAL PARA EL MEJORAMIENTO INTEGRAL DE VIAS EN LAS ZONAS DE PRECARGA DEL SISTEMA DE TRANSPORTE MASIVO DEL DISTRITO DE BARRANQUILLA Y SU AREA METROPOLITANA SISTEMA TRANSMETRO, DE ACUERDO CON LOS PLANOS DE INTERVENCION DE CADA UNO DE LOS COMPONENTES, GRUPO NO. 1,NO. 2,NO. 3,NO. 4 Y NO. 5.</t>
  </si>
  <si>
    <t>CONSULTORIA, ASESORIA E INTERVENTORIA TECNICA Y ADMINISTRATIVA PARA LA REHABILITACIÓN DE LOS SECTORES K18+500 - K25+000 - LORICA DE LA CARRETERA CERETE - LORICA; Y CONSTRUCCIÓN Y PAVIMENTACIÓN DEL SECTOR K2+430 - K12+423 DE LA CARRETERA MONTERIA - PUERTO REY</t>
  </si>
  <si>
    <t>DESARROLLO VIAL TRANSVERSAL DEL SUR. MÓDULO 2. INTERVENTORÍA PARA EL MEJORAMIENTO Y MANTENIMIENTO DEL CORREDOR TUMACO - PASTO - MOCOA</t>
  </si>
  <si>
    <t>CM001P010</t>
  </si>
  <si>
    <t>JOYCO</t>
  </si>
  <si>
    <t>CM001P011</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</si>
  <si>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</si>
  <si>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COSNTRUCCIÓN DE LA AUTOVÌA DE ACCESO A MAZARRÒN DESDE LA AUTOVÌA A-7 AL PK11500T.T.M.M. DE TÒTANA Y MAZARRÒN.</t>
  </si>
  <si>
    <t>Aporta experiencia de la Matriz</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</si>
  <si>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</si>
  <si>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FISCALIZACIÒN DE LAS OBRAS. ASISTENCIA TÈCNICA PARA SUPERVISIÒN, COMPROBACIÒN Y VIGILACIA AMBIENTAL EN LAS OBRAS DE CONSTRUCCIÒN DE LOS ACCESOS AL NUEVO AEROPUERTO DE LA REGIÒN DE MURCIA DESDE LA AUTOVÌA A 30 (MURCIA-CARTAGENA)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</si>
  <si>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</si>
  <si>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EJECUTAR LA INTERVENTORÌA TÈCNICA, ECONÒMICA, FINANCIERA, JURÌDICA, ADMINISTRATIVA, OPERATIVA, MEDIO AMBIENTAL Y SOCIO PREDIAL DEL CONTRATO DE CONCESIÒN BAJO UN ESQUEMA DE ASOCIACIÒN PÙBLICO PRIVADA QUE SE DERIVE DEL PROCESO LICITATORIO  NO VJ-VE-LP-004-2012 CORRESPONDIENTE AL CORREDOR CONCESIONADO "ZIPAQUIRA-BUCARAMANGA (PALENQUE)", DENOMINADO CORREDOR "ZIPAQUIRA-BUCARAMANGA (PALENQUE)".</t>
  </si>
  <si>
    <t>INTERVENTORÌA TÈCNICA, ADMINISTRATIVA, FINANCIERA, LEGAL, SOCIAL Y AMBIENTAL DE LAS OBRAS Y ACTIVIDADES PARA LA MALLA VUAL ARTERIAL, INTERMEDIA Y LOCAL DE LOS DISTRITOS DE CONSERVACIÒN EN LA CIUDAD DE BOGOTÀ D.C. GRUPO 4</t>
  </si>
  <si>
    <t>CM001P012</t>
  </si>
  <si>
    <t>MINISTERIO DE OBRAS PÙBLICAS DE CHILE</t>
  </si>
  <si>
    <t>CONSULTORIA (URBANA E INTERURBANA) DE LA ASESORIA DE INSPECCIÒN FISCAL (INTERVENTORÌA) DE LA CONSTRUCCIÒN DE LA OBRA "CONCESIÒN RUTA 5 TRAMO SANTIAGO-TALCA Y ACCESO SUR A SANTIAGO</t>
  </si>
  <si>
    <t>ASESORIA A LA INSPECCIÒN FISCAL (INTERVENTORÌA) A LA CONSTRUCCIÒN DE LA CONCESIÒN INTERNACIONAL VIAL SANTIAGO -VALPARAISO-VIÑA DEL MAR</t>
  </si>
  <si>
    <t>GEOCONTROL SUCURSAL COLOMBIA</t>
  </si>
  <si>
    <t>ASISTENCIA TÈCNICA (INTERVENTORÌA) Y CONTROL DE LAS OBRAS DE PLATAFORMA DEL NUEVO ACCESO FERROVIARIO AL NORTE Y NOROESTE DE ESPAÑA MADRID-SEGOVIA-VALLADOLID/MEDINA DEL CAMPO. TRAMO COLMENAR VIEJO-SOTO DEL REAL</t>
  </si>
  <si>
    <t>CONSULTORIA ASISTENCIA (INTERVENTORÌA) PARA EL CONTROL Y VIGILANCIA DE LAS OBRAS DEL NUEVO ACCESO FERROVIARIO AL NORTE Y NOROESTE DE ESPAÑA. TRAMO SOTO DEL REAL-SEGOVIA INFRAESTRUCTURA Y VIA. LINEA DE ALTA VELOCIDAD MADRID-SEGOVIA VALLADOLID/MEDIA DEL CAMPO: SOTO DEL REAL-SEGOVIA NOTE NO3</t>
  </si>
  <si>
    <t>CM001P13</t>
  </si>
  <si>
    <t>INSTITUTO DESARROLLO URBANO IDU</t>
  </si>
  <si>
    <t>INTERVENTORIA TÉCNICA, ADMINISTRATIVA, LEGAL, FINANCIERRA Y AMBIENTE DE LA ADECUACION DE LA TRONCAL AMERICAS AL SISTEMA TRANSMILENIO, TRAMO 2 ENTRE LA CARRERA 70B Y BANDERAS, EN BOGOTA D,C,</t>
  </si>
  <si>
    <t>INTERVENTORIA DE LA CONSTRUCCION DE LA AVENIDA CUNDINAMARCA VIA PERIMETRAL DE LA SABANA EN SANTAFE DE BOGOTA SECTOR COMPRENDIDO ENTRE CANOAS Y EL RIO BOGOTA</t>
  </si>
  <si>
    <t>GNC INGENIERIA S.A.S.</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</si>
  <si>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</si>
  <si>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GOBERNACION DEL CASANARE</t>
  </si>
  <si>
    <t>INTERVENTORIA TECNICA ADMINSITRATIVA FINANCIERA LEGAL Y AMBIENTAL PARA LA PAVIMENTACION DE LA VIA YOPAL EL ALGARROBO OROCUE SECTOR LA TURUPA QUEBRADASECA DEL MUNICIPIO DE YOPAL CASANARE</t>
  </si>
  <si>
    <t>INTERVENTORIA TECNICA ADMINSITRATIVA Y FINANCIERA PARA LA A,PLIACION CONSTRUCCION Y PAVIMENTACION DEL ANILLO VIAL VERGANZO SEGUNDA ETAPA DEL MUNICIPIO DE TOCANCIPA</t>
  </si>
  <si>
    <t>CM001P14</t>
  </si>
  <si>
    <t>ARREDONDO MADRID INGENIEROS CIVILES (AIM) LIMITADA</t>
  </si>
  <si>
    <t>NTERVENTORIA TECNICA OPERATIVA Y FINANCIERA DEL CONTRATO DE CONCESION NO. 0275 DE 1996 DESARROLLO VIAL DEL ORIENTE DE MEDELLIN Y VALLE DEL RIO NEGRO Y CONEXIÓN A PUERTO TRIUNFO</t>
  </si>
  <si>
    <t>INGENIERIA INTEGRAL DE OBRAS - INGEOBRAS SAS</t>
  </si>
  <si>
    <t>TRASMILENIO SA</t>
  </si>
  <si>
    <t>INTERVENTORIA TECNICA ADMINSITRATIVA Y FINANCIERA DEL CONTRATO DE LAS OBRAS DE MANTENIMIENTO DE LA INFRAESTRUCTURA DEL SISTEMA DE TRASPORTE MASIVO DE LA CIUDAD DE BOGOTA</t>
  </si>
  <si>
    <t>CM001P15</t>
  </si>
  <si>
    <t>3B PROYECTOS SAS</t>
  </si>
  <si>
    <t>SUPERVISION PARA LA CONSTRUCCION DE DOS TRAMOS DE CORREDOR PARA EL SISTEMA INTEGRADO DE TRASPORTE MASIVO, METROPLUS DEL VALLE DE ABURRA LOTE 1, CALLE 30 ENTRE CARRERAS 70 Y 87 Y LOTE 2 CARRERA 45 ENTRE CALLE 67 Y 86, INCLUYE LA ADECUACION DE LAS CARRERAS 44 Y 46 ENTRE CALLES 67 Y 93</t>
  </si>
  <si>
    <t>INTERVENTORIA TECNICA FINANCIERA Y OPERATIVA EN LA ETAPA DE OPERACIÓN DEL CONTRATO DE CONCESION NO. 447 DE 1994 CARRETERA SANTAFE DE BOGOTA (PUENTE EL CORTIJO) - SIBERIA- LA PUNTA- EL CHUSCAL - LA VEGA- RIO TOBIA- VILLETA CON BASE EN EL ACTA DE INCORPORACION DEL ACUERDO CONCILIATORIO SUSCRITO ENTRE SOCIEDAD CONCESIÓN SABANA DE OCCIDENTE Y EL INCO</t>
  </si>
  <si>
    <t>INTERVENTORIA TECNICA ADMINSITRATIVA FINANCIERA Y AMBIENTAL PARA LAS INTERVENCIONES INTEGRALES A LA MALLA VIAL LOCAL DEL GRUPO VIAL FASE II GRUPO 2 (LOCALIDADES DE FONTIBON, PUENTE ARANDA Y BARRIOS UNIDOS) CON RECURSOS CONFINADOS ENTRE EL IDU Y LOS FONDOSDE DESARROLLO LOCAL EN LA CIUDAD DE BOGOTA</t>
  </si>
  <si>
    <t>CM001P16</t>
  </si>
  <si>
    <t>SEDIC</t>
  </si>
  <si>
    <t>GOBERNACION DE ANTIOQUIA</t>
  </si>
  <si>
    <t>INTERVENTORIA DE LA AMPLIACION RECTIFICACION Y PAVIMENTACION DE LA CARRETERA BOLOMBOLO SANTAFE DE ANTIOQUIA</t>
  </si>
  <si>
    <t>ALCALDIA DE CARTAGENA</t>
  </si>
  <si>
    <t>INTERVENTORIA INTEGRAL TECNICA ADMINISTRATIVA AMBIENTAL Y FINANCIERA DEL PROYECTO VIAL EN CONCESION COREDOR DE ACCESO RAPIDO A LA VARIANTE DE CARTAGENA ALCALDIA MAYOR</t>
  </si>
  <si>
    <t>CONSULTORIA ASESORIA E INTERVENTORIA TECNICA ADMINISTRATIVA DE LAS OBRAS DE PAVIMENTACION DE LOS SECTORES REMOLINO CIUDAD BOLIVAR DE LA CARRETERA AMAGA CIUDAD BOLIVAR Y REMOLINO JARDIN DE LA CARRETERA AMAGA JARDIN</t>
  </si>
  <si>
    <t>CONSULTORIA ASESORIA E INTERVENTORIA TECNICA Y ADMINSITRATIVA A LAS IBRAS DE REHABILTIACION DEL SECTOR OIBA SOCORRO SAN GIL DE LA CARRETERA BARBOSA OIBA BUCARAMANAG</t>
  </si>
  <si>
    <t>CB INGENIEROS</t>
  </si>
  <si>
    <t>INTERVENTORIA TECNICA LEGAL FINANCIERA ADMINISTRATIVA AMBIENTAL PREDIAL Y SOCIAL DEL PROYECTO ESTUDIOS Y DISEÑOS GESTION SOCIAL PREDIAL AMBIENTAL Y MEJORAMIENTO DEL PROYECTO CORREDOR DEL SUR Y MARGINAL DE LA SELVA</t>
  </si>
  <si>
    <t>INTERVENTORIA TECNICA Y ADMINISTRATIVA PARA LA CONSTRUCCION DE LAS VIAS DE ACCESO A BARRIOS EN LA LOCALIDAD DE USME, ASI, ACCESO UE-3 UE-5 BARRIOS ALFONSO Y LOS COMUNEROS, ACCESO UE-6 BARRIOS SERRANIAS, LORENZO ALCANLUZ Y ANTONIO JOSE DE SUCRE Y ACCESO UE-8 BARRIOS EL DANUBIO Y LA FISCALA EN BOG</t>
  </si>
  <si>
    <t>CM001P17</t>
  </si>
  <si>
    <t>SERVINC LTDA</t>
  </si>
  <si>
    <t>POR TRATARSE DE UN CONTRATO DE LA ANI, SE VERIFICA AL INTERIOR DE LA ENTIDAD Y SE TOMO EL VALOR FACTURADO A LA FECHA</t>
  </si>
  <si>
    <t>VQM SAS</t>
  </si>
  <si>
    <t>CM001P18</t>
  </si>
  <si>
    <t>DIEGO FONSECA CHAVES</t>
  </si>
  <si>
    <t>B&amp;C SA</t>
  </si>
  <si>
    <t>CM001P19</t>
  </si>
  <si>
    <t>INTERVENTORIAS Y DISEÑOS S.A.</t>
  </si>
  <si>
    <t>INGENOBRAS SAS</t>
  </si>
  <si>
    <t>INTERVENTORIA TECNICA ADMINSITRATIVA FINANCIERA Y AMBIENTAL A CONTRATOS DE OBRAS MAYORES A EJECUTARSE EN LA VIGENCIA 2011 EN EL DEPARTAMENTO DEL CESAR CON RECURSOS DEL FONDO NACIONAL DE CALAMIDADES SUBCUENTA COLOMBIA HUMANITARIA.</t>
  </si>
  <si>
    <t>CM001P20</t>
  </si>
  <si>
    <t>GETINSA INGENIERIA SL SUCURSAL COLOMBIA</t>
  </si>
  <si>
    <t>CONTROL Y VIGILANCIA DE LAS OBRAS: AUTOVIA A-50 TRAMO: NARROS DEL CASTILLO-PEÑARANDA DE BRACAMONTE. PROVINCIA DE SALAMANCA Y AVILA</t>
  </si>
  <si>
    <t>CONTROL Y VIGILANCIA DE LAS OBRAS: AUTOVIA DE LA PLATA A-66 CARRETERA N-630 DE GUIJON AL PUERTO DE SEVILLA. TRAMO: CALZADA DE VALDUNCIEL - SALAMANCA, PROVINCIA DE SALAMANCA</t>
  </si>
  <si>
    <t>EUROESTUDIOS INGENIEROS DE CONSULTA SA</t>
  </si>
  <si>
    <t>INTERVENTORIA TECNICA, FINANCIERA, OPERATIVA, PREDIAL, SOCIOAMBIENTAL Y LEGAL DEL PROYECTO DE CONCESIÓN MALLA VIAL  DEL VALLE DE DEL CAUCA Y CAUCA</t>
  </si>
  <si>
    <t>ASESORIA E INTERVENTORIA TECNICA, ADMINISTRATIVA Y AMBIENTAL EN LA CONSTRUCCIÓN DE UN TRAMO DE CORREDOR DEL SISTEMA INTEGRADO DE TRANSPORTE MASIVO TRANSCARIBE DESDE CUATRO VIENTOS A BAZURTO EN CARTAGENA DE INDIAS DISTRITO TURISTICO Y CULURAL</t>
  </si>
  <si>
    <t>CM001P21</t>
  </si>
  <si>
    <t>CANO JIMENEZ ESTUDIOS SA</t>
  </si>
  <si>
    <t>INFRAESTRUCTURA INTEGRAL SAS</t>
  </si>
  <si>
    <t>CM001P22</t>
  </si>
  <si>
    <t>MAB INGENIERIA DE VALOR S.A.</t>
  </si>
  <si>
    <t>INTERVENITORIA TECNICA, ADMINISTRATIVA, LEGAL, FINANCIERA, AMIENTAL Y SOCIAL PARA LA EJECUCIÓN DE LAS OBRAS DE CONSTRUCCIÓN Y TODAS LAS ACTIVIDADES NECEARIAS PARA LA ADECUACIÓN DE LA CALLE 26 ( AVENIDA JORGE ELIECER GAITAN) Y DE LA CARRERA 10° ( AVENIDA FERNANDO MAZUERA)</t>
  </si>
  <si>
    <t>INTERVENTORIA PARA EL MEJORAMIENTO Y MANTENIMINETO DE LAS CARRETERAS MEDIA CANOA-ANSERMA NUEVO-LA VIRGINIA, CODIGO 2302 Y MIRANDA-RIO DESBARATADO-PRADERA-PALMIRA, CODIGO 3105, MODULO 1</t>
  </si>
  <si>
    <t>PROYECTOS Y ESTRUCTURAS ESPECIALES S.A</t>
  </si>
  <si>
    <t>INTERVENTORIA TECNICA, ADMINISTRATIVA Y AMBIENTAL PARA LA CONSTRUCCIÓN DE UN TERMINAL DE CONTENEDORES EN EL PUERTO DE BUENAVENTURA</t>
  </si>
  <si>
    <t>PENDIENTE</t>
  </si>
  <si>
    <t>CM001P23</t>
  </si>
  <si>
    <t>AYESA COLOMBIA INGENIERIA Y ARQUITECTURA SAS</t>
  </si>
  <si>
    <t>MINISTERIO DE FOMENTO-DIRECCIÓN GENERAL DE CARRETERAS</t>
  </si>
  <si>
    <t>ASITENCIA TECNICA PARA EL CONTROL Y VIGILANCIA DE LAS OBRAS AUTOVIA DEL MEDITERRANEO CN-340 DE CADIZ Y GIBRALTAR A BARCELONA TRAMO ALMUÑECAR ( LA HERRADURA) - ALMUÑECAR (TARAMAY), PROVINCIA DE GRANADA</t>
  </si>
  <si>
    <t>INTERSA SA</t>
  </si>
  <si>
    <t>INTERVENTORIA TECNICA, AMBIENTAL, LEGAL, ADMINISTRATIVA, PREDIAL, FINANCIERA Y OPERATIVA EN LA ETAPA DE OPERACIÓN DEL CONTRATO DE CONCESIÓN #0849 DE 1995 DESARROLLO VIAL CARRETERA NEIVA-ESPINAL-GIRARDOT</t>
  </si>
  <si>
    <t>INTERVENTORIA PARA EL MEJORAMIENTO Y PAVIMENTACIÓN DE LA CARRETERA FUENTRE DE ORO-PUERTO LLERAS CRUCE PUERTO RICO-PUERTO ARTURO-SAN JOSE DEL GUAVIARE, SECTOR FUENTE DE ORO-PUERTO LLERAS, K0+000 AL K20+000</t>
  </si>
  <si>
    <t>CM001P24</t>
  </si>
  <si>
    <t>JAHVM MCGREGOR SAS</t>
  </si>
  <si>
    <t>UNIDAD ADMINISTRATIVA DE LA AERONAUTICA CIVIL-AEROCIVIL</t>
  </si>
  <si>
    <t>INTERVENTORIA FINANCIERA, CONTRABLE, TRIBUTARIA Y ADMINISTRATIVA PARA LA CONCESIÓN DE LA ASMINISTRACIÓN, OPEREACIPN, EXPLOTACIÓN COMERCIAL, MANTENIMIENTO, MODERNIZACIÓN Y EXPANSIÓN DEL AEROPUERTO INTERNACIONAL EL DORADO DE LA CIUDAD DE BOGOTÁ</t>
  </si>
  <si>
    <t>N.A</t>
  </si>
  <si>
    <t>PROYECTOS CONTRUCCIONES CIVILES Y VIALES LTDA</t>
  </si>
  <si>
    <t>INTEVENTORIA TECNICA Y FINANCIERA EN SUS ETAPAS DE DISEÑO Y PROGRAMACIÓN Y CONSTRUCCIÓN DE LA CONCESIÓN DE LA CARRETERA ESPINAL- NEIVA DEL TRAMO 06 NEIVA CASTILLA Y EL SECTOR CASTILLA - ESPINAL - GIRARDOT LOCALIZACIÓN DE REGIS. TOPOGRAFICOS Y REDES DE INFRAESTRUCTURA</t>
  </si>
  <si>
    <t>INTERVENTORIA DE LAS OBRAS DE CONSTRUCCIÓN Y PAVIMENTACIÓN DE LA VIA ALTERNA INTERNA A BUENAVENTURA SECTOR INTESECCIÓN SENA-VIADUCTO 7 RUTA TRAMI 4001</t>
  </si>
  <si>
    <t>P24-03</t>
  </si>
  <si>
    <t>TOP SUELOS INGENIERIA S.A.S.</t>
  </si>
  <si>
    <t>INTERVENTORIA TERCNICA, LEGAL, FINANCIERA, ADMINISTRATIVA, AMBIENTAL, PREDIAL Y SOCIAL DEL PROYECTO ESTUDIOS Y DISEÑOS, GESTIÓN SOCOAL PREDIAL, AMBIENTAL Y MEJORAMITNO DEL PROYECTO RRANSVERSAL DEL LIBERTADOR</t>
  </si>
  <si>
    <t>INTERVENTORIA TECNICA, ADMINISTRATIVA, FINANCIERA Y AMVBIENTAL A LAS OBRAS DE MEJORAMIENTO, CONSTRUCCIÓN Y PAVIMENTACIÓN DE LA VIA ARAICA-TAME, EN EL SECTOR RIO LIPA (K111+000) Y COROCORO (K131+000) Y ENTRE PUENTE AGUA LIMON (K136+000) Y LA ANTIOQUEÑA (K151+750) MUNICIPIO DE ARAUCA, DEPARTAMENTO DE ARAUCA</t>
  </si>
  <si>
    <t>INTERVENTORIA TECNICA, ADMINISTRATIVA Y AMBIENTAL A LAS OBRAS DE MEJORAMIENTO VIAL MEDIANTE PAVIEMNTACIÓN DE LA TRANSVERSAL TAME.COROCORO-ARAUCA, EN EL SECTOR COMPRENDIDO ENTRE EL K83+250 AL K96+750 (TOMANDO K0+000 MUNICIPIO DE TAME), DEPARTAMENTO DE ARAUCA</t>
  </si>
  <si>
    <t>CM001P25</t>
  </si>
  <si>
    <t>EUROCONTROL SA</t>
  </si>
  <si>
    <t>CONSULTORIA Y ASISTENCIA PARA EL CONTROL Y VIGILANCIA DE LAS OBRAS DE LA AUTOVIA A-50 AVILA-SALAMANCA, EN EL TRAMO PEÑALBA DE AVILA-SAN PEDRO DEL ARROYO (PROVINCIA DE AVILA)</t>
  </si>
  <si>
    <t>CONSULTORIA Y ASISTENCIA PARA EL CONTROL Y VIGILANCIA DE LAS OBRAS DE LA AUTOVIA A-62, EN EL TRAMO: CIUDAD RODRIGO-FUENTES DE OÑORO (PROVINCIA DE SALAMANCA)</t>
  </si>
  <si>
    <t>CONSULTORIA Y ASISTENCIA PARA EL CONTROL Y VIGILANCIA DE LAS OBRAS DE LA AUTOVIA A-34. EN EL TRAMO: CAMBRILS-VARIANTE DE VILASECA (PROVINCIA DE TARRAGONA</t>
  </si>
  <si>
    <t>DEMARTAMENTO DE MAGDALENA</t>
  </si>
  <si>
    <t>INTERVENTORIA AL CONTRATO DE CONCESIÓN No 044 DE 1993 PARA LA REHABILITACIÓN, CONSTRUCCIÓN, MEJORAMIENTO, CONSERVACION, MANTENIMIENTO Y OPERACIÓN DE LA VIA BARRANQUILLA -CIENAGA ENTRE LAS ABCISAS K0+000 AL K62+000</t>
  </si>
  <si>
    <t>CAYCO SAS</t>
  </si>
  <si>
    <t>INTERVENITORIA TECNICA, ADMINISTRATIVA, LEGAL, FINANCIERA, AMIENTAL Y SOCIAL PARA LA EJECUCIÓN DE LAS OBRAS DE CONSTRUCCIÓN Y TODAS LAS ACTIVIDADES NECEARIAS PARA LA ADECUACIÓN DE LA CALLE 26 ( AVENIDA JORGE ELIECER GAITAN) Y DE LA CARRERA 10° ( AVENIDA FERNANDO MAZUERA), AL SISTEMA TRANSMILENIO, EN EL TRAMO 3 COMPRENDIDO ENTRE LA TRANSVERSAL 76 Y LA CARRERA 42B Y EL TRAMO 4 COMPRENDIDO ENTRE LA CARRERA 42B Y LA CARRERA 19, GRUPO 4. DE LA LICITACIÓN PUBLICA IDU-LP-DG-022-2007 EN BOGOTÁ D.C.</t>
  </si>
  <si>
    <t>CM001P26</t>
  </si>
  <si>
    <t>PROGIN SA</t>
  </si>
  <si>
    <t>PROVINCIA DE CROTONE- SECTOR OBRAS PUBLICAS</t>
  </si>
  <si>
    <t>TRABAJOS DE MODERNIZACIÓN DE LA CARRETERA QUE CONECTA LA SS107 CON CRETONEI Y TREPIDO LOTE 1, CERTIFICACIÓN RELATIVA A LA EJECUCIÓN DEL SERVICIO DE PEOYECTO Y SUPERVISIÓN DE TRABAJOS</t>
  </si>
  <si>
    <t>CERTIFICACIÓN DE PRESTAIONES DE INGENIERIA LLEVADAS A CABO POR EL CONSORCIO TPLAV EN EL AMBITO DEL SISTEMA FERROVIARIO ITALIANO DE ALTA VELOCIDAD</t>
  </si>
  <si>
    <t>El valor ejecutado para el contrato no se puede verificar en el certificado; sin embargo, el proponente es hábil.</t>
  </si>
  <si>
    <t>LA INTERVENTORIA TECNICA, ADMINISTRATIVA, FINANCEIRA, SOSCIAL Y AMBIENTAL PARA LA REVISIÓN Y AJUSTE DE LOS ESTUDIIOS Y DISEÑOS Y CONSTRUCCIÓN DEL CORREDOR CENTRO TRONCAL AGUABLANCA Y OBRAS COMPLMENTARIAS DEL SISTEMA INTEGRADO DE TRANSPORTE MASIVO DE PASAJEROS DE SANTIAGO DE CALI</t>
  </si>
  <si>
    <t>INTERVENTORIA TECNICA, LEGAL, ADMINISTRATIVA, FINANCIERA Y OPOERATVA DEL CONTRATO DE CONCESION NO 070 DE 2005, PARA EL DISEÑO CONSTRUCCIÓN, OPERACIÓN Y MANTENIMNETO DE LA MALLA VIAL DE LA CENTRAL DE ABASTOS S.AS ( CORABASTOS) EN LA CIUDAD DE BOGOTÁ</t>
  </si>
  <si>
    <t>INTERVENTORIA TECNICA Y ADMINSITRATIVA DE LA CONCESIÓN PARA LA ADECUACIÓN Y/O REHABILITACIÓN DE LA RED VIAL SECUNDARIA Y TERCIARIA, SU OPERACIÓN Y MANTENIMIENTO EN UNA LONGITUA DE 88.5KM EN EL DEPARTAMENTO DE LA GUAJIRA</t>
  </si>
  <si>
    <t>CM001P27</t>
  </si>
  <si>
    <t>INTERPRO SAS</t>
  </si>
  <si>
    <t>METROLINEA S.A.</t>
  </si>
  <si>
    <t>INTERVENTORIA TECNICA, ADMINISTRATIVA, LEGAL, FINANCIERA Y AMBIENTAL PARA CONSTUCCION DE CUATRO TRAMOS DE INFRAESTRUCTURA DEL SISTEMA INTEGRADO DE TRANSPORTE MASIVO PARA EL AREA METROPOLITANA DE BUCARAMANGA, SOBRE LA CARRERA QUINCE ENTRE LA VIRGEN Y LA AVENIDA QUEBRADASECA, SOBRE LA AUTOPISTA BUCARAMANGA - FLORIDABLANCA, ENTRE EL PUENTE PROVENZA Y EL PUENTE VEHICULAR DE CAÑAVERAL Y PAPI QUIERO PIÑA, SOBRE LA CARRERA VEINTISIETE ENTRE LA UIS Y LA AVENIDA QUEBRADA SECA Y EL PAR VIAL CALLE 10- CALLE 11 DEL MUNICIPIO DE BUCARAMANGA, CONTRATO NO. 002 DE 2006</t>
  </si>
  <si>
    <t>INTERVENTORIA A LA ACTUALIZACION DE LOS ESTUDIOS Y DISEÑOS A FASE III Y CONSTRUCCION DEL VIADUCTO DE LA CARRERA NOVENA Y OBRAS COMPLEMENTARIAS EN EL MUNICIPIO DE BUCARAMANGA, CONTRATO NO. 0348 DE 2010</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</si>
  <si>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</si>
  <si>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ASISTENCIA TECNICA PARA EL CONTROL Y VIGILANCIA DE LA OBRA ZONA DE APOYO A LA NUEVA TERMINAL DEL SUR. AEROPUERTO DE BARCELONA</t>
  </si>
  <si>
    <t>TABASA</t>
  </si>
  <si>
    <t>DIRECCION DE LAS OBRAS DEL CARRIL RESERVADO PARA AUTOBUSES EN LA AUTOPISTA C-56 ENTRE EL NUDO DE RIPOLLET Y LA AVENIDA DE LA MERIDIANA</t>
  </si>
  <si>
    <t>El contrato de orden no. 6 no se encuentra en el RUP, no obstante el proponente queda HABIL.</t>
  </si>
  <si>
    <t>CM001P28</t>
  </si>
  <si>
    <t>CONCOL INGENIERIA SAS</t>
  </si>
  <si>
    <t xml:space="preserve">Interventoría Técnica, Administrativa, Legal, Operativa, Financiera, Predial, Social y Ambiental al Contrato de Concesión No. BGG-040-2004, celebrado entre el Instituto Nacional de Concesiones y la Sociedad Autopista Bogotá - Girardot S.A. </t>
  </si>
  <si>
    <t>19-14</t>
  </si>
  <si>
    <t>Instituto Nacional de Concesiones</t>
  </si>
  <si>
    <t>Interventoría Técnica, Administrativa y Financiera al contrato de Concesión para la rehabilitación, conservación, operación y explotación de la red pacífica (BUENAVENTURA-LA FELISA Y ZARZAL-LA TEBAIDA). Contrato No. 04-0243-0-99</t>
  </si>
  <si>
    <t>14_9</t>
  </si>
  <si>
    <t xml:space="preserve">Transmetro S.A. </t>
  </si>
  <si>
    <t>Interventoría técnica, administrativa, financiera y ambiental para la construcción del Sistema Integrado de Transporte Masivo del Distrito Barranquilla y su área metropolitana, Sistema Transmetro de acuerdo con los planos de intervención de cada uno de lo componentes.</t>
  </si>
  <si>
    <t>62-55</t>
  </si>
  <si>
    <t>Instituto de Desarrollo Urbano - IDU</t>
  </si>
  <si>
    <t>Interventoría técnica, administrativa, financiera, legal, social y ambiental de las obras y actividades para la malla vial arterial, intermedia y local de los distritos de conservación en la ciudad de Bogotá, D.C., correspondiente al grupo No. 4</t>
  </si>
  <si>
    <t>69-62</t>
  </si>
  <si>
    <t>Interventoría Técnica, Administrativa y Financiera al contrato de Concesión para la rehabilitación, conservación, operación y explotación de la red pacífica (BUENAVENTURA-LA FELISA Y ZARZAL-LA TEBAIDA). Contrato No. 035 de 2006</t>
  </si>
  <si>
    <t>16_11</t>
  </si>
  <si>
    <t>Interventoría Técnica y Financiera en sus etapas de Diseño y Programación y de Construcción de la Concesión para el Desarrollo Vial del Oriente de Medellín y Valle de Rionegro y conexión a Puerto Triunfo.</t>
  </si>
  <si>
    <t>13_8</t>
  </si>
  <si>
    <t>CM001P29</t>
  </si>
  <si>
    <t>INGETEC GERENCIA &amp; SUPERVISION SA</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</si>
  <si>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</si>
  <si>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Interventoría técnica, financiera y operativa en la etapa de Construcción del contrato de concesión No. 113 de 1997, proyecto vial Armenia - Pereira - Manizales.</t>
  </si>
  <si>
    <t>Interventoria para el mejoramiento y pavimentacion de la carretera Cucuta - Pamplona - Malaga Ruta 55, Tramo 5505, Sector PR140+000 al PR71+680.</t>
  </si>
  <si>
    <t>ING INGENIERIA SA</t>
  </si>
  <si>
    <t>Interventoría técnica, administrativa, financiera y ambiental para los proyectos de mejoramiento y mantenimiento de la red terciaria en el Departamento de Córdoba Grupo A.</t>
  </si>
  <si>
    <t>Interventoría técnica, administrativa, financiera y ambiental para la construcción  de la conexión calle 80 por autopista norte – Etapa 2, en Bogotá D.C.</t>
  </si>
  <si>
    <t>CM001P30</t>
  </si>
  <si>
    <t>HMV CONSULTORIA SAS</t>
  </si>
  <si>
    <t>Interventoría para el mejoramiento y mantenimiento integral de la Ruta Hatillo (Cruce Don Matías)-Caucasia del corredor vial de occidente (incluido el mantenimiento rutinario, la señalización, el monitoreo y vigilancia y los conteos de transito ) uta 25 Tramo 250, 2511 y 2512</t>
  </si>
  <si>
    <t>Interventoría de la construcción y pavimentación del sector Quebrada las Doradas- Depresión el Vergel- Orrapihuasi de protección, estabilización y drenaje de mas de 20 sitios de taludes inestables</t>
  </si>
  <si>
    <t>Interventoría técnica, administrativa, financiera, legal, social y ambiental para la aplicación de la autopista norte entre las calles 180 a 192 y construcción de las obras complementarias del puente norte de la calle 183 (futura avenida san Antonio) por autopista norte entre carrera 36 y carrera 47 en Bogotá. D.C</t>
  </si>
  <si>
    <t>Supervisión para la construcción parcial de la troncal Medellín para el sistema integrado de transporte masivo, Metro plus del Valle de Aburra, incluyendo las estaciones</t>
  </si>
  <si>
    <t>Interventoría técnica, administrativa, financiera y ambiental para la construcción de la avenida ciudad de Cali desde la transversal 91 hasta el apoche oriental de los puentes vehiculares sobre el Brazo del Humedal Juan Amarillo en Bogotá D.C</t>
  </si>
  <si>
    <t>CM001P31</t>
  </si>
  <si>
    <t>Control y vigilancia de la obra: Eje Atlantico de Alta Velocidad. Variante de Ordes (a Coruña)</t>
  </si>
  <si>
    <t>Control y vigilancia de las obras: "Proyecto de acondicionamiento de la carretera N-110 (Soria a Plasencia). Tramo: Plasencia-Navaconcejo. Provincia Caceres"</t>
  </si>
  <si>
    <t>DICONSULTORIA SA</t>
  </si>
  <si>
    <t>Metrocali S.A.</t>
  </si>
  <si>
    <t>Interventoria técnica, administrativa, financiera, ambiental y social de la construcción del corredor troncal centro y obras complementarias del sistema integrado de transporte masivo de pasajeros de Santiago de Cali, de acuerdo a los siguientes frentes: Frente 3 y Frente 4</t>
  </si>
  <si>
    <t>Instituto Para el Desarrollo de Antioquia-IDEA</t>
  </si>
  <si>
    <t>Interventoría de las obras de construcción del puente sobre el rio magdalena entre los municipios de Barrancabermjea (Santander) y Yondo (Antioquia)</t>
  </si>
  <si>
    <t>CM001P32</t>
  </si>
  <si>
    <t>SONDEOS ESTRUCTURAS Y GEOTECNIA SUCURSAL S.A.</t>
  </si>
  <si>
    <t>INGENIERIA CONSULTORIA Y PLANEACION S.A. INCOPLAN S.A</t>
  </si>
  <si>
    <t>CM001P33</t>
  </si>
  <si>
    <t xml:space="preserve">INGENIERIA DE PROYECTOS SAS.  </t>
  </si>
  <si>
    <t>Interventoría para el mejoramiento y mantenimiento integral de la ruta Buenaventura-Buga del corredor vial del pacifico (incluido el mantenimiento rutinario, la señalización, el monitoreo y vigilancia y los conteos de transito) ruta 40 tramo 4001</t>
  </si>
  <si>
    <t>Interventoría técnica, administrativa financiera y ambiental para el diagnostico, mantenimiento rutinario y periódico de la malla vial complementaria confirmada por el distrito de mantenimiento I de la fase iv corredores viales en Bogotá D.C</t>
  </si>
  <si>
    <t xml:space="preserve">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 </t>
  </si>
  <si>
    <t>Departamento de la Guajira</t>
  </si>
  <si>
    <t>Interventoria tecnica y administrativa para la concesion para la adeciacion y/o rehabilitacion de la red vial secundaria y terciaria du operación y mantenimiento en una longitud de 88,5 km en el departamento de la Guajira</t>
  </si>
  <si>
    <t>EGIS COLOMBIA SAS</t>
  </si>
  <si>
    <t>Delegation generale des Grands Travaux</t>
  </si>
  <si>
    <t>Control y supervicion de los trabajos de acondicionamiento y asfalto de la carretera nacieonal 1 entre Pointe Noire y Dolice</t>
  </si>
  <si>
    <t>CONSULTORES TECNICOS Y ECONOMICOS SA</t>
  </si>
  <si>
    <t>INTERVENTORÍA TÉCNICA, ADMINISTRATIVA, LEGAL, FINANCIERA Y AMBIENTAL PARA LA ADECUACIÒN DE LA TRONCAL NQS AL SISTEMA TRANSMILENIO, TRAMO SUR, SUR ENTRE LA AVENIDA CIUDAD DE VILLAVICENCIO Y EL LÌMITE DEL DISTRITO CON SOACHA, INCLUYE PORTAL Y PATIO EN BOGOTA D.C.</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</si>
  <si>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</si>
  <si>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</si>
  <si>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</si>
  <si>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ALCALDÌA DE MEDELLIN</t>
  </si>
  <si>
    <t>INTERVENTORÌA PARA LA CONSTRUCCIÒN DEL PUENTE DE LA CALLE 4 SUR Y OBRAS COMPLEMENTARIAS</t>
  </si>
  <si>
    <t>CONSULTORES E INTERVENTORES TECNICOS SAS</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</si>
  <si>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</si>
  <si>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</si>
  <si>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ASISTENCIA TÉCNICA PARA LA VILGILANCIA Y CONTROL MEDIOAMBIENTAL DE LAS OBRAS DE NUEVA ALINEACIÓN DEL MUELLE RIVERA I EN EL PTO DE MELILLA</t>
  </si>
  <si>
    <t>INTERVENTORÍA TÉCNICA Y ADMINISTRATIVA PARA LA CONSTRUCCIÓN DE LA TORRE DE CONTROL DEL AEROPUERTO INTERNACIONAL EL DORADO Y CENTRO DE GESTIÓN AERONÁUTICO DE COLOMBIA CGAC. BOGOTÁ</t>
  </si>
  <si>
    <t>PROINTEC COLOMBIA</t>
  </si>
  <si>
    <t>DIRECCIÓN DE OBRA DEL PROYECTO DE CONSTRUCCIÓN DEL SEGUNDO CINTURON DE SAN SEBASTIAN, TRAMO ENLACE DEL URUMEA - ENLACE DE RENTERIA</t>
  </si>
  <si>
    <t>CONSULTORIA Y ASISTENCIA PARA EL CONTROL Y VIGILANCIA DE LA OBRA: NUEVA CARRETERA ENTRE SABIÑANIGO Y FISCAL, VÌA PENAICA N-260 DE FRONTERA FRANCESA (PORT BOU) A SABIÑANIGO</t>
  </si>
  <si>
    <t>ETA SA</t>
  </si>
  <si>
    <t>Contrato No. 167-2006
Interventoría Técnica, Administrativa,  Financiera, Ambiental, Social, de Seguridad industrial y salud ocupacional para la construcciòn de la avenida de los comuneros desde la avenida circunvalar hasta la avenida carrera 9 en Bogotà D.C. de la adecuación de la Troncal Americas al Sistema Transmilenio Trmao 1, entre Puente Aranda y la Carrera 70B, en Bogotá D.C.</t>
  </si>
  <si>
    <t xml:space="preserve">GC&amp;Q INGENIEROS CONSULTORES SAS. </t>
  </si>
  <si>
    <t xml:space="preserve">AGENCIA NACIONAL DE INFRAESTRUCTURA </t>
  </si>
  <si>
    <t xml:space="preserve">Asesoría a la Inspección Fiscal mantenimiento Ruta 5 - Hacienda Toledo, tramo DM 0.000,00 al DM 33.130,00, Provincia de Acatama, Región de Acatama. </t>
  </si>
  <si>
    <t>Aporta exp de la matriz</t>
  </si>
  <si>
    <t>INTERVENTORÍA TÉCNICA, FINANCIERA Y OPERATIVA EN LA ETAPA DE OPERACIÓN DEL CONTRATO DE CONCESIÒN No. 444 DE LA VÌA BOGOTÁ VILLAVICENCIO</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</si>
  <si>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</si>
  <si>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IAR PROYECTOS SAS</t>
  </si>
  <si>
    <t>FONDO DE DESARROLLO LOCAL DE SUBA</t>
  </si>
  <si>
    <t>INTERVENTORÍA TÉCNICA, ADMINISTRATIVA Y FINANCIERA QUE REALICE EL SEGUIMIENTO DE LOS CONVENIOS INTERADMINISTRATIVOS ENTRE EL FONDO DE DESARROLLO LOCAL DE SUBA Y LA UNIDAD ADMINISTRATIVA ESPECIAL DE REHABILITACIÓN Y MANTENIMIENTO VIAL (UMV)</t>
  </si>
  <si>
    <t>INTERVENTORÍA TÉCNICA, ADMINISTRATIVA, FINANCIERA, AMBIENTAL Y SOCIAL PARA LA REHABILITACIÓN DE LOS TRAMOS ROJOS DE LAS VÍAS DE LA MALLA VÍAL ARTERIAL PRINCIPAL Y COMPLEMENTARIA CORRESPONDIENTE AL GRUPO 2</t>
  </si>
  <si>
    <t>INTERVENTORÍA TÉCNICA, ADMINISTRATIVA, FINANCIERA, AMBIENTAL, LEGAL Y SOCIAL A LAS ACTIVIDADES DE MANTENIMIENTO, REHABILITACIÓN, RECONSTRUCCIÓN Y ACCIONES DE MOVILIDAD DE LA MALLA VIAL Y ESPACIO PÚBLICO DE LA LOCALIDAD DE SUBA</t>
  </si>
  <si>
    <t>IV INGENIEROS CONSULTORES SUCURSAL COLOMBIA</t>
  </si>
  <si>
    <t>CELQO SAS</t>
  </si>
  <si>
    <t>ALPHA GRUPO CONSULTOR E INTERVENTOR SAS</t>
  </si>
  <si>
    <t xml:space="preserve">                                         CEMOSA</t>
  </si>
  <si>
    <t>MINISTERIO DE FOMENTO DIRECCION GENERAL DE CARRETERAS</t>
  </si>
  <si>
    <t>Consultoria y asistencia tecnica para el control y vigilancia de las obras autovia del mediterraneo. CN-340 de Cadiz Gibraltar a Barcelona Tramo Ronda Este- Rincon de la Victoria</t>
  </si>
  <si>
    <t>Asistencia tecnica para el control y vigilancia de las obras acceso rural sur al aeropuerto de Malaga</t>
  </si>
  <si>
    <t>INGENIERIA Y DESARROLLO XIMA DE COLOMBIA SAS</t>
  </si>
  <si>
    <t>Asistencia tecnica para el control y vigilancia de las obras autovia del mediterraneo CN-340 de Cadiz Gibraltar a Barcelona Tramo: Algarrobo-Frigiliana (Provincia de Malaga)</t>
  </si>
  <si>
    <t xml:space="preserve">JOSE MANUEL GUARDO POLO </t>
  </si>
  <si>
    <t>Contrato 002-95 Interventoria a las obrasque debera emprender el area metropolitana de Barranquilla para la construccion del puente vehicular y de los intercambios viales localizados en la interseccion de la Calle 45 Murillo con la Avenida Circunvalar</t>
  </si>
  <si>
    <t>Contrato 003-93 Interventoria General (Tecnica, administrativa, financiera y contable) para la reconstruccion de la Calle 17 entre la Carrera 38 y su interseccion con la Calle 30 en el Municipio de Soledad en el Sitio Denominado la Virgencita</t>
  </si>
  <si>
    <t>INSTITUTO NACIONAL DE VIAS-INVIAS</t>
  </si>
  <si>
    <t>Contrato1948-2004 IiNTERVENTORIA PARA EL MEJORAMIENTO Y MANTENIMIENTO INTEGRAL DE LA RUTA Buenaventura Buga del corredor vial del pacifico (Incluido el mantenimiento y rutinario, la señalizacion el monitoreo y vigilancia y los conteos de transito) Ruta 40 Tramo 4001</t>
  </si>
  <si>
    <t>GRUPO POSSO SAS</t>
  </si>
  <si>
    <t>CM001P41</t>
  </si>
  <si>
    <t>LA VIABILIDAD LTDA</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</si>
  <si>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</si>
  <si>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</si>
  <si>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SESAC SA</t>
  </si>
  <si>
    <t xml:space="preserve">
Interventoría técnica, predial, socio-ambiental y legal de la construcción de los tramos capellanía - Zipaquirá, variante portachuelo y otras obras pertenecientes al contrato de concesión no. 0664 de 1994 "desarrollo vial del norte de Bogotá
</t>
  </si>
  <si>
    <t>P41-03</t>
  </si>
  <si>
    <t>SILVIA CARREÑO Y ASOCIADOS SAS</t>
  </si>
  <si>
    <t>Interventoría para el mejoramiento y pavimentacion de la carretera fuente de oro - Puerto Lleras - Cruce Puerto Rico Puerto Araujo - San Jose del Guaviare Sector Fuente de oro - Puerto lleras  k320+000 - k34+000</t>
  </si>
  <si>
    <t>Realizar la interventoría integral que incluye pero no se limita a la interventoría técnica, jurídica, administrativa, financiera, operativa, predial y socio-ambiental del contrato de concesión no. 006 de 2007. Para la concesión área metropolitana de Cúcuta, concesionaria San Simón s.a.</t>
  </si>
  <si>
    <t>P41-04</t>
  </si>
  <si>
    <t>ARENAS DE LA HOZ CONSULTORES S.A.S</t>
  </si>
  <si>
    <t>Interventoría que incluye pero no se limita a la interventoría técnica, financiera, administrativa, jurídica, gestión social, predial y ambiental del proyecto corredor de las palmeras  fase 2 para el programa de la prosperidad – modulo 1</t>
  </si>
  <si>
    <r>
      <t xml:space="preserve">Supervisión o interventoría en proyectos de Infraestructura de Transporte </t>
    </r>
    <r>
      <rPr>
        <b/>
        <u/>
        <sz val="11"/>
        <color indexed="9"/>
        <rFont val="Arial"/>
        <family val="2"/>
      </rPr>
      <t>Vial.</t>
    </r>
  </si>
  <si>
    <t>Como 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supervisión o interventoría que pueda ser Técnica y Financiero, y/o Técnica y Social, y/o Técnica y Ambiental del proyecto.</t>
  </si>
  <si>
    <t>CADA INTEGRANTE (AL MENOS UN CONTRATO CON EL 10% DE LA EXP GENERAL REQUERIDA)</t>
  </si>
  <si>
    <t>INTERVENTORÍA TECNICA, LEGAL, ADMINISTRATIVA, FINANCIERA Y OPERATIVA DEL CONTRATO DE CONCESIÓN NO 070 DE 2005, PARA DISEÑO, CONSTRUCCIÓN, OPERACIÓN Y MANTENIMENTO DE LA MALLA VIAL DE LA CENTRAL DE ABASTOS S.A (CORABASTOS) EN LA CIUDAD DE BOGOTA.</t>
  </si>
  <si>
    <t>€</t>
  </si>
  <si>
    <t>2CM023PO02</t>
  </si>
  <si>
    <t>DISTRITO DE BARRANQUILLA</t>
  </si>
  <si>
    <t>INTERVENTORIA A LOS TRABAJOS DE DISEÑO, CONSTRUCCION, REHABILITACION Y MANTENIMEINTO DE LA MALLA VIAL DE BARRANQUILLA POR EL SISTEMA DE CONCESIÓN</t>
  </si>
  <si>
    <t>Interventoría Técnica, operativa y Financiera del contrato de Concesión No. 0275 de 1996, Desarrollo Vial del Oriente de Medellín y Valle de Rio negro y conexión a Puerto Triunfo</t>
  </si>
  <si>
    <t>Interventoría Técnica, Financiera y operativa en la etapa de operación del contrato de Concesión No. 0275 de 1996 Devimed</t>
  </si>
  <si>
    <t>Interventoría técnica, financiera, operativa predial, socio ambiental y legal del proyecto concesión Malla Vial del valle del Cauca y Cauca</t>
  </si>
  <si>
    <t>Si</t>
  </si>
  <si>
    <t>Control y vigilancia (supervisión) de las obras: Autovía A-50 Avila - Salamanca Tramo: San Pedro del Arroyo - Chaherrero</t>
  </si>
  <si>
    <t>Instituto Nacional de Vias - INVIAS</t>
  </si>
  <si>
    <t>Interventoria para el mejoramiento y la pavimentación de la carretera Santa Cecilia - Pueblo Rico - Apia</t>
  </si>
  <si>
    <t>Interventoria al contrato de Concesion No. 106 del 5 de junio de 2003 para la adecuacion de  la troncal NQS sector norte comprendido entre el tramo comprendido entre la calle 92 y la calle 68</t>
  </si>
  <si>
    <t>Supervision tecnica y de control administrativo y financiero para la construccion del puente que conectara a la calzada Ignacio Zaragoza con la Autopista Mexico - Puebla, con una gaza de incorporación a la calzada ermita Iztapalpa</t>
  </si>
  <si>
    <t>Supervision de la contrucción del distribuidor vial San Antonio en los tramos IV, V y VI</t>
  </si>
  <si>
    <t>Interventoria tecnica, financiera, operativa predial, socio ambiental y legal del proyecto concesion Malla Vial del valle del Cauca y Cauca - MVVCC, en el marco del contrato de Concesion 005 de 1999.</t>
  </si>
  <si>
    <t>Interventoria integral que incluye pero no se limita a la interventoria, financiera, administrativa, técnica, legal-operativa, ambiental y de seguridad del contrato de Concesiona No. 10000078-ok 2010, cuyo objeto es la concesion de las terminales aeropuertos de nororiente.aeropuertos camilo daza de Cucuta, Palonegro de Bucaramanga, yARIGUIES de Barrancabermeja, Alfonso Lopez de Valledupar, Simon Bolivar de SantaMarta y Almirante Padilla de Santa Marta</t>
  </si>
  <si>
    <t>Secretaria de comunicaciones y transporte subsecretaria de infraestructura</t>
  </si>
  <si>
    <t>Gobernación del estado de San Luis de Potosi</t>
  </si>
  <si>
    <t>Ingeniero independiente (supervisión) para la construcción de la nueva autopista concesionada cerritos entronque aTula en el estado de San Luis de Postosi</t>
  </si>
  <si>
    <t>INTERVENTORÍA INTEGRAL QUE INCLUYE PERO NO SE LIMITA A LA INTERVENTORÍA TÉCNICA, FINANCIERA, CONTABLE, ADMINISTRATIVA, JURÍDICA, MEDIOAMBIENTAL Y SOCIO-PREDIAL, AL CONTRATO DE CONCESIÓN SUSCRITOS POR EL INCO, HOY POR LA AGENCIA NACIONAL DE INFRAESTRUCTURAS, AL CONTRATO DE CONCESIÓN No.113 DE 1997, Y DEMÁS DOCUMENTOS QUE LO MODIFIQUEN, ADICIONEN O COMPLETEN, PARA LA CONCESIÓN - DESARROLLO VIAL ARMENIA – PEREIRA – MANIZALES</t>
  </si>
  <si>
    <t>Se constato con la supervisión del contrato que el porcentaje de participación corresponde efectivamente al 75%.</t>
  </si>
  <si>
    <t>ALCALDIA SANTIAGO DE CALI</t>
  </si>
  <si>
    <t>Interventoria Administrativa, Tecnica, Financiera, Social, Ambiental y Legal del contrato de Concesion No. 146 de 2003 para ala Adecuacion de la Troncal de la Avenida Suba al Sistema Transmilenio, para el tramo No. 2: Comprendido entre la Calle 127 A y la Avenida Ciudad de Cali, en Bogota D.C</t>
  </si>
  <si>
    <t>Interventoría integral del contrato de Concesión que incluye pero no se limita a la interventoría técnica, financiera, contable, jurídica, medio ambiental, socio predial, operativa y administrativa del contrato de Concesión No. 007 de 2007</t>
  </si>
  <si>
    <t>Interventoría integral del contrato de Concesión que incluye pero no se limita a la interventoría técnica, financiera, contable, jurídica, medio ambiental, socio predial, administrativa, de seguros, operativa y de mantenimiento del contrato de Concesión No. 008 de 2007 y demás documentos que lo modifiquen adicionen o complementen para la Concesión vial Ruta Caribe, asi como regular los términos y condiciones bajo los cuales la AGENCIA pagará al interventor de forma mensual la contraprestación ofrecida por el Interventor y aceptada por la AGENCIA durante el Concurso de Méritos abiertos consistentes en una suma global fija.</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</si>
  <si>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Tobiagrande/Villeta-El Koran.</t>
  </si>
  <si>
    <t>Interventoría para el mejoramiento y mantenimiento de las carreteras mediacanoa-ansermanuevo-la Virginia, código 2302 y miranda-rio desbaratado-palmira. código 3105</t>
  </si>
  <si>
    <t>Interventoría de las obras de pavimentación de la carretera Cebadal-Consaca-Sandona-Pasto</t>
  </si>
  <si>
    <t>AUTORIDAD PORTUARIA DE MELILLA. MINISTERIO DE FOMENTO</t>
  </si>
  <si>
    <t>UNIDAD ADMINISTRATIVA ESPECIAL DE AERONAUTICA CIVIL</t>
  </si>
  <si>
    <t xml:space="preserve">Interventoría Técnica, Financiera, Contable, Jurídica, Administrativa, Operativa, Ambiental y Socio – Predial del Contrato de Concesión No 113 de 1997 Concesión Armenia – Pereira – Manizales - La Paila. Contrato 375 de 2013 </t>
  </si>
  <si>
    <t>Por tratarse de un contrato de la ANI, se verifica al interior de la entidad el valor facturado a la fecha (diciembre).</t>
  </si>
  <si>
    <t>Contrato No. 274-2002
Interventoría Técnica, Administrativa,Legal,  Financiera y Ambiental de la adecuación de la Troncal Americas al Sistema Transmilenio Tramo 1, entre Puente Aranda y la Carrera 70B, en Bogotá D.C.</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</si>
  <si>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t>
  </si>
  <si>
    <t>SE SEPARA EL CONTRATO NUMERO 3. DE MANERA INDEPENDIENTE DE ACUERDO AL PLIEGO DE CONDICIONES Y CONFORME LO INDICADO POR EL PROPONENTE.</t>
  </si>
  <si>
    <t>Control de vigilancia de las obras: Línea Valencia - Tarragona. Tramo: Las Palmas-Oropesia. Vía y electrificación, instalaciones de seguridad y comunicaciones, estación de Benicassim e integración urbana del ferrocarril en las proximidades de la estación Orpresa</t>
  </si>
  <si>
    <t>GOBERNACIÓN DEL VALLE</t>
  </si>
  <si>
    <t>Interventoría técnica, administrativa y finacniera del proyecto de rehabilitación vial del Departamento del Valle del Cauca aprobados por Colombia Humanitaria que comprende las siguientes obras: rehabilitación de la vía Jamundi-Rio Claro-Timba (tramo 2)</t>
  </si>
  <si>
    <t>Interventoría de las obras de construcción y pavimentación de la vía alterna interna a Buenaventura, sector Víaducto K7-intersección Citronela, Ruta 40 tramo 4001</t>
  </si>
  <si>
    <t>Interventoría técnica, operativa y financiera del contrato de concesión No. 0849/95, carretera Neiva-Espinal-Girardot (incluye la interventoría de obras complementarias adicionales autorizadas al concesionario):</t>
  </si>
  <si>
    <t>CM023P041</t>
  </si>
  <si>
    <t>Interventoria, asesoria tecnica y administrativa para las obras de ampliacion rectificicacion y pavimentacion de la via Pore - Trinidad Sector K17+000 a Trinidad, Departamento de Casanare</t>
  </si>
  <si>
    <t>Interventoria tecnica, financiera y operativa del contrato de Concesion No. 0444 de 1994 Bogota - Villavicencio.</t>
  </si>
  <si>
    <t>CM023P042</t>
  </si>
  <si>
    <t>Supervision para la construccion de dos tramos de corredor para el sistema integrado de transporte masivo, metroplus del valle de Aburra. Ote 1: calle 30 entre carreras 70 y 87 y lote 2 carrera 45 entre calle 67 y 86, uncluye la adecuacion de las carreras 44 y 46 entre calle 67 y 93</t>
  </si>
  <si>
    <t>P42-02</t>
  </si>
  <si>
    <t>P42-03</t>
  </si>
  <si>
    <t>Asesoria e Interventoria tecnica, administrativa y ambiental en la construccion de un tramo de corredor del sistema Integrado de Transporte Masivo Transcaribe desde cuatro vientos a Bazurto en Cartagena de Indias Distrito Turistico y Cultural</t>
  </si>
  <si>
    <t>P42-04</t>
  </si>
  <si>
    <t>CM023P043</t>
  </si>
  <si>
    <t>Interventoría Técnica, Financiera, Operativa, Predial, Socioambiental y legal del proyecto de Concesion Vial Santa Marta - Riohacha - Paraguachon, en el marco del contrato de concesión 445 de 1194 de conformidad con los terminos de referencia del concurso.</t>
  </si>
  <si>
    <t xml:space="preserve">Interventoria tecnica, financiera, operativa, predial, socio-ambiental, predial y socio-ambiental del proyect concesion vial VILLAVICENCIO -GRANADA, VILLAVICENCIO - PUERTO LOPEZ Y VILLAVICENCIO - CUMARAL - K7 VIA PARATEBUENO DENOMINADO CARRETERAS NACIONALES DEL META, en el marco del contrato de concesion No. 0446/94. </t>
  </si>
  <si>
    <t>CM023P044</t>
  </si>
  <si>
    <t>ALCALDIA MEDELLIN</t>
  </si>
  <si>
    <t>CM023P045</t>
  </si>
  <si>
    <t>DEPARTAMENTO DE ANTIOQUIA - GERENCIA DE PROYECTOS ESTRATEGICOS, ANTES GERENCIA DE CONCESIONES</t>
  </si>
  <si>
    <t>Interventoria tecnica y financiera durante las etapas de diseño y construccion de la concesion para el desarrillo vial del Aburrà (Doble Calzada Niquìa - El Hatillo).</t>
  </si>
  <si>
    <t>Interventoria Integral del Contrato de Concesiòn, que incluye pero no se limita a la Interventoria Tecnica, financiera, operativa, contable, juridica, medioambiental, socio predial, administrativa, del Contrato de Concesion No003 de 2006, incluido el "alcance opcional - Tunel Daza, segun el modificatorio No 1 del 28 de diciembre de 2007 y demas documentos que lo modifiquen, adicionen o complementen para la Concesion "Rumichaca - Pasto - Chagui - Aeropuerto". Concesionaria Desarrollo Vial de Nariño S.A., asì como regular los terminos y condiciones bajo los cuales la AGENCIA pagara al Interventoria de forma mensual la contraprestacion ofrecida por el Interventor y aceptada por la AGENCIA durante el Concurso de Meritos Abierto por la AGENCIA durante el Concurso de Meritos Abierto conssitente en una suma global fija.</t>
  </si>
  <si>
    <t>GERENCIA DE MEGAPROYECTOS DEL DEPARTAMENTO DE ANTIOQUIA</t>
  </si>
  <si>
    <t>CM023P046</t>
  </si>
  <si>
    <t>INTERVENTORÍA TECNICA, ADMINISTRATIVA, LEGAL, FINANCIERA, AMBIENTAL Y SOCIAL AL CONTRATO DE CONCESIÓN NO. 179 DE LA ADECUACIÓN DE LA TRONCAL NQS SECTOR SUR AL SISTEMA TRANSMILENIO, TRAMO 1.</t>
  </si>
  <si>
    <t>INTERVENTORIA DE LOS ESTUDIOS Y DISEÑOS, PAVIMENTACION Y/O REPAVIMENTACION DE LAS VIAS INCLUIDAS DENTRO DEL PROGRAMA DE PAVIMENTACION DE INFRAESTRUCTURA VIAL  DE INTEGRACIONY DESARROLLO GRUPO 85 VIA COROZAL BETULIA CON UNA LONGITUD DE 17,3 KILOMETROS VIA TOLU VIEJO NARSOVIA - PALMITO CON UNA LONGITUD DE 7 KILOMETROS EN EL DEPARTAMENTO DE SUCRE</t>
  </si>
  <si>
    <t>CM023P047</t>
  </si>
  <si>
    <t>Instituto Nacional de Vias - Invias</t>
  </si>
  <si>
    <t>Interventorías para el mejoramiento y mantenimiento del corredor Tumaco-Pasto Mocoa</t>
  </si>
  <si>
    <t>"Consultoría y asistencia para la realización del control y vigilancia de las obras: Autovía A-66 ruta de la plata carretera N-630 de Gijón al puerto de Sevilla. Tramo: Morales del Vino- Corrales provincia de Zamora"</t>
  </si>
  <si>
    <t>"Consultoría y asistencia para el control y vigilancia de las obras (Interventoría): Eje Atlántico de alta velocidad. Variante de Portas(Pontevedra). Tramo II: Portas- Vila García de Arrousa. Plataforma y vía. Supresión de P.N. en la R.F. de Galicia. Línea Monforte - Vigo, Pk 33/307, 35/347, 36/289 y 37/908 del Municipio de Coles (Orense)"</t>
  </si>
  <si>
    <t>Interventoría técnica administrativa, financiera, ambiental, operativa y juridica Concesión portuaria No. SEA-015</t>
  </si>
  <si>
    <t>CM023P048</t>
  </si>
  <si>
    <t>CM023P049</t>
  </si>
  <si>
    <t xml:space="preserve">REALIZAR LA INTERVENTORÍA INTEGRAL QUE INCLUYE PERO NO SE LIMITA A LA INTERVENTORÍA TÉCNICA,JURIDICA, ADMINISTRATIVA, FINANCIERA, OPERATIVA, PREDIAL Y SOCIO-AMBIENTAL, AL CONTRATO DE CONCESIÓN NO 006 DE 2007 PARA LA CONCESION AREA METROPOLITANA DE CUCUTA CONCESIONARIA SAN SIMON S.A </t>
  </si>
  <si>
    <t>CM023P050</t>
  </si>
  <si>
    <t>Gobernacion de Boyaca</t>
  </si>
  <si>
    <t>Gobernacion del Magdalena</t>
  </si>
  <si>
    <t>Contrato de interventoría No 001 de 2007 para la primera fase del plan vial del norte del departamento del Magdalena</t>
  </si>
  <si>
    <t>Area de Gobierno de Urbanismo y Vivienda</t>
  </si>
  <si>
    <t>Control y vigilancia de las obras ronda Sur de Leon. Tramo: de la N-630 a la A -66. Red arterial de Leon. Provincia de Leon. CLAVE: 48-LE-3580-30, 183/03-6: 55/03</t>
  </si>
  <si>
    <t xml:space="preserve">Consejeria de Transportes e Infraestructuras de la Comunidad de Madrid.  </t>
  </si>
  <si>
    <t>INTERVENTORÌA PARA EL MEJORAMIENTO Y LA PAVIMENTACIÒN DE LA CARRETERA SANTA CECILIA-PUEBLO RICO-APIA RUTA 5003</t>
  </si>
  <si>
    <t>INTERVENTORÌA AL CONTRATO DE CONCESIÒN N 106 DEL 5 DE JUNIO DE 2003 PARA LA ADECUACIÒN DE LA TRONCAL NQS SECTOR NORTE TRAMO NQS SECTOR NORTE TRAMO COMPRENDIDO ENTRE EL TRAMO COMPRENDIDO ENTRE LA CALLE 92 Y LA CALLE 68</t>
  </si>
  <si>
    <t>SUPERVISIÒN TÉCNICA Y DE CONTROL ADMINISTRATIVO Y FINANCIERO PARA LA CONSTRUCCIÒN DEL PUENTE QUE CONECTARÀ A LA CALZADA IGNACIO ZARAGOZA CON LA AUTOPISTA MÈXICO PUEBLA CON UNA GAZA DE INCORPORACIÒN A LA CALZADA ERMITA IZTAPALAPA</t>
  </si>
  <si>
    <t>SUPERVISIÒN DE LA CONSTRUCCIÒN DEL DISTRIBUIDOR VIAL SAN ANTONIO EN LOS TRAMOS IV, V Y VI</t>
  </si>
  <si>
    <t xml:space="preserve">LA FECHA DE FINALIZACIÒN DEL CONTRATO CORRESPONDE AL 30 DE AGOSTO DE 2003 SEGÙN CERTIFICACIÒN ANEXA. </t>
  </si>
  <si>
    <t>CM001P10</t>
  </si>
  <si>
    <t>CM001P11</t>
  </si>
  <si>
    <t>CM001P12</t>
  </si>
  <si>
    <t>INTERVENTORÌA INTEGRAL DEL CONTRATO DE CONCESIÒN QUE INCLUYE PERO NO SE LIMITA A LA INTERVENTORÌA TÈCNICA, FINANCIERA, CONTABLE, JURÌDICA, MEDIO AMBIENTAL, SOCIO PREDIAL, OPERATIVA Y ADMINISTRATIVA DEL CONTRATO DE CONCESIÒN NO 007 DE 2007</t>
  </si>
  <si>
    <t>ASESORIA A LA INSPECCIÒN FISCAL (INTERVENTORÌA) A LA CONCESIÒN INTERNACIONAL SISTEMA NORTE -SUR, EJE GENERAL VELÀSQUEZ, REGIÒN METROPOLITANA</t>
  </si>
  <si>
    <t>INTERVENTORIA TÉCNICA, ADMINISTRATIVA, LEGAL, FINANCIERRA SOCIAL Y AMBIENTAL PARA LA CONSTRUCCION REHABILITACION Y CONSERVACION DE VIAS PARA RUTAS ALIMENTARIAS DEL SISTEMA YT TRASMILENIO ZONA 4 GRUPO 1 EN BOGOTA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</si>
  <si>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</si>
  <si>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DAPRE-FONDO DE PROGRAMAS ESPECIALES PARA LA PAZ</t>
  </si>
  <si>
    <t>INTERVENTORIA ADMINSITRATIVA TECNICA FINANCIERA Y AMBIENTAL PARA LAS OBRAS DE MEJORAMIENTO REHABILITACION Y RECUPERACION DE LA VIA QUE DEL MUNICIPIO DE ATACO CONDUCE AL MUNICIPIO DE PLANADAS EN EL SUR DEL DEPARTAMENTO DEL TOLIMA</t>
  </si>
  <si>
    <t>INTERVENTORIA INTEGRAL DEL CONTRATO DE CONCESION NO. 008 DE 2010 CUYO OBJETO ES EL OTORGAMIENTODE UNA CONCESION PARA UN CONCESIONARIO REALICE POR SU CUENTA Y RIESGO LAS OBRAS NECESARIAS PARA LA CONSTRUCCION REHABILITACION AMPLIACION MEJORAMIENTO Y CONSERVACION SEGUN CORRESPONDA DEL PROYECTO VIAL TRASVERSAL DE LAS AMERICAS Y LA PREPARACION DE LOS ESTUDIOS Y DISEÑOS DEFINITIVOS LA GESTION PREDIAL SOCIAL Y AMBIENTAL LA OBTENCION Y/O MODIFICACION DE LICENCIAS AMBIENTALES LA FINANCIACION LA OPERACION Y EL MANTENIMIENTO DE LAS OBRAS EN EL CORREDOR VIAL TRASVERSAL DE LAS AMERICAS SECTOR 1 DENOMINADO CORREDOR VIAL DEL CARIBE</t>
  </si>
  <si>
    <t>INTERVENTORIA TECNICA OPERATIVA Y FINANCIERA DEL CONTRATO DE CONCESION NO. 0275 DE 1996 DESARROLLO VIAL DEL ORIENTE DE MEDELLIN Y VALLE DEL RIO NEGRO Y CONEXIÓN A PUERTO TRIUNFO</t>
  </si>
  <si>
    <t>INTERVENTORIA TECNICA FINANCIERA YOPERATIVA EN LA ETAPA DE OPERACIÓN DEL CONTRATO DE CONCESION NO. 0275 DE 1996 DEVIMED</t>
  </si>
  <si>
    <t>Se ajusto el porcentaje de participacion en el contrato.</t>
  </si>
  <si>
    <t>INTERVENTORIA TECNICA ADMINISTRATIVA FINANCIERA Y AMBIENTAL DEL PROYECTO PARA EL MEJORAMIENTO Y PAVIMENTACION DE LA TRONCAL DEL CARIBE, TRAMO SAN JUAN DE URABA NECOLI SECTOR SAN JUAN DE URABA MULATOS</t>
  </si>
  <si>
    <t>INTERVENTORIA TECNICA ADMINSITRATIVA Y FINANCIERA DEL CONTRATO DE LAS OBRAS DE MANTENIMIENTO DE LA INFRAESTRUCTURA DEL SISTEMA DE TRASPORTE MASIVO DE LA CIUDAD DE BOGOTA D.C</t>
  </si>
  <si>
    <t>INTERVENTORIA PARA EL MANTENIMIENTO Y REHABILITACION DE LA CARRETERA TASIDO - DABEIBA RUTA 62 TRAMO 6202 DEL PR67+0680 AL PR 112+0862 EN EL DEPARTAMENTO DE ANTIOQUIA MODULO 1</t>
  </si>
  <si>
    <t>SE AJUSTA EL PORCENTAJE DE PARTICIPACION EN EL CONTRATO</t>
  </si>
  <si>
    <t>INSTITUTO INFRAESTRUCTURA Y CONCESIONES DE CUNDINAMARCA</t>
  </si>
  <si>
    <t>INTERVENTORIA TECNICA ADMINISTRATIVA FINANCIERA SOCIAL AMBIENTAL Y LEGAL AL CONTRATO DE CONCESION NO. 146 DE 2003 PARA LA ADECUACION DE LA TRONCAL AVENIDA SUBA AL SISTEMA TRASMILENIO PARA EL TRAMO 2 COMPRENDIDO ENTRE LA CALLE 127A Y LA AV. CIUDAD DE CALI EN BOGOTA D.C.</t>
  </si>
  <si>
    <t>CONTRATO DE ASISTENCIA TECNICA DE CONTROL Y VIGILANCIA DE LA OBRA: AUTOVIA A-50 AVILA-SALAMANCA. TRAMO: SAN PEDRO DEL ARROYO - CHAHERRERO</t>
  </si>
  <si>
    <t>AGENCIA NACIONAL DE INFRAESTRUCTURA  - ANI</t>
  </si>
  <si>
    <t>INTERVENTORIA INTEGRAL DEL CONTRATO DE CONCESIÓN, QUE INCLUYE PERO NO SE LIMINTA A LA INTERVENTORIA TECNICA, FINANCIERA, CONTABLE, JURIDICA, MEDIO-AMBIENTAL, SOCIO-PREDIAL, ADMINISTRATIVA, DE SEGUROS, OPERATIVA Y DE MANTENIMIENTO DEL CONTRATO DE CONCESIÓN, EL CUAL HACE PARTE DEL PROTECTO VIAL RUTA DEL SOL Y QUIE CORRESPONDE AL SECTOR 1 COMPRENDIDO ENTRE TOBIA GRANDE / VILLETA - EL KORAN</t>
  </si>
  <si>
    <t>ASISTENCIA TECNICA PARA EL CONTROL Y VIGILANCIA DE LAS OBRAS CONVERSIÓN EN AUUTOVÍA, A-48, PK 27,700 AL 35,800 TRAMO: CONIL DE LA FRONTERA VEJER DE LA FRONTERA, PROVINCIA DE CADIZ</t>
  </si>
  <si>
    <t>ASISTENCIA TECNICA PARA EL CONTROL Y VIGILANCIA DE LAS OBRAS: DUPLICACIÓN DE LA A-4, PK 664,8, AL 671,8. TRAMO: FONAL DE LA VARIANTE DE PUERTO REAL-TRES CAMINOS (CADIZ)</t>
  </si>
  <si>
    <t>EAENA AEROPUERTOS</t>
  </si>
  <si>
    <t>ASISTENCIA TECNICA PARA EL CONTROL Y VIGILANCIA DE LA OBRA: AMPLIACIÓN CAMPO DE VUELOS EN EL AEROPUERTO DE VALENCIA</t>
  </si>
  <si>
    <t>CONSULTORIA Y ASESORIA E INTERVENTORIA TECNICA Y ADMINISTRATIVA DE LAS OBRAS DE REHABILITACIÓN DEL SECTOR RIO ARIGUANI - FUNDACIÓN, CONSTRUCCIÓN Y PAVIMENTACIÓN DE LA VARIANTE DE FUNDACIÓN Y DE LA REHABILITACIÓN DEL SECTOR BOSCONIA-RIO ARIGUANI DE LA CARRETERA BUCARAMANGA-SANTA MARTA</t>
  </si>
  <si>
    <t>Se solicita aclarar el valor del certificado, indicando la conversión realizada por el proponente y la sección del certificado de la cual se extrae.</t>
  </si>
  <si>
    <t>INTERVENTORIA TECNICA, FINANCIERA, CONTABLE, JURIDICA, ADMINISTRATIVA, OPERATIVA, AMBIENTAL Y SOCIO-PREDIAL DEL CONTRATO DE CONCESION No. 113 de 12997 CONCESION ARMENIA-PEREIRA-MANIZALES-LA PAILA. CONTRATO 375 DE 2013</t>
  </si>
  <si>
    <t>Interventoria tecnica, juridica, administrativa, operativa y financiera al contrato de concesiòn No. 005 de 2007 Concesiòn area Metropolitana de Cucuta y Norte de Santander celebrado entre el Instituto Nacional de Concesiones y la Concesionaria San Simon s.a.</t>
  </si>
  <si>
    <t>Interventoría técnica, operativa y financiera en la etapa de operación del contrato de concesión 503 de 1994, carretera Cartagena-Barranquilla. Incluye revisión de sistemas de tratamiento de suelos para estabilización de taludes y arcillas expansivas</t>
  </si>
  <si>
    <t>Control y vigilancia de las obras: Linea valencia-Tarragona, Tramo: Las Palmas-Oropesa. Vía y electrificación, instalaciones de seguridad y comunicaciones, estación de Bericassim e integración urbana del ferrocarril en las proximidades de la estación de Oropesa</t>
  </si>
  <si>
    <t>Interventoría para la conservación y mantenimiento integral de la carretera Girardot-Santafe de Bogotá</t>
  </si>
  <si>
    <t>Interventoría de las obras de construcción y pavimentación de la vía alterna interna a Buenaventura, sector Viaducto K7-intersección Citroneta, Ruta 40 Tramo 4001</t>
  </si>
  <si>
    <t>Gobernación del Valle del Cauca</t>
  </si>
  <si>
    <t>Interventoría de los trabajos relativos a la construcción mantenimiento y operación del proyecto de concesión Doble Calzada Buga-Tulua-La Paila, en el sector comprendido entre la abscisa K67+100 - K128+100</t>
  </si>
  <si>
    <t>Instituto Nacional de Vías - Invias</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</si>
  <si>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CONTECAR S.A., respectivamente, sus adicionales y otrosíes, así como regular los términos y condiciones bajo las cuales la Agencia Nacional de Infraestructura pagará al interventor de forma mensual la contraprestación ofrecida por este.</t>
  </si>
  <si>
    <t>Interventoría técnica y administrativa para la concesión para la adecuación y/o rehabilitación de la red vial secundaria y terciaria, su operación y mantenimiento en una longitud de 88,5 km en el departamento de la Guajira</t>
  </si>
  <si>
    <t>Control y supervisión de los trabajos de acondicionamiento y asfalto de la carretera nacional 1 entre Pointe Noire y Dolice</t>
  </si>
  <si>
    <t>ANE</t>
  </si>
  <si>
    <t>Supervisión de los trabajos de rehabilitación de la carretera N1 de Namacurra-Nampevo</t>
  </si>
  <si>
    <t>INTERVENTORÍA TÉCNICA, FINANCIERA, OPERATIVA, PREDIAL, SOCIO-AMBIENTAL Y LEGAL DEL PROYECTO DE CONCESIÓN VIAL CORDOBA.</t>
  </si>
  <si>
    <t>INTERVETORÌA PARA EL MEJORAMIENTO Y MANTENIMIENTO INTEGRAL DE LA RUTAIBAGUE - MARIQUITA Y MANIZALES FRESNO - HONDA DEL CORREDOR VIAL DEL CENTRO (INCLUIDO EL MANTENIMIENTO RUTINARIO, LA SEÑALIZACIÒN, EL MONITOREO Y LA VIGILANCIA A LOS CONTEOS DE TRÀNSITO) RUTA 43, TRAMO 4305 RUTA 50 TRAMO 5005-5006 T 5007 SRN</t>
  </si>
  <si>
    <t>DEPARTAMENTO DEL CASANARE</t>
  </si>
  <si>
    <t>INTERVENTORÍA, ASESORÍA TÉCNICA Y ADMINISTRATIVA PARA LAS OBRAS DE CONSTRUCCIÓN DE AMPLIACIÓN, RECTIFICACIÓN Y PAVIMENTACIÓN DE LA VÍA PORE - TRINIDAD - SAN LUIS DE PALENQUE EN EL SECTOR COMPRENDIDO DEL K0+000 AL K17+000</t>
  </si>
  <si>
    <t>Interventoria Integral que incluye pero no se limita a la interventoria financiera, administrativa tecnica legal operativa ambiental y de seguridad del contrato de concesion No, 10000078-OK 2010 cuyo objeto de la concesion de las terminales aeroportuarias de Nororiente - Aeropuertos Camilo Daza Cucuta, Palonegro  Bucaramanga, Yaraguies Barrancabermeja, Alfonso Lopez de Valledupar, Simon Bolivar Santa Marta y Almirante Padilla de Rioacha.</t>
  </si>
  <si>
    <t>Contrato No. GPI-001-200 Interventoria a los trabajos de diseño construccion rehabilitacion y mantenimiento de la malla vial de Barranquilla por el sistema de concesion</t>
  </si>
  <si>
    <t xml:space="preserve">En ejecucion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</si>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</sst>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dd/mm/yyyy;@"/>
    <numFmt numFmtId="168" formatCode="_ * #,##0.00_ ;_ * \-#,##0.00_ ;_ * &quot;-&quot;??_ ;_ @_ "/>
    <numFmt numFmtId="169" formatCode="&quot;$&quot;#,##0;[Red]&quot;$&quot;#,##0"/>
    <numFmt numFmtId="170" formatCode="_-[$$-240A]\ * #,##0_-;_-[$$-240A]\ * #,##0\-;_-[$$-240A]\ * &quot;-&quot;_-;_-@_-"/>
    <numFmt numFmtId="171" formatCode="_-[$$-409]* #,##0.00_ ;_-[$$-409]* \-#,##0.00\ ;_-[$$-409]* &quot;-&quot;??_ ;_-@_ "/>
    <numFmt numFmtId="172" formatCode="0.0%"/>
    <numFmt numFmtId="173" formatCode="&quot;$&quot;#,##0.00;[Red]&quot;$&quot;#,##0.00"/>
    <numFmt numFmtId="174" formatCode="_([$€-2]\ * #,##0.00_);_([$€-2]\ * \(#,##0.00\);_([$€-2]\ * &quot;-&quot;??_);_(@_)"/>
    <numFmt numFmtId="175" formatCode="#,##0.00000"/>
    <numFmt numFmtId="176" formatCode="_-[$$-240A]* #,##0.00000_-;\-[$$-240A]* #,##0.00000_-;_-[$$-240A]* &quot;-&quot;??_-;_-@_-"/>
    <numFmt numFmtId="177" formatCode="_-[$$-240A]* #,##0.00_-;\-[$$-240A]* #,##0.00_-;_-[$$-240A]* &quot;-&quot;??_-;_-@_-"/>
    <numFmt numFmtId="178" formatCode="_-[$$-240A]* #,##0.0000_-;\-[$$-240A]* #,##0.0000_-;_-[$$-240A]* &quot;-&quot;??_-;_-@_-"/>
    <numFmt numFmtId="179" formatCode="_(&quot;$&quot;* #,##0.00_);_(&quot;$&quot;* \(#,##0.00\);_(&quot;$&quot;* &quot;-&quot;??_);_(@_)"/>
    <numFmt numFmtId="180" formatCode="[$-C0A]d\-mmm\-yy;@"/>
    <numFmt numFmtId="181" formatCode="[$$]\ #,##0.00;\-[$$]\ #,##0.00"/>
    <numFmt numFmtId="182" formatCode="_(* #,##0.000_);_(* \(#,##0.000\);_(* &quot;-&quot;??_);_(@_)"/>
    <numFmt numFmtId="183" formatCode="_(* #,##0.0000_);_(* \(#,##0.0000\);_(* &quot;-&quot;??_);_(@_)"/>
    <numFmt numFmtId="184" formatCode="&quot;$&quot;\ #,##0.00"/>
    <numFmt numFmtId="185" formatCode="#,##0.00\ _€"/>
    <numFmt numFmtId="186" formatCode="####\-##"/>
    <numFmt numFmtId="187" formatCode="[$-C0A]mmmm\-yy;@"/>
    <numFmt numFmtId="188" formatCode="_-* #,##0_-;\-* #,##0_-;_-* &quot;-&quot;??_-;_-@_-"/>
    <numFmt numFmtId="189" formatCode="#,##0.00000;[Red]#,##0.00000"/>
    <numFmt numFmtId="190" formatCode="#,##0\ _€;[Red]#,##0\ _€"/>
    <numFmt numFmtId="191" formatCode="#,##0.00\ _€;[Red]#,##0.00\ _€"/>
    <numFmt numFmtId="192" formatCode="0.0000"/>
  </numFmts>
  <fonts count="73">
    <font>
      <sz val="12"/>
      <color theme="1"/>
      <name val="Calibri"/>
      <family val="2"/>
      <scheme val="minor"/>
    </font>
    <font>
      <sz val="10"/>
      <name val="Arial"/>
      <family val="2"/>
    </font>
    <font>
      <sz val="11"/>
      <name val="Arial"/>
      <family val="2"/>
    </font>
    <font>
      <b/>
      <sz val="11"/>
      <name val="Arial"/>
      <family val="2"/>
    </font>
    <font>
      <b/>
      <u/>
      <sz val="11"/>
      <color indexed="9"/>
      <name val="Arial"/>
      <family val="2"/>
    </font>
    <font>
      <sz val="12"/>
      <name val="Arial"/>
      <family val="2"/>
    </font>
    <font>
      <sz val="10"/>
      <name val="Arial Narrow"/>
      <family val="2"/>
    </font>
    <font>
      <sz val="10"/>
      <name val="Times New Roman"/>
      <family val="1"/>
    </font>
    <font>
      <b/>
      <sz val="9"/>
      <color indexed="81"/>
      <name val="Tahoma"/>
      <family val="2"/>
    </font>
    <font>
      <sz val="9"/>
      <color indexed="81"/>
      <name val="Tahoma"/>
      <family val="2"/>
    </font>
    <font>
      <sz val="11"/>
      <color indexed="8"/>
      <name val="Calibri"/>
      <family val="2"/>
    </font>
    <font>
      <sz val="11"/>
      <name val="Arial Narrow"/>
      <family val="2"/>
    </font>
    <font>
      <sz val="9"/>
      <name val="Arial Narrow"/>
      <family val="2"/>
    </font>
    <font>
      <sz val="14"/>
      <name val="Arial Narrow"/>
      <family val="2"/>
    </font>
    <font>
      <sz val="12"/>
      <name val="DIN-Regular"/>
      <family val="2"/>
    </font>
    <font>
      <sz val="9"/>
      <name val="Arial"/>
      <family val="2"/>
    </font>
    <font>
      <sz val="12"/>
      <name val="Arial Narrow"/>
      <family val="2"/>
    </font>
    <font>
      <sz val="11"/>
      <name val="DIN-Regular"/>
      <family val="2"/>
    </font>
    <font>
      <sz val="13"/>
      <name val="Arial Narrow"/>
      <family val="2"/>
    </font>
    <font>
      <sz val="9"/>
      <color indexed="8"/>
      <name val="Helvetica"/>
    </font>
    <font>
      <i/>
      <sz val="9"/>
      <color indexed="8"/>
      <name val="Helvetica"/>
    </font>
    <font>
      <b/>
      <sz val="9"/>
      <color indexed="8"/>
      <name val="Helvetica"/>
    </font>
    <font>
      <u/>
      <sz val="9"/>
      <color indexed="12"/>
      <name val="Helvetica"/>
    </font>
    <font>
      <b/>
      <sz val="10"/>
      <color indexed="9"/>
      <name val="Arial"/>
      <family val="2"/>
    </font>
    <font>
      <b/>
      <u/>
      <sz val="10"/>
      <color indexed="9"/>
      <name val="Arial"/>
      <family val="2"/>
    </font>
    <font>
      <sz val="12"/>
      <color theme="1"/>
      <name val="Calibri"/>
      <family val="2"/>
      <scheme val="minor"/>
    </font>
    <font>
      <sz val="12"/>
      <color theme="0"/>
      <name val="Calibri"/>
      <family val="2"/>
      <scheme val="minor"/>
    </font>
    <font>
      <u/>
      <sz val="9.9"/>
      <color theme="10"/>
      <name val="Calibri"/>
      <family val="2"/>
    </font>
    <font>
      <sz val="11"/>
      <color theme="1"/>
      <name val="Calibri"/>
      <family val="2"/>
      <scheme val="minor"/>
    </font>
    <font>
      <sz val="11"/>
      <color theme="0"/>
      <name val="Calibri"/>
      <family val="2"/>
      <scheme val="minor"/>
    </font>
    <font>
      <sz val="11"/>
      <color theme="1"/>
      <name val="Calibri"/>
      <family val="2"/>
    </font>
    <font>
      <sz val="11"/>
      <color theme="1"/>
      <name val="Arial"/>
      <family val="2"/>
    </font>
    <font>
      <sz val="12"/>
      <color theme="1"/>
      <name val="Arial"/>
      <family val="2"/>
    </font>
    <font>
      <sz val="8"/>
      <color theme="0"/>
      <name val="Calibri"/>
      <family val="2"/>
      <scheme val="minor"/>
    </font>
    <font>
      <sz val="8"/>
      <name val="Calibri"/>
      <family val="2"/>
      <scheme val="minor"/>
    </font>
    <font>
      <sz val="8"/>
      <color theme="1"/>
      <name val="Calibri"/>
      <family val="2"/>
      <scheme val="minor"/>
    </font>
    <font>
      <b/>
      <sz val="11"/>
      <color theme="0"/>
      <name val="Arial"/>
      <family val="2"/>
    </font>
    <font>
      <b/>
      <i/>
      <sz val="12"/>
      <color theme="1"/>
      <name val="Calibri"/>
      <family val="2"/>
      <scheme val="minor"/>
    </font>
    <font>
      <sz val="11"/>
      <color rgb="FF000000"/>
      <name val="Arial"/>
      <family val="2"/>
    </font>
    <font>
      <sz val="8"/>
      <color rgb="FF000000"/>
      <name val="Calibri"/>
      <family val="2"/>
      <scheme val="minor"/>
    </font>
    <font>
      <sz val="11"/>
      <color rgb="FFFF0000"/>
      <name val="Arial"/>
      <family val="2"/>
    </font>
    <font>
      <b/>
      <i/>
      <sz val="11"/>
      <color theme="1"/>
      <name val="Arial"/>
      <family val="2"/>
    </font>
    <font>
      <b/>
      <sz val="11"/>
      <color theme="1"/>
      <name val="Arial"/>
      <family val="2"/>
    </font>
    <font>
      <sz val="11"/>
      <color rgb="FFFF6600"/>
      <name val="Arial"/>
      <family val="2"/>
    </font>
    <font>
      <b/>
      <sz val="12"/>
      <color theme="0"/>
      <name val="Calibri"/>
      <family val="2"/>
      <scheme val="minor"/>
    </font>
    <font>
      <sz val="11"/>
      <color theme="4"/>
      <name val="Arial"/>
      <family val="2"/>
    </font>
    <font>
      <sz val="12"/>
      <color rgb="FF000000"/>
      <name val="Calibri"/>
      <family val="2"/>
      <scheme val="minor"/>
    </font>
    <font>
      <sz val="10"/>
      <color theme="1"/>
      <name val="Arial"/>
      <family val="2"/>
    </font>
    <font>
      <b/>
      <i/>
      <sz val="10"/>
      <color theme="1"/>
      <name val="Calibri"/>
      <family val="2"/>
      <scheme val="minor"/>
    </font>
    <font>
      <sz val="10"/>
      <color rgb="FF000000"/>
      <name val="Calibri"/>
      <family val="2"/>
      <scheme val="minor"/>
    </font>
    <font>
      <sz val="11"/>
      <color rgb="FF000000"/>
      <name val="Arial Narrow"/>
      <family val="2"/>
    </font>
    <font>
      <sz val="9"/>
      <color rgb="FF000000"/>
      <name val="Arial Narrow"/>
      <family val="2"/>
    </font>
    <font>
      <sz val="11"/>
      <color rgb="FF000000"/>
      <name val="Calibri"/>
      <family val="2"/>
      <scheme val="minor"/>
    </font>
    <font>
      <sz val="11"/>
      <color theme="0"/>
      <name val="Arial"/>
      <family val="2"/>
    </font>
    <font>
      <b/>
      <sz val="11"/>
      <color theme="0"/>
      <name val="Calibri"/>
      <family val="2"/>
      <scheme val="minor"/>
    </font>
    <font>
      <sz val="8"/>
      <color rgb="FFFFFFFF"/>
      <name val="Calibri"/>
      <family val="2"/>
      <scheme val="minor"/>
    </font>
    <font>
      <b/>
      <sz val="11"/>
      <color theme="1"/>
      <name val="Calibri"/>
      <family val="2"/>
    </font>
    <font>
      <sz val="9"/>
      <color theme="1"/>
      <name val="Arial"/>
      <family val="2"/>
    </font>
    <font>
      <b/>
      <sz val="11"/>
      <color rgb="FF000000"/>
      <name val="Arial"/>
      <family val="2"/>
    </font>
    <font>
      <sz val="12"/>
      <color theme="1"/>
      <name val="Calibri"/>
      <family val="2"/>
    </font>
    <font>
      <sz val="11"/>
      <color rgb="FF222222"/>
      <name val="Calibri"/>
      <family val="2"/>
      <scheme val="minor"/>
    </font>
    <font>
      <sz val="11"/>
      <color theme="7" tint="-0.499984740745262"/>
      <name val="Arial"/>
      <family val="2"/>
    </font>
    <font>
      <b/>
      <i/>
      <sz val="12"/>
      <name val="Calibri"/>
      <family val="2"/>
      <scheme val="minor"/>
    </font>
    <font>
      <b/>
      <sz val="14"/>
      <color theme="0"/>
      <name val="Arial"/>
      <family val="2"/>
    </font>
    <font>
      <b/>
      <sz val="9"/>
      <color theme="0"/>
      <name val="Arial"/>
      <family val="2"/>
    </font>
    <font>
      <b/>
      <sz val="10"/>
      <color theme="0"/>
      <name val="Arial"/>
      <family val="2"/>
    </font>
    <font>
      <b/>
      <sz val="11"/>
      <color rgb="FF333399"/>
      <name val="Calibri"/>
      <family val="2"/>
    </font>
    <font>
      <sz val="11"/>
      <color rgb="FF333399"/>
      <name val="Calibri"/>
      <family val="2"/>
    </font>
    <font>
      <sz val="9"/>
      <color theme="1"/>
      <name val="Helvetica"/>
    </font>
    <font>
      <b/>
      <i/>
      <sz val="11"/>
      <color theme="0"/>
      <name val="Arial"/>
      <family val="2"/>
    </font>
    <font>
      <sz val="8"/>
      <color rgb="FFFF0000"/>
      <name val="Calibri"/>
      <family val="2"/>
      <scheme val="minor"/>
    </font>
    <font>
      <b/>
      <sz val="11"/>
      <color rgb="FFFF0000"/>
      <name val="Arial"/>
      <family val="2"/>
    </font>
    <font>
      <sz val="10"/>
      <color theme="1"/>
      <name val="Calibri"/>
      <family val="2"/>
      <scheme val="minor"/>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9" tint="-0.249977111117893"/>
        <bgColor rgb="FF000000"/>
      </patternFill>
    </fill>
    <fill>
      <patternFill patternType="solid">
        <fgColor rgb="FFFFFFFF"/>
      </patternFill>
    </fill>
    <fill>
      <patternFill patternType="solid">
        <fgColor rgb="FFCFE0F1"/>
      </patternFill>
    </fill>
    <fill>
      <patternFill patternType="solid">
        <fgColor rgb="FFF2F5F9"/>
      </patternFill>
    </fill>
    <fill>
      <patternFill patternType="solid">
        <fgColor rgb="FFFF000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bgColor indexed="64"/>
      </patternFill>
    </fill>
    <fill>
      <patternFill patternType="solid">
        <fgColor rgb="FFFFFFFF"/>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style="thin">
        <color rgb="FF979991"/>
      </right>
      <top/>
      <bottom/>
      <diagonal/>
    </border>
    <border>
      <left/>
      <right style="thin">
        <color rgb="FF979991"/>
      </right>
      <top/>
      <bottom/>
      <diagonal/>
    </border>
    <border>
      <left style="thin">
        <color rgb="FF979991"/>
      </left>
      <right style="thin">
        <color rgb="FF979991"/>
      </right>
      <top style="thin">
        <color indexed="64"/>
      </top>
      <bottom style="medium">
        <color indexed="64"/>
      </bottom>
      <diagonal/>
    </border>
    <border>
      <left/>
      <right/>
      <top/>
      <bottom style="thick">
        <color rgb="FFA3BED8"/>
      </bottom>
      <diagonal/>
    </border>
  </borders>
  <cellStyleXfs count="39">
    <xf numFmtId="0" fontId="0" fillId="0" borderId="0"/>
    <xf numFmtId="0" fontId="26" fillId="2" borderId="0" applyNumberFormat="0" applyBorder="0" applyAlignment="0" applyProtection="0"/>
    <xf numFmtId="0" fontId="29" fillId="2" borderId="0" applyNumberFormat="0" applyBorder="0" applyAlignment="0" applyProtection="0"/>
    <xf numFmtId="0" fontId="26" fillId="3" borderId="0" applyNumberFormat="0" applyBorder="0" applyAlignment="0" applyProtection="0"/>
    <xf numFmtId="166" fontId="1" fillId="0" borderId="0" applyFont="0" applyFill="0" applyBorder="0" applyAlignment="0" applyProtection="0"/>
    <xf numFmtId="0" fontId="27" fillId="0" borderId="0" applyNumberFormat="0" applyFill="0" applyBorder="0" applyAlignment="0" applyProtection="0">
      <alignment vertical="top"/>
      <protection locked="0"/>
    </xf>
    <xf numFmtId="164" fontId="25" fillId="0" borderId="0" applyFont="0" applyFill="0" applyBorder="0" applyAlignment="0" applyProtection="0"/>
    <xf numFmtId="41" fontId="25" fillId="0" borderId="0" applyFont="0" applyFill="0" applyBorder="0" applyAlignment="0" applyProtection="0"/>
    <xf numFmtId="168" fontId="1" fillId="0" borderId="0" applyFont="0" applyFill="0" applyBorder="0" applyAlignment="0" applyProtection="0"/>
    <xf numFmtId="0" fontId="1" fillId="0" borderId="0" applyFont="0" applyFill="0" applyBorder="0" applyAlignment="0" applyProtection="0"/>
    <xf numFmtId="166" fontId="25" fillId="0" borderId="0" applyFont="0" applyFill="0" applyBorder="0" applyAlignment="0" applyProtection="0"/>
    <xf numFmtId="42"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30"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cellStyleXfs>
  <cellXfs count="1635">
    <xf numFmtId="0" fontId="0" fillId="0" borderId="0" xfId="0"/>
    <xf numFmtId="0" fontId="0" fillId="0" borderId="0" xfId="0" applyBorder="1" applyAlignment="1">
      <alignment vertical="center"/>
    </xf>
    <xf numFmtId="0" fontId="31" fillId="0" borderId="0" xfId="0" applyFont="1" applyAlignment="1">
      <alignment vertical="center"/>
    </xf>
    <xf numFmtId="0" fontId="31" fillId="0" borderId="0" xfId="0" applyFont="1"/>
    <xf numFmtId="0" fontId="0" fillId="0" borderId="0" xfId="0" applyFont="1"/>
    <xf numFmtId="0" fontId="32" fillId="0" borderId="0" xfId="0" applyFont="1"/>
    <xf numFmtId="0" fontId="33" fillId="4" borderId="1" xfId="3" applyFont="1" applyFill="1" applyBorder="1" applyAlignment="1">
      <alignment horizontal="center" vertical="center" wrapText="1"/>
    </xf>
    <xf numFmtId="41" fontId="33" fillId="4" borderId="1" xfId="3" applyNumberFormat="1" applyFont="1" applyFill="1" applyBorder="1" applyAlignment="1">
      <alignment horizontal="center" vertical="center" wrapText="1"/>
    </xf>
    <xf numFmtId="41" fontId="34" fillId="5" borderId="2" xfId="3" applyNumberFormat="1" applyFont="1" applyFill="1" applyBorder="1" applyAlignment="1">
      <alignment horizontal="center" vertical="center" wrapText="1"/>
    </xf>
    <xf numFmtId="0" fontId="35" fillId="0" borderId="2" xfId="0" applyFont="1" applyBorder="1" applyAlignment="1">
      <alignment horizontal="left" vertical="center" wrapText="1"/>
    </xf>
    <xf numFmtId="41" fontId="35" fillId="0" borderId="2" xfId="0" applyNumberFormat="1" applyFont="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35" fillId="0" borderId="0" xfId="0" applyFont="1"/>
    <xf numFmtId="41" fontId="35" fillId="0" borderId="0" xfId="0" applyNumberFormat="1" applyFont="1" applyAlignment="1">
      <alignment horizontal="center"/>
    </xf>
    <xf numFmtId="41" fontId="35" fillId="0" borderId="2" xfId="0" applyNumberFormat="1" applyFont="1" applyBorder="1" applyAlignment="1">
      <alignment horizontal="center"/>
    </xf>
    <xf numFmtId="4" fontId="31" fillId="0" borderId="2" xfId="0" applyNumberFormat="1" applyFont="1" applyFill="1" applyBorder="1" applyAlignment="1">
      <alignment horizontal="center" vertical="center" wrapText="1"/>
    </xf>
    <xf numFmtId="167" fontId="36" fillId="0" borderId="2" xfId="1" applyNumberFormat="1" applyFont="1" applyFill="1" applyBorder="1" applyAlignment="1">
      <alignment horizontal="center" vertical="center" wrapText="1"/>
    </xf>
    <xf numFmtId="167" fontId="3" fillId="0" borderId="2" xfId="1" applyNumberFormat="1" applyFont="1" applyFill="1" applyBorder="1" applyAlignment="1">
      <alignment horizontal="center" vertical="center" wrapText="1"/>
    </xf>
    <xf numFmtId="0" fontId="31" fillId="0" borderId="2"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1" fillId="0" borderId="2" xfId="0" applyFont="1" applyFill="1" applyBorder="1" applyAlignment="1">
      <alignment horizontal="left" vertical="center" wrapText="1"/>
    </xf>
    <xf numFmtId="0" fontId="31" fillId="0" borderId="2" xfId="0" applyFont="1" applyFill="1" applyBorder="1" applyAlignment="1">
      <alignment vertical="center" wrapText="1"/>
    </xf>
    <xf numFmtId="9" fontId="31" fillId="0" borderId="2" xfId="34" applyFont="1" applyFill="1" applyBorder="1" applyAlignment="1">
      <alignment horizontal="center" vertical="center"/>
    </xf>
    <xf numFmtId="167" fontId="31"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169" fontId="31" fillId="0" borderId="2" xfId="0" applyNumberFormat="1" applyFont="1" applyFill="1" applyBorder="1" applyAlignment="1">
      <alignment horizontal="center" vertical="center" wrapText="1"/>
    </xf>
    <xf numFmtId="169" fontId="31" fillId="0" borderId="2" xfId="0" applyNumberFormat="1" applyFont="1" applyFill="1" applyBorder="1" applyAlignment="1">
      <alignment vertical="center"/>
    </xf>
    <xf numFmtId="169" fontId="31" fillId="0" borderId="2" xfId="0" applyNumberFormat="1" applyFont="1" applyFill="1" applyBorder="1" applyAlignment="1">
      <alignment horizontal="center" vertical="center"/>
    </xf>
    <xf numFmtId="3" fontId="31" fillId="0" borderId="2" xfId="33" applyNumberFormat="1" applyFont="1" applyFill="1" applyBorder="1" applyAlignment="1">
      <alignment horizontal="center" vertical="center"/>
    </xf>
    <xf numFmtId="4" fontId="31" fillId="0" borderId="2" xfId="33" applyNumberFormat="1"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vertical="center"/>
    </xf>
    <xf numFmtId="9" fontId="31" fillId="0" borderId="2" xfId="34" applyFont="1" applyFill="1" applyBorder="1" applyAlignment="1">
      <alignment horizontal="center" vertical="center" wrapText="1"/>
    </xf>
    <xf numFmtId="169" fontId="31" fillId="0" borderId="2" xfId="0" applyNumberFormat="1" applyFont="1" applyFill="1" applyBorder="1" applyAlignment="1">
      <alignment vertical="center" wrapText="1"/>
    </xf>
    <xf numFmtId="0" fontId="31" fillId="0" borderId="2" xfId="0" applyFont="1" applyFill="1" applyBorder="1" applyAlignment="1">
      <alignment horizontal="left" vertical="center"/>
    </xf>
    <xf numFmtId="0" fontId="0" fillId="0" borderId="2" xfId="0" applyFill="1" applyBorder="1" applyAlignment="1">
      <alignment vertical="center" wrapText="1"/>
    </xf>
    <xf numFmtId="9" fontId="25" fillId="0" borderId="2" xfId="33" applyFont="1" applyFill="1" applyBorder="1" applyAlignment="1">
      <alignment horizontal="center" vertical="center"/>
    </xf>
    <xf numFmtId="9" fontId="31" fillId="0" borderId="2" xfId="33" applyFont="1" applyFill="1" applyBorder="1" applyAlignment="1">
      <alignment horizontal="center" vertical="center"/>
    </xf>
    <xf numFmtId="14" fontId="31" fillId="0" borderId="2" xfId="34" applyNumberFormat="1" applyFont="1" applyFill="1" applyBorder="1" applyAlignment="1">
      <alignment horizontal="center" vertical="center"/>
    </xf>
    <xf numFmtId="14" fontId="31" fillId="0" borderId="2" xfId="0" applyNumberFormat="1" applyFont="1" applyFill="1" applyBorder="1" applyAlignment="1">
      <alignment horizontal="center" vertical="center"/>
    </xf>
    <xf numFmtId="4" fontId="31" fillId="0" borderId="2" xfId="0" applyNumberFormat="1" applyFont="1" applyFill="1" applyBorder="1" applyAlignment="1">
      <alignment horizontal="center" vertical="center"/>
    </xf>
    <xf numFmtId="0" fontId="0" fillId="0" borderId="2" xfId="0" applyFill="1" applyBorder="1" applyAlignment="1">
      <alignment vertical="center"/>
    </xf>
    <xf numFmtId="0" fontId="38" fillId="0" borderId="2" xfId="0" applyFont="1" applyFill="1" applyBorder="1" applyAlignment="1">
      <alignment horizontal="left" vertical="center" wrapText="1"/>
    </xf>
    <xf numFmtId="0" fontId="38" fillId="0" borderId="2" xfId="0" applyFont="1" applyFill="1" applyBorder="1" applyAlignment="1">
      <alignment vertical="center" wrapText="1"/>
    </xf>
    <xf numFmtId="9" fontId="38" fillId="0" borderId="2" xfId="0" applyNumberFormat="1" applyFont="1" applyFill="1" applyBorder="1" applyAlignment="1">
      <alignment horizontal="center" vertical="center"/>
    </xf>
    <xf numFmtId="167" fontId="38" fillId="0" borderId="2" xfId="0" applyNumberFormat="1" applyFont="1" applyFill="1" applyBorder="1" applyAlignment="1">
      <alignment horizontal="center" vertical="center" wrapText="1"/>
    </xf>
    <xf numFmtId="169" fontId="38" fillId="0" borderId="2" xfId="0" applyNumberFormat="1" applyFont="1" applyFill="1" applyBorder="1" applyAlignment="1">
      <alignment vertical="center"/>
    </xf>
    <xf numFmtId="169" fontId="38" fillId="0" borderId="2" xfId="0" applyNumberFormat="1" applyFont="1" applyFill="1" applyBorder="1" applyAlignment="1">
      <alignment horizontal="center" vertical="center"/>
    </xf>
    <xf numFmtId="0" fontId="31" fillId="6" borderId="2" xfId="0" applyFont="1" applyFill="1" applyBorder="1" applyAlignment="1">
      <alignment horizontal="center" vertical="center"/>
    </xf>
    <xf numFmtId="0" fontId="37" fillId="6" borderId="2" xfId="0" applyFont="1" applyFill="1" applyBorder="1" applyAlignment="1">
      <alignment vertical="center" wrapText="1"/>
    </xf>
    <xf numFmtId="0" fontId="31" fillId="6" borderId="2" xfId="0" applyFont="1" applyFill="1" applyBorder="1" applyAlignment="1">
      <alignment horizontal="left" vertical="center" wrapText="1"/>
    </xf>
    <xf numFmtId="9" fontId="31" fillId="6" borderId="2" xfId="34" applyFont="1" applyFill="1" applyBorder="1" applyAlignment="1">
      <alignment horizontal="center" vertical="center" wrapText="1"/>
    </xf>
    <xf numFmtId="167" fontId="31" fillId="6" borderId="2" xfId="0" applyNumberFormat="1" applyFont="1" applyFill="1" applyBorder="1" applyAlignment="1">
      <alignment horizontal="center" vertical="center" wrapText="1"/>
    </xf>
    <xf numFmtId="0" fontId="31" fillId="6" borderId="2" xfId="0" applyNumberFormat="1" applyFont="1" applyFill="1" applyBorder="1" applyAlignment="1">
      <alignment horizontal="center" vertical="center" wrapText="1"/>
    </xf>
    <xf numFmtId="169" fontId="31" fillId="6" borderId="2" xfId="0" applyNumberFormat="1" applyFont="1" applyFill="1" applyBorder="1" applyAlignment="1">
      <alignment vertical="center" wrapText="1"/>
    </xf>
    <xf numFmtId="169" fontId="31" fillId="6" borderId="2" xfId="0" applyNumberFormat="1" applyFont="1" applyFill="1" applyBorder="1" applyAlignment="1">
      <alignment horizontal="center" vertical="center" wrapText="1"/>
    </xf>
    <xf numFmtId="0" fontId="31" fillId="0" borderId="2" xfId="0" applyFont="1" applyBorder="1" applyAlignment="1">
      <alignment vertical="center"/>
    </xf>
    <xf numFmtId="0" fontId="31" fillId="6" borderId="2" xfId="0" applyFont="1" applyFill="1" applyBorder="1" applyAlignment="1">
      <alignment vertical="center" wrapText="1"/>
    </xf>
    <xf numFmtId="9" fontId="31" fillId="6" borderId="2" xfId="33" applyFont="1" applyFill="1" applyBorder="1" applyAlignment="1">
      <alignment horizontal="center" vertical="center"/>
    </xf>
    <xf numFmtId="14" fontId="31" fillId="6" borderId="2" xfId="34" applyNumberFormat="1" applyFont="1" applyFill="1" applyBorder="1" applyAlignment="1">
      <alignment horizontal="center" vertical="center"/>
    </xf>
    <xf numFmtId="14" fontId="31" fillId="6" borderId="2" xfId="0" applyNumberFormat="1" applyFont="1" applyFill="1" applyBorder="1" applyAlignment="1">
      <alignment horizontal="center" vertical="center"/>
    </xf>
    <xf numFmtId="0" fontId="31" fillId="6" borderId="2" xfId="0" applyNumberFormat="1" applyFont="1" applyFill="1" applyBorder="1" applyAlignment="1">
      <alignment horizontal="center" vertical="center"/>
    </xf>
    <xf numFmtId="169" fontId="31" fillId="6" borderId="2" xfId="0" applyNumberFormat="1" applyFont="1" applyFill="1" applyBorder="1" applyAlignment="1">
      <alignment horizontal="center" vertical="center"/>
    </xf>
    <xf numFmtId="170" fontId="31" fillId="6" borderId="2" xfId="0" applyNumberFormat="1" applyFont="1" applyFill="1" applyBorder="1" applyAlignment="1">
      <alignment horizontal="center" vertical="center"/>
    </xf>
    <xf numFmtId="0" fontId="0" fillId="0" borderId="2" xfId="0" applyBorder="1" applyAlignment="1">
      <alignment vertical="center"/>
    </xf>
    <xf numFmtId="0" fontId="31" fillId="0" borderId="3" xfId="0" applyFont="1" applyFill="1" applyBorder="1" applyAlignment="1">
      <alignment vertic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37" fillId="0"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vertical="center" wrapText="1"/>
    </xf>
    <xf numFmtId="9" fontId="31" fillId="0" borderId="1" xfId="34" applyFont="1" applyFill="1" applyBorder="1" applyAlignment="1">
      <alignment horizontal="center" vertical="center"/>
    </xf>
    <xf numFmtId="167" fontId="31" fillId="0" borderId="1" xfId="0" applyNumberFormat="1" applyFont="1" applyFill="1" applyBorder="1" applyAlignment="1">
      <alignment horizontal="center" vertical="center" wrapText="1"/>
    </xf>
    <xf numFmtId="169" fontId="31" fillId="0" borderId="1" xfId="0" applyNumberFormat="1" applyFont="1" applyFill="1" applyBorder="1" applyAlignment="1">
      <alignment horizontal="center" vertical="center" wrapText="1"/>
    </xf>
    <xf numFmtId="169" fontId="31" fillId="0" borderId="1" xfId="0" applyNumberFormat="1" applyFont="1" applyFill="1" applyBorder="1" applyAlignment="1">
      <alignment vertical="center"/>
    </xf>
    <xf numFmtId="169" fontId="31" fillId="0" borderId="1" xfId="0" applyNumberFormat="1" applyFont="1" applyFill="1" applyBorder="1" applyAlignment="1">
      <alignment horizontal="center" vertical="center"/>
    </xf>
    <xf numFmtId="3" fontId="31" fillId="0" borderId="1" xfId="33" applyNumberFormat="1" applyFont="1" applyFill="1" applyBorder="1" applyAlignment="1">
      <alignment horizontal="center" vertical="center"/>
    </xf>
    <xf numFmtId="4" fontId="31" fillId="0" borderId="1" xfId="33" applyNumberFormat="1" applyFont="1" applyFill="1" applyBorder="1" applyAlignment="1">
      <alignment horizontal="center" vertical="center"/>
    </xf>
    <xf numFmtId="4" fontId="31" fillId="0" borderId="1" xfId="0" applyNumberFormat="1" applyFont="1" applyFill="1" applyBorder="1" applyAlignment="1">
      <alignment horizontal="center" vertical="center" wrapText="1"/>
    </xf>
    <xf numFmtId="0" fontId="31" fillId="0" borderId="4" xfId="0" applyFont="1" applyFill="1" applyBorder="1" applyAlignment="1">
      <alignment horizontal="center" vertical="center"/>
    </xf>
    <xf numFmtId="0" fontId="37" fillId="0" borderId="4" xfId="0" applyFont="1" applyFill="1" applyBorder="1" applyAlignment="1">
      <alignment horizontal="center" vertical="center" wrapText="1"/>
    </xf>
    <xf numFmtId="0" fontId="37" fillId="0" borderId="4" xfId="0" applyFont="1" applyFill="1" applyBorder="1" applyAlignment="1">
      <alignment vertical="center" wrapText="1"/>
    </xf>
    <xf numFmtId="0" fontId="31" fillId="0" borderId="4" xfId="0" applyFont="1" applyFill="1" applyBorder="1" applyAlignment="1">
      <alignment horizontal="left" vertical="center" wrapText="1"/>
    </xf>
    <xf numFmtId="0" fontId="31" fillId="0" borderId="4" xfId="0" applyFont="1" applyFill="1" applyBorder="1" applyAlignment="1">
      <alignment vertical="center" wrapText="1"/>
    </xf>
    <xf numFmtId="9" fontId="31" fillId="0" borderId="4" xfId="34" applyFont="1" applyFill="1" applyBorder="1" applyAlignment="1">
      <alignment horizontal="center" vertical="center"/>
    </xf>
    <xf numFmtId="167" fontId="31" fillId="0" borderId="4"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169" fontId="31" fillId="0" borderId="4" xfId="0" applyNumberFormat="1" applyFont="1" applyFill="1" applyBorder="1" applyAlignment="1">
      <alignment horizontal="center" vertical="center" wrapText="1"/>
    </xf>
    <xf numFmtId="169" fontId="31" fillId="0" borderId="4" xfId="0" applyNumberFormat="1" applyFont="1" applyFill="1" applyBorder="1" applyAlignment="1">
      <alignment vertical="center"/>
    </xf>
    <xf numFmtId="169" fontId="31" fillId="0" borderId="4" xfId="0" applyNumberFormat="1" applyFont="1" applyFill="1" applyBorder="1" applyAlignment="1">
      <alignment horizontal="center" vertical="center"/>
    </xf>
    <xf numFmtId="3" fontId="31" fillId="0" borderId="4" xfId="33" applyNumberFormat="1" applyFont="1" applyFill="1" applyBorder="1" applyAlignment="1">
      <alignment horizontal="center" vertical="center"/>
    </xf>
    <xf numFmtId="4" fontId="31" fillId="0" borderId="4" xfId="33" applyNumberFormat="1" applyFont="1" applyFill="1" applyBorder="1" applyAlignment="1">
      <alignment horizontal="center" vertical="center"/>
    </xf>
    <xf numFmtId="4" fontId="31" fillId="0" borderId="4" xfId="0"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1" fillId="0" borderId="7" xfId="0" applyFont="1" applyFill="1" applyBorder="1" applyAlignment="1">
      <alignment horizontal="center" vertical="center"/>
    </xf>
    <xf numFmtId="0" fontId="31" fillId="0" borderId="7" xfId="0" applyFont="1" applyFill="1" applyBorder="1" applyAlignment="1">
      <alignment horizontal="left" vertical="center"/>
    </xf>
    <xf numFmtId="0" fontId="37" fillId="0" borderId="7" xfId="0" applyFont="1" applyFill="1" applyBorder="1" applyAlignment="1">
      <alignment vertical="center" wrapText="1"/>
    </xf>
    <xf numFmtId="0" fontId="31" fillId="0" borderId="7" xfId="0" applyFont="1" applyFill="1" applyBorder="1" applyAlignment="1">
      <alignment horizontal="left" vertical="center" wrapText="1"/>
    </xf>
    <xf numFmtId="0" fontId="31" fillId="0" borderId="7" xfId="0" applyFont="1" applyFill="1" applyBorder="1" applyAlignment="1">
      <alignment vertical="center" wrapText="1"/>
    </xf>
    <xf numFmtId="9" fontId="31" fillId="0" borderId="7" xfId="34" applyFont="1" applyFill="1" applyBorder="1" applyAlignment="1">
      <alignment horizontal="center" vertical="center"/>
    </xf>
    <xf numFmtId="167" fontId="31" fillId="0" borderId="7" xfId="0" applyNumberFormat="1" applyFont="1" applyFill="1" applyBorder="1" applyAlignment="1">
      <alignment horizontal="center" vertical="center" wrapText="1"/>
    </xf>
    <xf numFmtId="0" fontId="31" fillId="0" borderId="7" xfId="0" applyNumberFormat="1" applyFont="1" applyFill="1" applyBorder="1" applyAlignment="1">
      <alignment horizontal="center" vertical="center" wrapText="1"/>
    </xf>
    <xf numFmtId="169" fontId="31" fillId="0" borderId="7" xfId="0" applyNumberFormat="1" applyFont="1" applyFill="1" applyBorder="1" applyAlignment="1">
      <alignment horizontal="center" vertical="center" wrapText="1"/>
    </xf>
    <xf numFmtId="169" fontId="31" fillId="0" borderId="7" xfId="0" applyNumberFormat="1" applyFont="1" applyFill="1" applyBorder="1" applyAlignment="1">
      <alignment vertical="center"/>
    </xf>
    <xf numFmtId="169" fontId="31" fillId="0" borderId="7" xfId="0" applyNumberFormat="1" applyFont="1" applyFill="1" applyBorder="1" applyAlignment="1">
      <alignment horizontal="center" vertical="center"/>
    </xf>
    <xf numFmtId="3" fontId="31" fillId="0" borderId="7" xfId="33" applyNumberFormat="1" applyFont="1" applyFill="1" applyBorder="1" applyAlignment="1">
      <alignment horizontal="center" vertical="center"/>
    </xf>
    <xf numFmtId="4" fontId="31" fillId="0" borderId="7" xfId="33" applyNumberFormat="1" applyFont="1" applyFill="1" applyBorder="1" applyAlignment="1">
      <alignment horizontal="center" vertical="center"/>
    </xf>
    <xf numFmtId="4" fontId="31" fillId="0" borderId="7" xfId="0" applyNumberFormat="1" applyFont="1" applyFill="1" applyBorder="1" applyAlignment="1">
      <alignment horizontal="center" vertical="center" wrapText="1"/>
    </xf>
    <xf numFmtId="0" fontId="31" fillId="0" borderId="8" xfId="0" applyFont="1" applyFill="1" applyBorder="1" applyAlignment="1">
      <alignment horizontal="left" vertical="center" wrapText="1"/>
    </xf>
    <xf numFmtId="0" fontId="31" fillId="0" borderId="4" xfId="0" applyFont="1" applyFill="1" applyBorder="1" applyAlignment="1">
      <alignment horizontal="left" vertical="center"/>
    </xf>
    <xf numFmtId="0" fontId="0" fillId="0" borderId="3" xfId="0" applyFill="1" applyBorder="1" applyAlignment="1">
      <alignment vertical="center"/>
    </xf>
    <xf numFmtId="0" fontId="31" fillId="0" borderId="1" xfId="0" applyNumberFormat="1" applyFont="1" applyFill="1" applyBorder="1" applyAlignment="1">
      <alignment horizontal="center" vertical="center" wrapText="1"/>
    </xf>
    <xf numFmtId="169" fontId="31" fillId="0" borderId="1" xfId="0" applyNumberFormat="1" applyFont="1" applyFill="1" applyBorder="1" applyAlignment="1">
      <alignment vertical="center" wrapText="1"/>
    </xf>
    <xf numFmtId="9" fontId="31" fillId="0" borderId="4" xfId="34" applyFont="1" applyFill="1" applyBorder="1" applyAlignment="1">
      <alignment horizontal="center" vertical="center" wrapText="1"/>
    </xf>
    <xf numFmtId="9" fontId="31" fillId="0" borderId="7" xfId="34" applyFont="1" applyFill="1" applyBorder="1" applyAlignment="1">
      <alignment horizontal="center" vertical="center" wrapText="1"/>
    </xf>
    <xf numFmtId="169" fontId="31" fillId="0" borderId="7" xfId="0" applyNumberFormat="1" applyFont="1" applyFill="1" applyBorder="1" applyAlignment="1">
      <alignment vertical="center" wrapText="1"/>
    </xf>
    <xf numFmtId="0" fontId="0" fillId="0" borderId="6" xfId="0" applyFill="1" applyBorder="1" applyAlignment="1">
      <alignment horizontal="left" vertical="center" wrapText="1"/>
    </xf>
    <xf numFmtId="0" fontId="31" fillId="0" borderId="9" xfId="0" applyFont="1" applyFill="1" applyBorder="1" applyAlignment="1">
      <alignment horizontal="left" vertical="center" wrapText="1"/>
    </xf>
    <xf numFmtId="0" fontId="37"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9" fillId="0" borderId="4" xfId="0" applyNumberFormat="1" applyFont="1" applyFill="1" applyBorder="1" applyAlignment="1">
      <alignment horizontal="center" vertical="center"/>
    </xf>
    <xf numFmtId="4" fontId="35" fillId="0" borderId="4" xfId="0" applyNumberFormat="1" applyFont="1" applyBorder="1" applyAlignment="1">
      <alignment horizontal="center" vertical="center" wrapText="1"/>
    </xf>
    <xf numFmtId="0" fontId="39" fillId="0" borderId="2" xfId="0" applyNumberFormat="1" applyFont="1" applyFill="1" applyBorder="1" applyAlignment="1">
      <alignment horizontal="center" vertical="center"/>
    </xf>
    <xf numFmtId="4" fontId="35" fillId="0" borderId="2" xfId="0" applyNumberFormat="1" applyFont="1" applyBorder="1" applyAlignment="1">
      <alignment horizontal="center" vertical="center" wrapText="1"/>
    </xf>
    <xf numFmtId="0" fontId="35" fillId="0" borderId="2" xfId="0" applyFont="1" applyFill="1" applyBorder="1" applyAlignment="1">
      <alignment horizontal="center" vertical="center"/>
    </xf>
    <xf numFmtId="0" fontId="39" fillId="0" borderId="7" xfId="0" applyNumberFormat="1" applyFont="1" applyFill="1" applyBorder="1" applyAlignment="1">
      <alignment horizontal="center" vertical="center"/>
    </xf>
    <xf numFmtId="4" fontId="35" fillId="0" borderId="7" xfId="0" applyNumberFormat="1" applyFont="1" applyBorder="1" applyAlignment="1">
      <alignment horizontal="center" vertical="center" wrapText="1"/>
    </xf>
    <xf numFmtId="4" fontId="35" fillId="0" borderId="4" xfId="0" applyNumberFormat="1" applyFont="1" applyBorder="1" applyAlignment="1">
      <alignment horizontal="center" vertical="center"/>
    </xf>
    <xf numFmtId="4" fontId="35" fillId="0" borderId="7" xfId="0" applyNumberFormat="1" applyFont="1" applyBorder="1" applyAlignment="1">
      <alignment horizontal="center" vertical="center"/>
    </xf>
    <xf numFmtId="4" fontId="35" fillId="0" borderId="2" xfId="0" applyNumberFormat="1" applyFont="1" applyBorder="1" applyAlignment="1">
      <alignment horizontal="center" vertical="center"/>
    </xf>
    <xf numFmtId="2" fontId="35" fillId="0" borderId="4" xfId="0" applyNumberFormat="1" applyFont="1" applyBorder="1" applyAlignment="1">
      <alignment horizontal="center" vertical="center"/>
    </xf>
    <xf numFmtId="2" fontId="35" fillId="0" borderId="7" xfId="0" applyNumberFormat="1" applyFont="1" applyBorder="1" applyAlignment="1">
      <alignment horizontal="center" vertical="center"/>
    </xf>
    <xf numFmtId="2" fontId="35" fillId="0" borderId="2" xfId="0" applyNumberFormat="1" applyFont="1" applyBorder="1" applyAlignment="1">
      <alignment horizontal="center" vertical="center"/>
    </xf>
    <xf numFmtId="4" fontId="35" fillId="0" borderId="4" xfId="0" applyNumberFormat="1" applyFont="1" applyFill="1" applyBorder="1" applyAlignment="1">
      <alignment horizontal="center" vertical="center"/>
    </xf>
    <xf numFmtId="4" fontId="35" fillId="0" borderId="7" xfId="0" applyNumberFormat="1" applyFont="1" applyFill="1" applyBorder="1" applyAlignment="1">
      <alignment horizontal="center" vertical="center"/>
    </xf>
    <xf numFmtId="4" fontId="35" fillId="0" borderId="10" xfId="0" applyNumberFormat="1" applyFont="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Alignment="1">
      <alignment horizontal="center"/>
    </xf>
    <xf numFmtId="167" fontId="36" fillId="0" borderId="10" xfId="1" applyNumberFormat="1" applyFont="1" applyFill="1" applyBorder="1" applyAlignment="1">
      <alignment horizontal="center" vertical="center" wrapText="1"/>
    </xf>
    <xf numFmtId="169" fontId="30" fillId="0" borderId="4" xfId="0" applyNumberFormat="1" applyFont="1" applyFill="1" applyBorder="1" applyAlignment="1">
      <alignment horizontal="center" vertical="center"/>
    </xf>
    <xf numFmtId="169" fontId="31" fillId="0" borderId="4" xfId="33" applyNumberFormat="1" applyFont="1" applyFill="1" applyBorder="1" applyAlignment="1">
      <alignment horizontal="center" vertical="center"/>
    </xf>
    <xf numFmtId="0" fontId="31" fillId="0" borderId="4" xfId="0" applyFont="1" applyFill="1" applyBorder="1" applyAlignment="1">
      <alignment vertical="center"/>
    </xf>
    <xf numFmtId="169" fontId="30"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31" fillId="0" borderId="10" xfId="0" applyFont="1" applyFill="1" applyBorder="1" applyAlignment="1">
      <alignment horizontal="center" vertical="center"/>
    </xf>
    <xf numFmtId="0" fontId="37" fillId="0" borderId="10" xfId="0" applyFont="1" applyFill="1" applyBorder="1" applyAlignment="1">
      <alignment horizontal="center" vertical="center" wrapText="1"/>
    </xf>
    <xf numFmtId="0" fontId="37" fillId="0" borderId="10" xfId="0" applyFont="1" applyFill="1" applyBorder="1" applyAlignment="1">
      <alignment vertical="center" wrapText="1"/>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9" fontId="31" fillId="0" borderId="10" xfId="34" applyFont="1" applyFill="1" applyBorder="1" applyAlignment="1">
      <alignment horizontal="center" vertical="center"/>
    </xf>
    <xf numFmtId="167" fontId="31"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169" fontId="31" fillId="0" borderId="10" xfId="0" applyNumberFormat="1" applyFont="1" applyFill="1" applyBorder="1" applyAlignment="1">
      <alignment horizontal="center" vertical="center" wrapText="1"/>
    </xf>
    <xf numFmtId="169" fontId="31" fillId="0" borderId="10" xfId="0" applyNumberFormat="1" applyFont="1" applyFill="1" applyBorder="1" applyAlignment="1">
      <alignment vertical="center"/>
    </xf>
    <xf numFmtId="169" fontId="31" fillId="0" borderId="10" xfId="0" applyNumberFormat="1" applyFont="1" applyFill="1" applyBorder="1" applyAlignment="1">
      <alignment horizontal="center" vertical="center"/>
    </xf>
    <xf numFmtId="3" fontId="31" fillId="0" borderId="10" xfId="33" applyNumberFormat="1" applyFont="1" applyFill="1" applyBorder="1" applyAlignment="1">
      <alignment horizontal="center" vertical="center"/>
    </xf>
    <xf numFmtId="4" fontId="31" fillId="0" borderId="10" xfId="33" applyNumberFormat="1" applyFont="1" applyFill="1" applyBorder="1" applyAlignment="1">
      <alignment horizontal="center" vertical="center"/>
    </xf>
    <xf numFmtId="4" fontId="31" fillId="0" borderId="10" xfId="0" applyNumberFormat="1" applyFont="1" applyFill="1" applyBorder="1" applyAlignment="1">
      <alignment horizontal="center" vertical="center" wrapText="1"/>
    </xf>
    <xf numFmtId="4" fontId="31" fillId="7" borderId="10" xfId="0" applyNumberFormat="1" applyFont="1" applyFill="1" applyBorder="1" applyAlignment="1">
      <alignment horizontal="center" vertical="center" wrapText="1"/>
    </xf>
    <xf numFmtId="4" fontId="40" fillId="0" borderId="10" xfId="0" applyNumberFormat="1" applyFont="1" applyFill="1" applyBorder="1" applyAlignment="1">
      <alignment horizontal="center" vertical="center" wrapText="1"/>
    </xf>
    <xf numFmtId="0" fontId="31" fillId="7" borderId="10" xfId="0" applyFont="1" applyFill="1" applyBorder="1" applyAlignment="1">
      <alignment horizontal="left" vertical="center" wrapText="1"/>
    </xf>
    <xf numFmtId="0" fontId="31" fillId="0" borderId="10" xfId="0" applyFont="1" applyFill="1" applyBorder="1" applyAlignment="1">
      <alignment vertical="center"/>
    </xf>
    <xf numFmtId="0" fontId="41" fillId="0" borderId="4" xfId="0" applyFont="1" applyFill="1" applyBorder="1" applyAlignment="1">
      <alignment horizontal="center" vertical="center"/>
    </xf>
    <xf numFmtId="0" fontId="41" fillId="0" borderId="2" xfId="0" applyFont="1" applyFill="1" applyBorder="1" applyAlignment="1">
      <alignment horizontal="center" vertical="center"/>
    </xf>
    <xf numFmtId="0" fontId="40" fillId="0" borderId="2" xfId="0" applyFont="1" applyFill="1" applyBorder="1" applyAlignment="1">
      <alignment horizontal="left" vertical="center" wrapText="1"/>
    </xf>
    <xf numFmtId="0" fontId="41" fillId="0" borderId="10" xfId="0" applyFont="1" applyFill="1" applyBorder="1" applyAlignment="1">
      <alignment horizontal="center" vertical="center"/>
    </xf>
    <xf numFmtId="169" fontId="30" fillId="0" borderId="10" xfId="0" applyNumberFormat="1" applyFont="1" applyFill="1" applyBorder="1" applyAlignment="1">
      <alignment horizontal="center" vertical="center"/>
    </xf>
    <xf numFmtId="0" fontId="40" fillId="0" borderId="10" xfId="0" applyFont="1" applyFill="1" applyBorder="1" applyAlignment="1">
      <alignment horizontal="left" vertical="center" wrapText="1"/>
    </xf>
    <xf numFmtId="0" fontId="0" fillId="0" borderId="2" xfId="0" applyFill="1" applyBorder="1" applyAlignment="1">
      <alignment horizontal="left" vertical="center" wrapText="1"/>
    </xf>
    <xf numFmtId="173" fontId="31" fillId="0" borderId="4" xfId="0" applyNumberFormat="1" applyFont="1" applyFill="1" applyBorder="1" applyAlignment="1">
      <alignment vertical="center"/>
    </xf>
    <xf numFmtId="173" fontId="31" fillId="0" borderId="2" xfId="0" applyNumberFormat="1" applyFont="1" applyFill="1" applyBorder="1" applyAlignment="1">
      <alignment vertical="center"/>
    </xf>
    <xf numFmtId="0" fontId="41" fillId="0" borderId="7" xfId="0" applyFont="1" applyFill="1" applyBorder="1" applyAlignment="1">
      <alignment horizontal="center" vertical="center"/>
    </xf>
    <xf numFmtId="0" fontId="31" fillId="0" borderId="7" xfId="0" applyFont="1" applyFill="1" applyBorder="1" applyAlignment="1">
      <alignment vertical="center"/>
    </xf>
    <xf numFmtId="0" fontId="31" fillId="0" borderId="1" xfId="0" applyFont="1" applyBorder="1" applyAlignment="1">
      <alignment vertical="center"/>
    </xf>
    <xf numFmtId="0" fontId="41" fillId="6" borderId="2" xfId="0" applyFont="1" applyFill="1" applyBorder="1" applyAlignment="1">
      <alignment horizontal="center" vertical="center"/>
    </xf>
    <xf numFmtId="0" fontId="31" fillId="0" borderId="12" xfId="0" applyFont="1" applyFill="1" applyBorder="1" applyAlignment="1">
      <alignment vertical="center"/>
    </xf>
    <xf numFmtId="0" fontId="2" fillId="0" borderId="4" xfId="0" applyFont="1" applyFill="1" applyBorder="1" applyAlignment="1">
      <alignment horizontal="left" vertical="center" wrapText="1"/>
    </xf>
    <xf numFmtId="169" fontId="31" fillId="0" borderId="10" xfId="33" applyNumberFormat="1" applyFont="1" applyFill="1" applyBorder="1" applyAlignment="1">
      <alignment horizontal="center" vertical="center"/>
    </xf>
    <xf numFmtId="0" fontId="41" fillId="0" borderId="1" xfId="0" applyFont="1" applyFill="1" applyBorder="1" applyAlignment="1">
      <alignment horizontal="center" vertical="center"/>
    </xf>
    <xf numFmtId="0" fontId="31" fillId="0" borderId="1" xfId="0" applyFont="1" applyFill="1" applyBorder="1" applyAlignment="1">
      <alignment vertical="center"/>
    </xf>
    <xf numFmtId="9" fontId="31" fillId="0" borderId="4" xfId="33" applyFont="1" applyFill="1" applyBorder="1" applyAlignment="1">
      <alignment horizontal="center" vertical="center"/>
    </xf>
    <xf numFmtId="14" fontId="31" fillId="0" borderId="4" xfId="34" applyNumberFormat="1" applyFont="1" applyFill="1" applyBorder="1" applyAlignment="1">
      <alignment horizontal="center" vertical="center"/>
    </xf>
    <xf numFmtId="14" fontId="31" fillId="0" borderId="4" xfId="0" applyNumberFormat="1" applyFont="1" applyFill="1" applyBorder="1" applyAlignment="1">
      <alignment horizontal="center" vertical="center"/>
    </xf>
    <xf numFmtId="0" fontId="0" fillId="0" borderId="4" xfId="0" applyFill="1" applyBorder="1" applyAlignment="1">
      <alignment vertical="center"/>
    </xf>
    <xf numFmtId="0" fontId="0" fillId="0" borderId="7" xfId="0" applyFill="1" applyBorder="1" applyAlignment="1">
      <alignment vertical="center" wrapText="1"/>
    </xf>
    <xf numFmtId="9" fontId="25" fillId="0" borderId="7" xfId="33" applyFont="1" applyFill="1" applyBorder="1" applyAlignment="1">
      <alignment horizontal="center" vertical="center"/>
    </xf>
    <xf numFmtId="0" fontId="0" fillId="0" borderId="7" xfId="0" applyFill="1" applyBorder="1" applyAlignment="1">
      <alignment horizontal="left" vertical="center" wrapText="1"/>
    </xf>
    <xf numFmtId="0" fontId="31" fillId="0" borderId="13" xfId="0" applyFont="1" applyFill="1" applyBorder="1" applyAlignment="1">
      <alignment vertical="center"/>
    </xf>
    <xf numFmtId="0" fontId="31" fillId="0" borderId="14"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0" xfId="0" applyFont="1" applyFill="1" applyBorder="1" applyAlignment="1">
      <alignment vertical="center" wrapText="1"/>
    </xf>
    <xf numFmtId="9" fontId="38" fillId="0" borderId="10" xfId="0" applyNumberFormat="1" applyFont="1" applyFill="1" applyBorder="1" applyAlignment="1">
      <alignment horizontal="center" vertical="center"/>
    </xf>
    <xf numFmtId="167" fontId="38"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174" fontId="31" fillId="0" borderId="1" xfId="0" applyNumberFormat="1" applyFont="1" applyFill="1" applyBorder="1" applyAlignment="1">
      <alignment vertical="center"/>
    </xf>
    <xf numFmtId="0" fontId="31" fillId="0" borderId="1" xfId="0" applyNumberFormat="1" applyFont="1" applyFill="1" applyBorder="1" applyAlignment="1">
      <alignment horizontal="center" vertical="center"/>
    </xf>
    <xf numFmtId="173" fontId="31" fillId="0" borderId="1" xfId="0" applyNumberFormat="1" applyFont="1" applyFill="1" applyBorder="1" applyAlignment="1">
      <alignment horizontal="center" vertical="center" wrapText="1"/>
    </xf>
    <xf numFmtId="174" fontId="31" fillId="0" borderId="2" xfId="0" applyNumberFormat="1" applyFont="1" applyFill="1" applyBorder="1" applyAlignment="1">
      <alignment vertical="center"/>
    </xf>
    <xf numFmtId="173" fontId="31" fillId="0" borderId="2" xfId="0" applyNumberFormat="1" applyFont="1" applyFill="1" applyBorder="1" applyAlignment="1">
      <alignment vertical="center" wrapText="1"/>
    </xf>
    <xf numFmtId="175" fontId="31" fillId="0" borderId="2" xfId="33" applyNumberFormat="1" applyFont="1" applyFill="1" applyBorder="1" applyAlignment="1">
      <alignment horizontal="center" vertical="center"/>
    </xf>
    <xf numFmtId="3" fontId="31" fillId="0" borderId="4" xfId="0" applyNumberFormat="1" applyFont="1" applyFill="1" applyBorder="1" applyAlignment="1">
      <alignment horizontal="center" vertical="center" wrapText="1"/>
    </xf>
    <xf numFmtId="3" fontId="31" fillId="0" borderId="2" xfId="0" applyNumberFormat="1" applyFont="1" applyFill="1" applyBorder="1" applyAlignment="1">
      <alignment horizontal="center" vertical="center" wrapText="1"/>
    </xf>
    <xf numFmtId="173" fontId="31" fillId="0" borderId="2" xfId="0" applyNumberFormat="1" applyFont="1" applyFill="1" applyBorder="1" applyAlignment="1">
      <alignment horizontal="center" vertical="center"/>
    </xf>
    <xf numFmtId="3" fontId="31" fillId="0" borderId="2" xfId="0" applyNumberFormat="1" applyFont="1" applyFill="1" applyBorder="1" applyAlignment="1">
      <alignment horizontal="center" vertical="center"/>
    </xf>
    <xf numFmtId="172" fontId="31" fillId="0" borderId="7" xfId="34" applyNumberFormat="1" applyFont="1" applyFill="1" applyBorder="1" applyAlignment="1">
      <alignment horizontal="center" vertical="center"/>
    </xf>
    <xf numFmtId="173" fontId="31" fillId="0" borderId="7" xfId="0" applyNumberFormat="1" applyFont="1" applyFill="1" applyBorder="1" applyAlignment="1">
      <alignment vertical="center"/>
    </xf>
    <xf numFmtId="3" fontId="31" fillId="0" borderId="7" xfId="0" applyNumberFormat="1" applyFont="1" applyFill="1" applyBorder="1" applyAlignment="1">
      <alignment horizontal="center" vertical="center" wrapText="1"/>
    </xf>
    <xf numFmtId="174" fontId="31" fillId="0" borderId="4" xfId="0" applyNumberFormat="1" applyFont="1" applyFill="1" applyBorder="1" applyAlignment="1">
      <alignment vertical="center"/>
    </xf>
    <xf numFmtId="174" fontId="38" fillId="0" borderId="2" xfId="0" applyNumberFormat="1" applyFont="1" applyFill="1" applyBorder="1" applyAlignment="1">
      <alignment vertical="center"/>
    </xf>
    <xf numFmtId="174" fontId="31" fillId="0" borderId="10" xfId="0" applyNumberFormat="1" applyFont="1" applyFill="1" applyBorder="1" applyAlignment="1">
      <alignment vertical="center"/>
    </xf>
    <xf numFmtId="0" fontId="0" fillId="0" borderId="10" xfId="0" applyFill="1" applyBorder="1" applyAlignment="1">
      <alignment vertical="center" wrapText="1"/>
    </xf>
    <xf numFmtId="173" fontId="31" fillId="0" borderId="10" xfId="0" applyNumberFormat="1" applyFont="1" applyFill="1" applyBorder="1" applyAlignment="1">
      <alignment vertical="center"/>
    </xf>
    <xf numFmtId="169" fontId="38" fillId="0" borderId="10" xfId="0" applyNumberFormat="1" applyFont="1" applyFill="1" applyBorder="1" applyAlignment="1">
      <alignment vertical="center"/>
    </xf>
    <xf numFmtId="169" fontId="38" fillId="0" borderId="10" xfId="0" applyNumberFormat="1" applyFont="1" applyFill="1" applyBorder="1" applyAlignment="1">
      <alignment horizontal="center" vertical="center"/>
    </xf>
    <xf numFmtId="0" fontId="2" fillId="0" borderId="14" xfId="0" applyFont="1" applyFill="1" applyBorder="1" applyAlignment="1">
      <alignment horizontal="left" vertical="center" wrapText="1"/>
    </xf>
    <xf numFmtId="167" fontId="31" fillId="8" borderId="2" xfId="0" applyNumberFormat="1" applyFont="1" applyFill="1" applyBorder="1" applyAlignment="1">
      <alignment horizontal="center" vertical="center" wrapText="1"/>
    </xf>
    <xf numFmtId="0" fontId="31" fillId="8" borderId="2" xfId="0" applyNumberFormat="1" applyFont="1" applyFill="1" applyBorder="1" applyAlignment="1">
      <alignment horizontal="center" vertical="center" wrapText="1"/>
    </xf>
    <xf numFmtId="0" fontId="31" fillId="0" borderId="15"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1" fillId="0" borderId="2" xfId="0" quotePrefix="1" applyFont="1" applyFill="1" applyBorder="1" applyAlignment="1">
      <alignment vertical="center" wrapText="1"/>
    </xf>
    <xf numFmtId="0" fontId="37" fillId="0" borderId="10"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7" xfId="0" applyFont="1" applyFill="1" applyBorder="1" applyAlignment="1">
      <alignment horizontal="center" vertical="center"/>
    </xf>
    <xf numFmtId="169" fontId="31" fillId="0" borderId="2" xfId="0" applyNumberFormat="1" applyFont="1" applyFill="1" applyBorder="1" applyAlignment="1">
      <alignment horizontal="right" vertical="center"/>
    </xf>
    <xf numFmtId="0" fontId="31" fillId="8" borderId="4" xfId="0" applyFont="1" applyFill="1" applyBorder="1" applyAlignment="1">
      <alignment horizontal="center" vertical="center"/>
    </xf>
    <xf numFmtId="0" fontId="42" fillId="8" borderId="4" xfId="0" applyFont="1" applyFill="1" applyBorder="1" applyAlignment="1">
      <alignment horizontal="center" vertical="center"/>
    </xf>
    <xf numFmtId="0" fontId="31" fillId="8" borderId="4" xfId="0" applyFont="1" applyFill="1" applyBorder="1" applyAlignment="1">
      <alignment horizontal="left" vertical="center" wrapText="1"/>
    </xf>
    <xf numFmtId="0" fontId="31" fillId="8" borderId="4" xfId="0" applyFont="1" applyFill="1" applyBorder="1" applyAlignment="1">
      <alignment vertical="center" wrapText="1"/>
    </xf>
    <xf numFmtId="9" fontId="31" fillId="8" borderId="4" xfId="34" applyFont="1" applyFill="1" applyBorder="1" applyAlignment="1">
      <alignment horizontal="center" vertical="center"/>
    </xf>
    <xf numFmtId="167" fontId="31" fillId="8" borderId="4" xfId="0" applyNumberFormat="1" applyFont="1" applyFill="1" applyBorder="1" applyAlignment="1">
      <alignment horizontal="center" vertical="center" wrapText="1"/>
    </xf>
    <xf numFmtId="0" fontId="31" fillId="8" borderId="4" xfId="0" applyNumberFormat="1" applyFont="1" applyFill="1" applyBorder="1" applyAlignment="1">
      <alignment horizontal="center" vertical="center" wrapText="1"/>
    </xf>
    <xf numFmtId="169" fontId="31" fillId="8" borderId="4" xfId="0" applyNumberFormat="1" applyFont="1" applyFill="1" applyBorder="1" applyAlignment="1">
      <alignment horizontal="center" vertical="center" wrapText="1"/>
    </xf>
    <xf numFmtId="169" fontId="31" fillId="8" borderId="4" xfId="0" applyNumberFormat="1" applyFont="1" applyFill="1" applyBorder="1" applyAlignment="1">
      <alignment vertical="center"/>
    </xf>
    <xf numFmtId="169" fontId="31" fillId="8" borderId="4" xfId="0" applyNumberFormat="1" applyFont="1" applyFill="1" applyBorder="1" applyAlignment="1">
      <alignment horizontal="center" vertical="center"/>
    </xf>
    <xf numFmtId="3" fontId="31" fillId="8" borderId="4" xfId="33" applyNumberFormat="1" applyFont="1" applyFill="1" applyBorder="1" applyAlignment="1">
      <alignment horizontal="center" vertical="center"/>
    </xf>
    <xf numFmtId="4" fontId="31" fillId="8" borderId="4" xfId="33" applyNumberFormat="1" applyFont="1" applyFill="1" applyBorder="1" applyAlignment="1">
      <alignment horizontal="center" vertical="center"/>
    </xf>
    <xf numFmtId="4" fontId="31" fillId="8" borderId="4" xfId="0" applyNumberFormat="1" applyFont="1" applyFill="1" applyBorder="1" applyAlignment="1">
      <alignment horizontal="center" vertical="center" wrapText="1"/>
    </xf>
    <xf numFmtId="0" fontId="37" fillId="0" borderId="16" xfId="0" applyFont="1" applyFill="1" applyBorder="1" applyAlignment="1">
      <alignment horizontal="center" vertical="center" wrapText="1"/>
    </xf>
    <xf numFmtId="9" fontId="31" fillId="0" borderId="2" xfId="35" applyFont="1" applyFill="1" applyBorder="1" applyAlignment="1">
      <alignment horizontal="left" vertical="center" wrapText="1"/>
    </xf>
    <xf numFmtId="9" fontId="31" fillId="0" borderId="15" xfId="34" applyFont="1" applyFill="1" applyBorder="1" applyAlignment="1">
      <alignment horizontal="center" vertical="center"/>
    </xf>
    <xf numFmtId="14" fontId="31" fillId="0" borderId="2" xfId="0" applyNumberFormat="1" applyFont="1" applyFill="1" applyBorder="1" applyAlignment="1">
      <alignment horizontal="center" vertical="center" wrapText="1"/>
    </xf>
    <xf numFmtId="0" fontId="31" fillId="0" borderId="16" xfId="0" applyNumberFormat="1" applyFont="1" applyFill="1" applyBorder="1" applyAlignment="1">
      <alignment horizontal="center" vertical="center" wrapText="1"/>
    </xf>
    <xf numFmtId="169" fontId="31" fillId="0" borderId="15" xfId="0" applyNumberFormat="1" applyFont="1" applyFill="1" applyBorder="1" applyAlignment="1">
      <alignment horizontal="center" vertical="center" wrapText="1"/>
    </xf>
    <xf numFmtId="169" fontId="31" fillId="0" borderId="16" xfId="0" applyNumberFormat="1" applyFont="1" applyFill="1" applyBorder="1" applyAlignment="1">
      <alignment horizontal="center" vertical="center"/>
    </xf>
    <xf numFmtId="0" fontId="37" fillId="0" borderId="3" xfId="0" applyFont="1" applyFill="1" applyBorder="1" applyAlignment="1">
      <alignment horizontal="center" vertical="center" wrapText="1"/>
    </xf>
    <xf numFmtId="9" fontId="31" fillId="0" borderId="17" xfId="34"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169" fontId="31" fillId="0" borderId="17" xfId="0" applyNumberFormat="1" applyFont="1" applyFill="1" applyBorder="1" applyAlignment="1">
      <alignment horizontal="center" vertical="center" wrapText="1"/>
    </xf>
    <xf numFmtId="169" fontId="31" fillId="0" borderId="3" xfId="0" applyNumberFormat="1" applyFont="1" applyFill="1" applyBorder="1" applyAlignment="1">
      <alignment horizontal="center" vertical="center" wrapText="1"/>
    </xf>
    <xf numFmtId="9" fontId="31" fillId="0" borderId="17" xfId="34" applyFont="1" applyFill="1" applyBorder="1" applyAlignment="1">
      <alignment horizontal="center" vertical="center"/>
    </xf>
    <xf numFmtId="169" fontId="31" fillId="0" borderId="3" xfId="0" applyNumberFormat="1" applyFont="1" applyFill="1" applyBorder="1" applyAlignment="1">
      <alignment horizontal="center" vertical="center"/>
    </xf>
    <xf numFmtId="0" fontId="37" fillId="0" borderId="18" xfId="0" applyFont="1" applyFill="1" applyBorder="1" applyAlignment="1">
      <alignment horizontal="center" vertical="center" wrapText="1"/>
    </xf>
    <xf numFmtId="9" fontId="31" fillId="0" borderId="7" xfId="35" applyFont="1" applyFill="1" applyBorder="1" applyAlignment="1">
      <alignment horizontal="left" vertical="center" wrapText="1"/>
    </xf>
    <xf numFmtId="9" fontId="31" fillId="0" borderId="19" xfId="34" applyFont="1" applyFill="1" applyBorder="1" applyAlignment="1">
      <alignment horizontal="center" vertical="center"/>
    </xf>
    <xf numFmtId="14" fontId="31" fillId="0" borderId="10" xfId="0" applyNumberFormat="1" applyFont="1" applyFill="1" applyBorder="1" applyAlignment="1">
      <alignment horizontal="center" vertical="center" wrapText="1"/>
    </xf>
    <xf numFmtId="14" fontId="31" fillId="0" borderId="7" xfId="0" applyNumberFormat="1" applyFont="1" applyFill="1" applyBorder="1" applyAlignment="1">
      <alignment horizontal="center" vertical="center" wrapText="1"/>
    </xf>
    <xf numFmtId="0" fontId="31" fillId="0" borderId="18" xfId="0" applyNumberFormat="1" applyFont="1" applyFill="1" applyBorder="1" applyAlignment="1">
      <alignment horizontal="center" vertical="center" wrapText="1"/>
    </xf>
    <xf numFmtId="169" fontId="31" fillId="0" borderId="19" xfId="0" applyNumberFormat="1" applyFont="1" applyFill="1" applyBorder="1" applyAlignment="1">
      <alignment horizontal="center" vertical="center" wrapText="1"/>
    </xf>
    <xf numFmtId="169" fontId="31" fillId="0" borderId="18" xfId="0" applyNumberFormat="1" applyFont="1" applyFill="1" applyBorder="1" applyAlignment="1">
      <alignment horizontal="center" vertical="center"/>
    </xf>
    <xf numFmtId="0" fontId="37" fillId="0" borderId="12" xfId="0" applyFont="1" applyFill="1" applyBorder="1" applyAlignment="1">
      <alignment horizontal="center" vertical="center" wrapText="1"/>
    </xf>
    <xf numFmtId="0" fontId="31" fillId="0" borderId="20" xfId="0" applyFont="1" applyFill="1" applyBorder="1" applyAlignment="1">
      <alignment vertical="center" wrapText="1"/>
    </xf>
    <xf numFmtId="9" fontId="31" fillId="0" borderId="10" xfId="33" applyFont="1" applyFill="1" applyBorder="1" applyAlignment="1">
      <alignment horizontal="center" vertical="center"/>
    </xf>
    <xf numFmtId="14" fontId="31" fillId="0" borderId="10" xfId="34" applyNumberFormat="1" applyFont="1" applyFill="1" applyBorder="1" applyAlignment="1">
      <alignment horizontal="center" vertical="center"/>
    </xf>
    <xf numFmtId="14" fontId="31" fillId="0" borderId="10" xfId="0" applyNumberFormat="1" applyFont="1" applyFill="1" applyBorder="1" applyAlignment="1">
      <alignment horizontal="center" vertical="center"/>
    </xf>
    <xf numFmtId="169" fontId="31" fillId="0" borderId="10" xfId="0" applyNumberFormat="1" applyFont="1" applyFill="1" applyBorder="1" applyAlignment="1">
      <alignment horizontal="right" vertical="center"/>
    </xf>
    <xf numFmtId="0" fontId="37" fillId="8" borderId="4" xfId="0" applyFont="1" applyFill="1" applyBorder="1" applyAlignment="1">
      <alignment vertical="center" wrapText="1"/>
    </xf>
    <xf numFmtId="176" fontId="31" fillId="0" borderId="1" xfId="33" applyNumberFormat="1" applyFont="1" applyFill="1" applyBorder="1" applyAlignment="1">
      <alignment horizontal="center" vertical="center"/>
    </xf>
    <xf numFmtId="177" fontId="31" fillId="0" borderId="1" xfId="33" applyNumberFormat="1" applyFont="1" applyFill="1" applyBorder="1" applyAlignment="1">
      <alignment horizontal="center" vertical="center"/>
    </xf>
    <xf numFmtId="3" fontId="31" fillId="0" borderId="1" xfId="0" applyNumberFormat="1" applyFont="1" applyFill="1" applyBorder="1" applyAlignment="1">
      <alignment horizontal="center" vertical="center" wrapText="1"/>
    </xf>
    <xf numFmtId="173" fontId="31" fillId="0" borderId="1" xfId="0" applyNumberFormat="1" applyFont="1" applyFill="1" applyBorder="1" applyAlignment="1">
      <alignment vertical="center"/>
    </xf>
    <xf numFmtId="173" fontId="31" fillId="0" borderId="2" xfId="0" applyNumberFormat="1" applyFont="1" applyFill="1" applyBorder="1" applyAlignment="1">
      <alignment horizontal="center" vertical="center" wrapText="1"/>
    </xf>
    <xf numFmtId="178" fontId="31" fillId="0" borderId="1" xfId="33" applyNumberFormat="1" applyFont="1" applyFill="1" applyBorder="1" applyAlignment="1">
      <alignment horizontal="center" vertical="center"/>
    </xf>
    <xf numFmtId="178" fontId="31" fillId="0" borderId="7" xfId="33" applyNumberFormat="1" applyFont="1" applyFill="1" applyBorder="1" applyAlignment="1">
      <alignment horizontal="center" vertical="center"/>
    </xf>
    <xf numFmtId="177" fontId="31" fillId="0" borderId="7" xfId="33" applyNumberFormat="1" applyFont="1" applyFill="1" applyBorder="1" applyAlignment="1">
      <alignment horizontal="center" vertical="center"/>
    </xf>
    <xf numFmtId="176" fontId="31" fillId="0" borderId="20" xfId="33" applyNumberFormat="1" applyFont="1" applyFill="1" applyBorder="1" applyAlignment="1">
      <alignment horizontal="center" vertical="center"/>
    </xf>
    <xf numFmtId="10" fontId="31" fillId="0" borderId="4" xfId="34" applyNumberFormat="1" applyFont="1" applyFill="1" applyBorder="1" applyAlignment="1">
      <alignment horizontal="center" vertical="center"/>
    </xf>
    <xf numFmtId="173" fontId="31" fillId="0" borderId="21" xfId="0" applyNumberFormat="1" applyFont="1" applyFill="1" applyBorder="1" applyAlignment="1">
      <alignment vertical="center"/>
    </xf>
    <xf numFmtId="169" fontId="31" fillId="0" borderId="21" xfId="0" applyNumberFormat="1" applyFont="1" applyFill="1" applyBorder="1" applyAlignment="1">
      <alignment horizontal="center" vertical="center"/>
    </xf>
    <xf numFmtId="177" fontId="31" fillId="0" borderId="20" xfId="33" applyNumberFormat="1" applyFont="1" applyFill="1" applyBorder="1" applyAlignment="1">
      <alignment horizontal="center" vertical="center"/>
    </xf>
    <xf numFmtId="176" fontId="31" fillId="0" borderId="2" xfId="33" applyNumberFormat="1" applyFont="1" applyFill="1" applyBorder="1" applyAlignment="1">
      <alignment horizontal="center" vertical="center"/>
    </xf>
    <xf numFmtId="177" fontId="31" fillId="0" borderId="2" xfId="33" applyNumberFormat="1" applyFont="1" applyFill="1" applyBorder="1" applyAlignment="1">
      <alignment horizontal="center" vertical="center"/>
    </xf>
    <xf numFmtId="173" fontId="31" fillId="0" borderId="7" xfId="0" applyNumberFormat="1" applyFont="1" applyFill="1" applyBorder="1" applyAlignment="1">
      <alignment horizontal="center" vertical="center" wrapText="1"/>
    </xf>
    <xf numFmtId="173" fontId="38" fillId="0" borderId="2" xfId="0" applyNumberFormat="1" applyFont="1" applyFill="1" applyBorder="1" applyAlignment="1">
      <alignment vertical="center"/>
    </xf>
    <xf numFmtId="9" fontId="31" fillId="0" borderId="7" xfId="33" applyFont="1" applyFill="1" applyBorder="1" applyAlignment="1">
      <alignment horizontal="center" vertical="center"/>
    </xf>
    <xf numFmtId="14" fontId="31" fillId="0" borderId="7" xfId="34" applyNumberFormat="1" applyFont="1" applyFill="1" applyBorder="1" applyAlignment="1">
      <alignment horizontal="center" vertical="center"/>
    </xf>
    <xf numFmtId="14" fontId="31" fillId="0" borderId="7" xfId="0" applyNumberFormat="1" applyFont="1" applyFill="1" applyBorder="1" applyAlignment="1">
      <alignment horizontal="center" vertical="center"/>
    </xf>
    <xf numFmtId="4" fontId="31" fillId="0" borderId="20" xfId="0" applyNumberFormat="1" applyFont="1" applyFill="1" applyBorder="1" applyAlignment="1">
      <alignment horizontal="center" vertical="center" wrapText="1"/>
    </xf>
    <xf numFmtId="0" fontId="2" fillId="0" borderId="2" xfId="0" applyFont="1" applyFill="1" applyBorder="1" applyAlignment="1">
      <alignment vertical="center" wrapText="1"/>
    </xf>
    <xf numFmtId="3" fontId="31" fillId="0" borderId="21" xfId="33" applyNumberFormat="1" applyFont="1" applyFill="1" applyBorder="1" applyAlignment="1">
      <alignment horizontal="center" vertical="center"/>
    </xf>
    <xf numFmtId="169" fontId="31" fillId="0" borderId="21" xfId="0" applyNumberFormat="1" applyFont="1" applyFill="1" applyBorder="1" applyAlignment="1">
      <alignment horizontal="center" vertical="center" wrapText="1"/>
    </xf>
    <xf numFmtId="4" fontId="31" fillId="0" borderId="21" xfId="0" applyNumberFormat="1" applyFont="1" applyFill="1" applyBorder="1" applyAlignment="1">
      <alignment horizontal="center" vertical="center" wrapText="1"/>
    </xf>
    <xf numFmtId="0" fontId="5" fillId="0" borderId="2" xfId="26" applyFont="1" applyBorder="1" applyAlignment="1">
      <alignment horizontal="center" vertical="center" wrapText="1"/>
    </xf>
    <xf numFmtId="0" fontId="5" fillId="0" borderId="2" xfId="0" applyFont="1" applyBorder="1" applyAlignment="1">
      <alignment horizontal="justify" vertical="center" wrapText="1"/>
    </xf>
    <xf numFmtId="9" fontId="5" fillId="0" borderId="2" xfId="26" applyNumberFormat="1" applyFont="1" applyBorder="1" applyAlignment="1">
      <alignment horizontal="center" vertical="center"/>
    </xf>
    <xf numFmtId="15" fontId="5" fillId="0" borderId="3" xfId="0" applyNumberFormat="1" applyFont="1" applyFill="1" applyBorder="1" applyAlignment="1" applyProtection="1">
      <alignment horizontal="center" vertical="center" wrapText="1"/>
    </xf>
    <xf numFmtId="15" fontId="5" fillId="0" borderId="2" xfId="0" applyNumberFormat="1" applyFont="1" applyFill="1" applyBorder="1" applyAlignment="1" applyProtection="1">
      <alignment horizontal="center" vertical="center" wrapText="1"/>
    </xf>
    <xf numFmtId="0" fontId="5" fillId="0" borderId="1" xfId="26" applyFont="1" applyBorder="1" applyAlignment="1">
      <alignment horizontal="justify" vertical="center" wrapText="1"/>
    </xf>
    <xf numFmtId="167" fontId="31" fillId="0" borderId="21" xfId="0" applyNumberFormat="1" applyFont="1" applyFill="1" applyBorder="1" applyAlignment="1">
      <alignment horizontal="center" vertical="center" wrapText="1"/>
    </xf>
    <xf numFmtId="172" fontId="31" fillId="0" borderId="4" xfId="34" applyNumberFormat="1" applyFont="1" applyFill="1" applyBorder="1" applyAlignment="1">
      <alignment horizontal="center" vertical="center"/>
    </xf>
    <xf numFmtId="0" fontId="31" fillId="0" borderId="21" xfId="0" applyFont="1" applyFill="1" applyBorder="1" applyAlignment="1">
      <alignment horizontal="center" vertical="center"/>
    </xf>
    <xf numFmtId="4" fontId="31" fillId="0" borderId="21" xfId="33" applyNumberFormat="1" applyFont="1" applyFill="1" applyBorder="1" applyAlignment="1">
      <alignment horizontal="center" vertical="center"/>
    </xf>
    <xf numFmtId="169" fontId="31" fillId="0" borderId="17" xfId="0" applyNumberFormat="1" applyFont="1" applyFill="1" applyBorder="1" applyAlignment="1">
      <alignment vertical="center"/>
    </xf>
    <xf numFmtId="0" fontId="2" fillId="0" borderId="2" xfId="0" applyFont="1" applyBorder="1" applyAlignment="1">
      <alignment horizontal="left" vertical="center" wrapText="1"/>
    </xf>
    <xf numFmtId="9" fontId="31" fillId="8" borderId="21" xfId="34" applyFont="1" applyFill="1" applyBorder="1" applyAlignment="1">
      <alignment horizontal="center" vertical="center"/>
    </xf>
    <xf numFmtId="167" fontId="31" fillId="8" borderId="21" xfId="0" applyNumberFormat="1" applyFont="1" applyFill="1" applyBorder="1" applyAlignment="1">
      <alignment horizontal="center" vertical="center" wrapText="1"/>
    </xf>
    <xf numFmtId="0" fontId="31" fillId="8" borderId="21" xfId="0" applyNumberFormat="1" applyFont="1" applyFill="1" applyBorder="1" applyAlignment="1">
      <alignment horizontal="center" vertical="center" wrapText="1"/>
    </xf>
    <xf numFmtId="169" fontId="31" fillId="8" borderId="21" xfId="0" applyNumberFormat="1" applyFont="1" applyFill="1" applyBorder="1" applyAlignment="1">
      <alignment horizontal="center" vertical="center" wrapText="1"/>
    </xf>
    <xf numFmtId="169" fontId="31" fillId="8" borderId="21" xfId="0" applyNumberFormat="1" applyFont="1" applyFill="1" applyBorder="1" applyAlignment="1">
      <alignment vertical="center"/>
    </xf>
    <xf numFmtId="169" fontId="31" fillId="8" borderId="21" xfId="0" applyNumberFormat="1" applyFont="1" applyFill="1" applyBorder="1" applyAlignment="1">
      <alignment horizontal="center" vertical="center"/>
    </xf>
    <xf numFmtId="0" fontId="31" fillId="8" borderId="21" xfId="0" applyFont="1" applyFill="1" applyBorder="1" applyAlignment="1">
      <alignment horizontal="center" vertical="center"/>
    </xf>
    <xf numFmtId="3" fontId="31" fillId="8" borderId="21" xfId="33" applyNumberFormat="1" applyFont="1" applyFill="1" applyBorder="1" applyAlignment="1">
      <alignment horizontal="center" vertical="center"/>
    </xf>
    <xf numFmtId="4" fontId="31" fillId="8" borderId="21" xfId="33" applyNumberFormat="1" applyFont="1" applyFill="1" applyBorder="1" applyAlignment="1">
      <alignment horizontal="center" vertical="center"/>
    </xf>
    <xf numFmtId="4" fontId="31" fillId="8" borderId="21" xfId="0" applyNumberFormat="1" applyFont="1" applyFill="1" applyBorder="1" applyAlignment="1">
      <alignment horizontal="center" vertical="center" wrapText="1"/>
    </xf>
    <xf numFmtId="0" fontId="0" fillId="0" borderId="6" xfId="0" applyFill="1" applyBorder="1" applyAlignment="1">
      <alignment vertical="center" wrapText="1"/>
    </xf>
    <xf numFmtId="0" fontId="0" fillId="0" borderId="22" xfId="0" applyFill="1" applyBorder="1" applyAlignment="1">
      <alignment vertical="center" wrapText="1"/>
    </xf>
    <xf numFmtId="0" fontId="31" fillId="0" borderId="23" xfId="0" applyFont="1" applyFill="1" applyBorder="1" applyAlignment="1">
      <alignment horizontal="left" vertical="center" wrapText="1"/>
    </xf>
    <xf numFmtId="0" fontId="31" fillId="0" borderId="23" xfId="0" applyFont="1" applyFill="1" applyBorder="1" applyAlignment="1">
      <alignment vertical="center" wrapText="1"/>
    </xf>
    <xf numFmtId="9" fontId="31" fillId="0" borderId="23" xfId="34" applyFont="1" applyFill="1" applyBorder="1" applyAlignment="1">
      <alignment horizontal="center" vertical="center"/>
    </xf>
    <xf numFmtId="167" fontId="31" fillId="0" borderId="23" xfId="0" applyNumberFormat="1" applyFont="1" applyFill="1" applyBorder="1" applyAlignment="1">
      <alignment horizontal="center" vertical="center" wrapText="1"/>
    </xf>
    <xf numFmtId="169" fontId="31" fillId="0" borderId="23" xfId="0" applyNumberFormat="1" applyFont="1" applyFill="1" applyBorder="1" applyAlignment="1">
      <alignment horizontal="center" vertical="center" wrapText="1"/>
    </xf>
    <xf numFmtId="169" fontId="31" fillId="0" borderId="23" xfId="0" applyNumberFormat="1" applyFont="1" applyFill="1" applyBorder="1" applyAlignment="1">
      <alignment vertical="center"/>
    </xf>
    <xf numFmtId="169" fontId="31" fillId="0" borderId="23" xfId="0" applyNumberFormat="1" applyFont="1" applyFill="1" applyBorder="1" applyAlignment="1">
      <alignment horizontal="center" vertical="center"/>
    </xf>
    <xf numFmtId="0" fontId="31" fillId="0" borderId="23" xfId="0" applyFont="1" applyFill="1" applyBorder="1" applyAlignment="1">
      <alignment horizontal="center" vertical="center"/>
    </xf>
    <xf numFmtId="3" fontId="31" fillId="0" borderId="23" xfId="33" applyNumberFormat="1" applyFont="1" applyFill="1" applyBorder="1" applyAlignment="1">
      <alignment horizontal="center" vertical="center"/>
    </xf>
    <xf numFmtId="4" fontId="31" fillId="0" borderId="23" xfId="33" applyNumberFormat="1" applyFont="1" applyFill="1" applyBorder="1" applyAlignment="1">
      <alignment horizontal="center" vertical="center"/>
    </xf>
    <xf numFmtId="4" fontId="31" fillId="0" borderId="23" xfId="0" applyNumberFormat="1" applyFont="1" applyFill="1" applyBorder="1" applyAlignment="1">
      <alignment horizontal="center" vertical="center" wrapText="1"/>
    </xf>
    <xf numFmtId="0" fontId="31" fillId="0" borderId="21" xfId="0" applyFont="1" applyFill="1" applyBorder="1" applyAlignment="1">
      <alignment horizontal="left" vertical="center"/>
    </xf>
    <xf numFmtId="0" fontId="31" fillId="0" borderId="21" xfId="0" applyFont="1" applyFill="1" applyBorder="1" applyAlignment="1">
      <alignment horizontal="left" vertical="center" wrapText="1"/>
    </xf>
    <xf numFmtId="173" fontId="31" fillId="0" borderId="4" xfId="0" applyNumberFormat="1" applyFont="1" applyFill="1" applyBorder="1" applyAlignment="1">
      <alignment vertical="center" wrapText="1"/>
    </xf>
    <xf numFmtId="173" fontId="31" fillId="0" borderId="7" xfId="0" applyNumberFormat="1" applyFont="1" applyFill="1" applyBorder="1" applyAlignment="1">
      <alignment vertical="center" wrapText="1"/>
    </xf>
    <xf numFmtId="0" fontId="37"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72" fontId="31" fillId="0" borderId="2" xfId="34" applyNumberFormat="1" applyFont="1" applyFill="1" applyBorder="1" applyAlignment="1">
      <alignment horizontal="center" vertical="center"/>
    </xf>
    <xf numFmtId="14" fontId="31" fillId="0" borderId="4" xfId="0" applyNumberFormat="1" applyFont="1" applyFill="1" applyBorder="1" applyAlignment="1">
      <alignment horizontal="center" vertical="center" wrapText="1"/>
    </xf>
    <xf numFmtId="44" fontId="31" fillId="0" borderId="4" xfId="0" applyNumberFormat="1" applyFont="1" applyFill="1" applyBorder="1" applyAlignment="1">
      <alignment vertical="center"/>
    </xf>
    <xf numFmtId="44" fontId="31" fillId="0" borderId="2" xfId="0" applyNumberFormat="1" applyFont="1" applyFill="1" applyBorder="1" applyAlignment="1">
      <alignment vertical="center"/>
    </xf>
    <xf numFmtId="44" fontId="31" fillId="0" borderId="7" xfId="0" applyNumberFormat="1" applyFont="1" applyFill="1" applyBorder="1" applyAlignment="1">
      <alignment vertical="center"/>
    </xf>
    <xf numFmtId="15" fontId="31" fillId="0" borderId="4" xfId="0" applyNumberFormat="1" applyFont="1" applyFill="1" applyBorder="1" applyAlignment="1">
      <alignment horizontal="center" vertical="center" wrapText="1"/>
    </xf>
    <xf numFmtId="165" fontId="31" fillId="0" borderId="4" xfId="0" applyNumberFormat="1" applyFont="1" applyFill="1" applyBorder="1" applyAlignment="1">
      <alignment vertical="center"/>
    </xf>
    <xf numFmtId="15" fontId="31" fillId="0" borderId="2" xfId="0" applyNumberFormat="1" applyFont="1" applyFill="1" applyBorder="1" applyAlignment="1">
      <alignment horizontal="center" vertical="center" wrapText="1"/>
    </xf>
    <xf numFmtId="165" fontId="31" fillId="0" borderId="2" xfId="0" applyNumberFormat="1" applyFont="1" applyFill="1" applyBorder="1" applyAlignment="1">
      <alignment vertical="center"/>
    </xf>
    <xf numFmtId="15" fontId="38" fillId="0" borderId="2" xfId="0" applyNumberFormat="1" applyFont="1" applyFill="1" applyBorder="1" applyAlignment="1">
      <alignment horizontal="center" vertical="center" wrapText="1"/>
    </xf>
    <xf numFmtId="165" fontId="38" fillId="0" borderId="2" xfId="0" applyNumberFormat="1" applyFont="1" applyFill="1" applyBorder="1" applyAlignment="1">
      <alignment vertical="center"/>
    </xf>
    <xf numFmtId="15" fontId="31" fillId="0" borderId="7" xfId="0" applyNumberFormat="1" applyFont="1" applyFill="1" applyBorder="1" applyAlignment="1">
      <alignment horizontal="center" vertical="center" wrapText="1"/>
    </xf>
    <xf numFmtId="165" fontId="31" fillId="0" borderId="7" xfId="0" applyNumberFormat="1" applyFont="1" applyFill="1" applyBorder="1" applyAlignment="1">
      <alignment vertical="center"/>
    </xf>
    <xf numFmtId="0" fontId="41" fillId="0" borderId="21" xfId="0" applyFont="1" applyFill="1" applyBorder="1" applyAlignment="1">
      <alignment horizontal="center" vertical="center"/>
    </xf>
    <xf numFmtId="9" fontId="31" fillId="0" borderId="10" xfId="34" applyFont="1" applyFill="1" applyBorder="1" applyAlignment="1">
      <alignment horizontal="center" vertical="center" wrapText="1"/>
    </xf>
    <xf numFmtId="173" fontId="31" fillId="0" borderId="10" xfId="0" applyNumberFormat="1" applyFont="1" applyFill="1" applyBorder="1" applyAlignment="1">
      <alignment vertical="center" wrapText="1"/>
    </xf>
    <xf numFmtId="0" fontId="37" fillId="0" borderId="23" xfId="0" applyFont="1" applyFill="1" applyBorder="1" applyAlignment="1">
      <alignment vertical="center" wrapText="1"/>
    </xf>
    <xf numFmtId="9" fontId="31" fillId="0" borderId="19" xfId="34" applyFont="1" applyFill="1" applyBorder="1" applyAlignment="1">
      <alignment horizontal="center" vertical="center" wrapText="1"/>
    </xf>
    <xf numFmtId="169" fontId="31" fillId="0" borderId="18" xfId="0" applyNumberFormat="1" applyFont="1" applyFill="1" applyBorder="1" applyAlignment="1">
      <alignment horizontal="center" vertical="center" wrapText="1"/>
    </xf>
    <xf numFmtId="172" fontId="31" fillId="0" borderId="2" xfId="34" applyNumberFormat="1" applyFont="1" applyFill="1" applyBorder="1" applyAlignment="1">
      <alignment horizontal="center" vertical="center" wrapText="1"/>
    </xf>
    <xf numFmtId="166" fontId="31" fillId="0" borderId="4" xfId="0" applyNumberFormat="1" applyFont="1" applyFill="1" applyBorder="1" applyAlignment="1">
      <alignment vertical="center"/>
    </xf>
    <xf numFmtId="166" fontId="31" fillId="0" borderId="2" xfId="0" applyNumberFormat="1" applyFont="1" applyFill="1" applyBorder="1" applyAlignment="1">
      <alignment vertical="center"/>
    </xf>
    <xf numFmtId="15" fontId="31" fillId="0" borderId="7" xfId="34" applyNumberFormat="1" applyFont="1" applyFill="1" applyBorder="1" applyAlignment="1">
      <alignment horizontal="center" vertical="center"/>
    </xf>
    <xf numFmtId="15" fontId="31" fillId="0" borderId="7" xfId="0" applyNumberFormat="1" applyFont="1" applyFill="1" applyBorder="1" applyAlignment="1">
      <alignment horizontal="center" vertical="center"/>
    </xf>
    <xf numFmtId="166" fontId="31" fillId="0" borderId="7" xfId="0" applyNumberFormat="1" applyFont="1" applyFill="1" applyBorder="1" applyAlignment="1">
      <alignment horizontal="center" vertical="center"/>
    </xf>
    <xf numFmtId="0" fontId="38" fillId="0" borderId="7" xfId="0" applyFont="1" applyFill="1" applyBorder="1" applyAlignment="1">
      <alignment horizontal="left" vertical="center" wrapText="1"/>
    </xf>
    <xf numFmtId="0" fontId="38" fillId="0" borderId="7" xfId="0" applyFont="1" applyFill="1" applyBorder="1" applyAlignment="1">
      <alignment vertical="center" wrapText="1"/>
    </xf>
    <xf numFmtId="9" fontId="38" fillId="0" borderId="7" xfId="0" applyNumberFormat="1" applyFont="1" applyFill="1" applyBorder="1" applyAlignment="1">
      <alignment horizontal="center" vertical="center"/>
    </xf>
    <xf numFmtId="15" fontId="38" fillId="0" borderId="7" xfId="0" applyNumberFormat="1" applyFont="1" applyFill="1" applyBorder="1" applyAlignment="1">
      <alignment horizontal="center" vertical="center" wrapText="1"/>
    </xf>
    <xf numFmtId="165" fontId="38" fillId="0" borderId="7" xfId="0" applyNumberFormat="1" applyFont="1" applyFill="1" applyBorder="1" applyAlignment="1">
      <alignment vertical="center"/>
    </xf>
    <xf numFmtId="169" fontId="38" fillId="0" borderId="7" xfId="0" applyNumberFormat="1" applyFont="1" applyFill="1" applyBorder="1" applyAlignment="1">
      <alignment horizontal="center" vertical="center"/>
    </xf>
    <xf numFmtId="0" fontId="38" fillId="0" borderId="23" xfId="0" applyFont="1" applyFill="1" applyBorder="1" applyAlignment="1">
      <alignment horizontal="left" vertical="center" wrapText="1"/>
    </xf>
    <xf numFmtId="167" fontId="36" fillId="0" borderId="0" xfId="1" applyNumberFormat="1" applyFont="1" applyFill="1" applyBorder="1" applyAlignment="1">
      <alignment horizontal="center" vertical="center" wrapText="1"/>
    </xf>
    <xf numFmtId="0" fontId="31" fillId="0" borderId="0" xfId="0" applyFont="1" applyFill="1" applyBorder="1" applyAlignment="1">
      <alignment vertical="center"/>
    </xf>
    <xf numFmtId="0" fontId="31" fillId="0" borderId="0" xfId="0" applyFont="1" applyFill="1" applyBorder="1" applyAlignment="1">
      <alignment vertical="center" wrapText="1"/>
    </xf>
    <xf numFmtId="169" fontId="31" fillId="0" borderId="0" xfId="0" applyNumberFormat="1" applyFont="1" applyFill="1" applyBorder="1" applyAlignment="1">
      <alignment vertical="center"/>
    </xf>
    <xf numFmtId="169" fontId="31"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4" fontId="43" fillId="0" borderId="0" xfId="0" applyNumberFormat="1" applyFont="1" applyFill="1" applyBorder="1" applyAlignment="1">
      <alignment horizontal="center" vertical="center" wrapText="1"/>
    </xf>
    <xf numFmtId="0" fontId="0" fillId="0" borderId="24" xfId="0" applyFill="1" applyBorder="1" applyAlignment="1">
      <alignment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14" fontId="0" fillId="0" borderId="24" xfId="0" applyNumberFormat="1" applyFill="1" applyBorder="1" applyAlignment="1">
      <alignment horizontal="center" vertical="center"/>
    </xf>
    <xf numFmtId="0" fontId="0" fillId="0" borderId="0" xfId="0" applyFill="1" applyBorder="1" applyAlignment="1">
      <alignment vertical="center"/>
    </xf>
    <xf numFmtId="0" fontId="0" fillId="0" borderId="24" xfId="0" applyFill="1" applyBorder="1" applyAlignment="1">
      <alignment vertical="center"/>
    </xf>
    <xf numFmtId="0" fontId="0" fillId="0" borderId="24" xfId="0" applyFill="1" applyBorder="1" applyAlignment="1">
      <alignment horizontal="center" vertical="center" wrapText="1"/>
    </xf>
    <xf numFmtId="0" fontId="0" fillId="0" borderId="24"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9" fontId="0" fillId="0" borderId="0" xfId="0" applyNumberFormat="1" applyFill="1" applyBorder="1" applyAlignment="1">
      <alignment horizontal="center" vertical="center"/>
    </xf>
    <xf numFmtId="14" fontId="0" fillId="0" borderId="0" xfId="0" applyNumberFormat="1" applyFill="1" applyBorder="1" applyAlignment="1">
      <alignment vertical="center"/>
    </xf>
    <xf numFmtId="14" fontId="0" fillId="0" borderId="24" xfId="0" applyNumberFormat="1" applyFill="1" applyBorder="1" applyAlignment="1">
      <alignment vertical="center"/>
    </xf>
    <xf numFmtId="42" fontId="0" fillId="0" borderId="0" xfId="0" applyNumberFormat="1" applyFill="1" applyBorder="1" applyAlignment="1">
      <alignment vertical="center"/>
    </xf>
    <xf numFmtId="41" fontId="25" fillId="0" borderId="0" xfId="7" applyFont="1" applyFill="1" applyBorder="1" applyAlignment="1">
      <alignment vertical="center"/>
    </xf>
    <xf numFmtId="9" fontId="0" fillId="0" borderId="0" xfId="0" applyNumberFormat="1" applyFill="1" applyBorder="1" applyAlignment="1">
      <alignment vertical="center"/>
    </xf>
    <xf numFmtId="0" fontId="0" fillId="0" borderId="0" xfId="0" applyFill="1" applyBorder="1" applyAlignment="1">
      <alignment vertical="center" wrapText="1"/>
    </xf>
    <xf numFmtId="9" fontId="25" fillId="0" borderId="0" xfId="33" applyFont="1" applyFill="1" applyBorder="1" applyAlignment="1">
      <alignment horizontal="center" vertical="center"/>
    </xf>
    <xf numFmtId="0" fontId="31" fillId="6" borderId="0" xfId="0" applyFont="1" applyFill="1" applyBorder="1" applyAlignment="1">
      <alignment vertical="center"/>
    </xf>
    <xf numFmtId="0" fontId="31" fillId="6" borderId="0" xfId="0" applyFont="1" applyFill="1" applyBorder="1" applyAlignment="1">
      <alignment vertical="center" wrapText="1"/>
    </xf>
    <xf numFmtId="0" fontId="31" fillId="6" borderId="0" xfId="0" applyFont="1" applyFill="1" applyBorder="1" applyAlignment="1">
      <alignment horizontal="center" vertical="center" wrapText="1"/>
    </xf>
    <xf numFmtId="9" fontId="31" fillId="6" borderId="0" xfId="37" applyFont="1" applyFill="1" applyBorder="1" applyAlignment="1">
      <alignment horizontal="center" vertical="center"/>
    </xf>
    <xf numFmtId="0" fontId="31" fillId="6" borderId="0" xfId="0" applyNumberFormat="1" applyFont="1" applyFill="1" applyBorder="1" applyAlignment="1">
      <alignment horizontal="center" vertical="center"/>
    </xf>
    <xf numFmtId="169" fontId="31" fillId="6" borderId="0" xfId="0" applyNumberFormat="1" applyFont="1" applyFill="1" applyBorder="1" applyAlignment="1">
      <alignment vertical="center"/>
    </xf>
    <xf numFmtId="0" fontId="31" fillId="6" borderId="24" xfId="0" applyFont="1" applyFill="1" applyBorder="1" applyAlignment="1">
      <alignment horizontal="left" vertical="center" wrapText="1"/>
    </xf>
    <xf numFmtId="10" fontId="31" fillId="0" borderId="0" xfId="33" applyNumberFormat="1" applyFont="1" applyFill="1" applyBorder="1"/>
    <xf numFmtId="10" fontId="31" fillId="0" borderId="24" xfId="33" applyNumberFormat="1" applyFont="1" applyFill="1" applyBorder="1"/>
    <xf numFmtId="0" fontId="31" fillId="6" borderId="24" xfId="0" applyFont="1" applyFill="1" applyBorder="1" applyAlignment="1">
      <alignment horizontal="center" vertical="center"/>
    </xf>
    <xf numFmtId="169" fontId="31" fillId="6" borderId="0" xfId="0" applyNumberFormat="1" applyFont="1" applyFill="1" applyBorder="1" applyAlignment="1">
      <alignment horizontal="center" vertical="center"/>
    </xf>
    <xf numFmtId="4" fontId="31" fillId="0" borderId="24" xfId="0" applyNumberFormat="1" applyFont="1" applyFill="1" applyBorder="1" applyAlignment="1">
      <alignment vertical="center"/>
    </xf>
    <xf numFmtId="0" fontId="31" fillId="0" borderId="0" xfId="0" applyFont="1" applyBorder="1" applyAlignment="1">
      <alignment horizontal="center" vertical="center"/>
    </xf>
    <xf numFmtId="170" fontId="31" fillId="0" borderId="0" xfId="0" applyNumberFormat="1" applyFont="1" applyBorder="1" applyAlignment="1">
      <alignment horizontal="center" vertical="center"/>
    </xf>
    <xf numFmtId="170" fontId="31" fillId="0" borderId="24" xfId="0" applyNumberFormat="1" applyFont="1" applyBorder="1" applyAlignment="1">
      <alignment horizontal="center" vertical="center"/>
    </xf>
    <xf numFmtId="170" fontId="31" fillId="6" borderId="24" xfId="0" applyNumberFormat="1" applyFont="1" applyFill="1" applyBorder="1" applyAlignment="1">
      <alignment horizontal="center" vertical="center"/>
    </xf>
    <xf numFmtId="0" fontId="31" fillId="0" borderId="20" xfId="0" applyFont="1" applyBorder="1" applyAlignment="1">
      <alignment horizontal="center" vertical="center"/>
    </xf>
    <xf numFmtId="0" fontId="28" fillId="0" borderId="0" xfId="0" applyFont="1" applyBorder="1" applyAlignment="1">
      <alignment vertical="center"/>
    </xf>
    <xf numFmtId="167" fontId="44" fillId="0" borderId="0" xfId="1" applyNumberFormat="1" applyFont="1" applyFill="1" applyBorder="1" applyAlignment="1">
      <alignment horizontal="center" vertical="center" wrapText="1"/>
    </xf>
    <xf numFmtId="0" fontId="0" fillId="0" borderId="0" xfId="0" applyFill="1" applyBorder="1"/>
    <xf numFmtId="169" fontId="45" fillId="0" borderId="0" xfId="0" applyNumberFormat="1" applyFont="1" applyFill="1" applyBorder="1" applyAlignment="1">
      <alignment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46"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31" fillId="6" borderId="0" xfId="0" applyFont="1" applyFill="1" applyBorder="1" applyAlignment="1">
      <alignment horizontal="left" vertical="center" wrapText="1"/>
    </xf>
    <xf numFmtId="0" fontId="31" fillId="6" borderId="0" xfId="0" applyFont="1" applyFill="1" applyBorder="1" applyAlignment="1">
      <alignment horizontal="center" vertical="center"/>
    </xf>
    <xf numFmtId="169" fontId="31" fillId="0" borderId="0" xfId="0" applyNumberFormat="1" applyFont="1" applyBorder="1" applyAlignment="1">
      <alignment vertical="center"/>
    </xf>
    <xf numFmtId="4" fontId="31" fillId="0" borderId="0" xfId="0" applyNumberFormat="1" applyFont="1" applyFill="1" applyBorder="1" applyAlignment="1">
      <alignment vertical="center"/>
    </xf>
    <xf numFmtId="0" fontId="0" fillId="0" borderId="0" xfId="0" applyBorder="1"/>
    <xf numFmtId="0" fontId="37" fillId="8" borderId="4" xfId="0" applyFont="1" applyFill="1" applyBorder="1" applyAlignment="1">
      <alignment horizontal="center" vertical="center" wrapText="1"/>
    </xf>
    <xf numFmtId="0" fontId="31" fillId="8" borderId="5" xfId="0" applyFont="1" applyFill="1" applyBorder="1" applyAlignment="1">
      <alignment horizontal="left" vertical="center" wrapText="1"/>
    </xf>
    <xf numFmtId="0" fontId="31" fillId="0" borderId="10" xfId="0" applyFont="1" applyFill="1" applyBorder="1" applyAlignment="1">
      <alignment horizontal="center" vertical="center" wrapText="1"/>
    </xf>
    <xf numFmtId="0" fontId="47" fillId="0" borderId="4" xfId="0" applyFont="1" applyFill="1" applyBorder="1" applyAlignment="1">
      <alignment horizontal="center" vertical="center"/>
    </xf>
    <xf numFmtId="0" fontId="48" fillId="0" borderId="4"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vertical="center" wrapText="1"/>
    </xf>
    <xf numFmtId="9" fontId="47" fillId="0" borderId="4" xfId="34" applyFont="1" applyFill="1" applyBorder="1" applyAlignment="1">
      <alignment horizontal="center" vertical="center"/>
    </xf>
    <xf numFmtId="167" fontId="47" fillId="0" borderId="4"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169" fontId="47" fillId="0" borderId="4" xfId="0" applyNumberFormat="1" applyFont="1" applyFill="1" applyBorder="1" applyAlignment="1">
      <alignment horizontal="center" vertical="center" wrapText="1"/>
    </xf>
    <xf numFmtId="169" fontId="47" fillId="0" borderId="4" xfId="0" applyNumberFormat="1" applyFont="1" applyFill="1" applyBorder="1" applyAlignment="1">
      <alignment vertical="center"/>
    </xf>
    <xf numFmtId="169" fontId="47" fillId="0" borderId="4" xfId="0" applyNumberFormat="1" applyFont="1" applyFill="1" applyBorder="1" applyAlignment="1">
      <alignment horizontal="center" vertical="center"/>
    </xf>
    <xf numFmtId="3" fontId="47" fillId="0" borderId="4" xfId="33" applyNumberFormat="1" applyFont="1" applyFill="1" applyBorder="1" applyAlignment="1">
      <alignment horizontal="center" vertical="center"/>
    </xf>
    <xf numFmtId="4" fontId="47" fillId="0" borderId="4" xfId="33" applyNumberFormat="1" applyFont="1" applyFill="1" applyBorder="1" applyAlignment="1">
      <alignment horizontal="center" vertical="center"/>
    </xf>
    <xf numFmtId="4" fontId="47" fillId="0" borderId="4" xfId="0" applyNumberFormat="1" applyFont="1" applyFill="1" applyBorder="1" applyAlignment="1">
      <alignment horizontal="center" vertical="center" wrapText="1"/>
    </xf>
    <xf numFmtId="0" fontId="47" fillId="0" borderId="5" xfId="0" applyFont="1" applyFill="1" applyBorder="1" applyAlignment="1">
      <alignment horizontal="left" vertical="center" wrapText="1"/>
    </xf>
    <xf numFmtId="0" fontId="47" fillId="0" borderId="2" xfId="0" applyFont="1" applyFill="1" applyBorder="1" applyAlignment="1">
      <alignment horizontal="center" vertical="center"/>
    </xf>
    <xf numFmtId="0" fontId="48" fillId="0" borderId="2" xfId="0" applyFont="1" applyFill="1" applyBorder="1" applyAlignment="1">
      <alignment vertical="center" wrapText="1"/>
    </xf>
    <xf numFmtId="0" fontId="6" fillId="0" borderId="2" xfId="26" applyFont="1" applyBorder="1" applyAlignment="1">
      <alignment horizontal="center" vertical="center" wrapText="1"/>
    </xf>
    <xf numFmtId="0" fontId="6" fillId="0" borderId="2" xfId="26" applyFont="1" applyBorder="1" applyAlignment="1">
      <alignment vertical="center" wrapText="1"/>
    </xf>
    <xf numFmtId="1" fontId="47" fillId="8" borderId="2" xfId="0" applyNumberFormat="1" applyFont="1" applyFill="1" applyBorder="1" applyAlignment="1">
      <alignment horizontal="center" vertical="center" wrapText="1"/>
    </xf>
    <xf numFmtId="9" fontId="47" fillId="0" borderId="2" xfId="34" applyFont="1" applyFill="1" applyBorder="1" applyAlignment="1">
      <alignment horizontal="center" vertical="center"/>
    </xf>
    <xf numFmtId="167" fontId="47" fillId="0" borderId="2"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169" fontId="47" fillId="0" borderId="2" xfId="0" applyNumberFormat="1" applyFont="1" applyFill="1" applyBorder="1" applyAlignment="1">
      <alignment horizontal="center" vertical="center" wrapText="1"/>
    </xf>
    <xf numFmtId="173" fontId="47" fillId="0" borderId="2" xfId="0" applyNumberFormat="1" applyFont="1" applyFill="1" applyBorder="1" applyAlignment="1">
      <alignment vertical="center"/>
    </xf>
    <xf numFmtId="169" fontId="47" fillId="0" borderId="2" xfId="0" applyNumberFormat="1" applyFont="1" applyFill="1" applyBorder="1" applyAlignment="1">
      <alignment horizontal="center" vertical="center"/>
    </xf>
    <xf numFmtId="3" fontId="47" fillId="0" borderId="2" xfId="33" applyNumberFormat="1" applyFont="1" applyFill="1" applyBorder="1" applyAlignment="1">
      <alignment horizontal="center" vertical="center"/>
    </xf>
    <xf numFmtId="4" fontId="47" fillId="0" borderId="2" xfId="33" applyNumberFormat="1" applyFont="1" applyFill="1" applyBorder="1" applyAlignment="1">
      <alignment horizontal="center" vertical="center"/>
    </xf>
    <xf numFmtId="169" fontId="47" fillId="8" borderId="2" xfId="0" applyNumberFormat="1" applyFont="1" applyFill="1" applyBorder="1" applyAlignment="1">
      <alignment horizontal="center" vertical="center" wrapText="1"/>
    </xf>
    <xf numFmtId="4" fontId="47" fillId="0" borderId="1" xfId="0" applyNumberFormat="1" applyFont="1" applyFill="1" applyBorder="1" applyAlignment="1">
      <alignment horizontal="center" vertical="center" wrapText="1"/>
    </xf>
    <xf numFmtId="4" fontId="47" fillId="0" borderId="2" xfId="0" applyNumberFormat="1" applyFont="1" applyFill="1" applyBorder="1" applyAlignment="1">
      <alignment horizontal="center" vertical="center" wrapText="1"/>
    </xf>
    <xf numFmtId="1" fontId="47" fillId="0" borderId="1" xfId="0" applyNumberFormat="1" applyFont="1" applyFill="1" applyBorder="1" applyAlignment="1">
      <alignment horizontal="center" vertical="center" wrapText="1"/>
    </xf>
    <xf numFmtId="0" fontId="47" fillId="0" borderId="6" xfId="0" applyFont="1" applyFill="1" applyBorder="1" applyAlignment="1">
      <alignment horizontal="left" vertical="center" wrapText="1"/>
    </xf>
    <xf numFmtId="169" fontId="47" fillId="0" borderId="2" xfId="0" applyNumberFormat="1" applyFont="1" applyFill="1" applyBorder="1" applyAlignment="1">
      <alignment vertical="center"/>
    </xf>
    <xf numFmtId="169" fontId="31" fillId="8" borderId="7" xfId="0" applyNumberFormat="1" applyFont="1" applyFill="1" applyBorder="1" applyAlignment="1">
      <alignment horizontal="center" vertical="center" wrapText="1"/>
    </xf>
    <xf numFmtId="4" fontId="31" fillId="8" borderId="7" xfId="0" applyNumberFormat="1" applyFont="1" applyFill="1" applyBorder="1" applyAlignment="1">
      <alignment horizontal="center" vertical="center" wrapText="1"/>
    </xf>
    <xf numFmtId="1" fontId="47" fillId="0" borderId="23" xfId="0" applyNumberFormat="1" applyFont="1" applyFill="1" applyBorder="1" applyAlignment="1">
      <alignment horizontal="center" vertical="center" wrapText="1"/>
    </xf>
    <xf numFmtId="173" fontId="31" fillId="8" borderId="4" xfId="0" applyNumberFormat="1" applyFont="1" applyFill="1" applyBorder="1" applyAlignment="1">
      <alignment vertical="center"/>
    </xf>
    <xf numFmtId="3" fontId="47" fillId="8" borderId="4" xfId="33" applyNumberFormat="1" applyFont="1" applyFill="1" applyBorder="1" applyAlignment="1">
      <alignment horizontal="center" vertical="center"/>
    </xf>
    <xf numFmtId="0" fontId="31" fillId="0" borderId="27" xfId="0" applyFont="1" applyFill="1" applyBorder="1" applyAlignment="1">
      <alignment horizontal="left" vertical="center" wrapText="1"/>
    </xf>
    <xf numFmtId="169" fontId="31" fillId="8" borderId="2" xfId="0" applyNumberFormat="1" applyFont="1" applyFill="1" applyBorder="1" applyAlignment="1">
      <alignment horizontal="center" vertical="center" wrapText="1"/>
    </xf>
    <xf numFmtId="4" fontId="31" fillId="8" borderId="2" xfId="0" applyNumberFormat="1" applyFont="1" applyFill="1" applyBorder="1" applyAlignment="1">
      <alignment horizontal="center" vertical="center" wrapText="1"/>
    </xf>
    <xf numFmtId="0" fontId="47" fillId="0" borderId="7" xfId="0" applyFont="1" applyFill="1" applyBorder="1" applyAlignment="1">
      <alignment vertical="center" wrapText="1"/>
    </xf>
    <xf numFmtId="9" fontId="31" fillId="8" borderId="7" xfId="34" applyFont="1" applyFill="1" applyBorder="1" applyAlignment="1">
      <alignment horizontal="center" vertical="center"/>
    </xf>
    <xf numFmtId="169" fontId="31" fillId="8" borderId="7" xfId="0" applyNumberFormat="1" applyFont="1" applyFill="1" applyBorder="1" applyAlignment="1">
      <alignment vertical="center"/>
    </xf>
    <xf numFmtId="169" fontId="31" fillId="8" borderId="7" xfId="0" applyNumberFormat="1" applyFont="1" applyFill="1" applyBorder="1" applyAlignment="1">
      <alignment horizontal="center" vertical="center"/>
    </xf>
    <xf numFmtId="0" fontId="31" fillId="8" borderId="7" xfId="0" applyFont="1" applyFill="1" applyBorder="1" applyAlignment="1">
      <alignment horizontal="center" vertical="center"/>
    </xf>
    <xf numFmtId="3" fontId="31" fillId="8" borderId="7" xfId="33" applyNumberFormat="1" applyFont="1" applyFill="1" applyBorder="1" applyAlignment="1">
      <alignment horizontal="center" vertical="center"/>
    </xf>
    <xf numFmtId="4" fontId="31" fillId="8" borderId="7" xfId="33" applyNumberFormat="1" applyFont="1" applyFill="1" applyBorder="1" applyAlignment="1">
      <alignment horizontal="center" vertical="center"/>
    </xf>
    <xf numFmtId="0" fontId="7" fillId="0" borderId="21" xfId="26" applyFont="1" applyBorder="1" applyAlignment="1">
      <alignment horizontal="center" vertical="center" wrapText="1"/>
    </xf>
    <xf numFmtId="0" fontId="7" fillId="0" borderId="4" xfId="26" applyFont="1" applyFill="1" applyBorder="1" applyAlignment="1">
      <alignment horizontal="justify" vertical="top" wrapText="1"/>
    </xf>
    <xf numFmtId="0" fontId="7" fillId="0" borderId="2" xfId="26" applyFont="1" applyBorder="1" applyAlignment="1">
      <alignment horizontal="center" vertical="center" wrapText="1"/>
    </xf>
    <xf numFmtId="0" fontId="7" fillId="0" borderId="2" xfId="26" applyFont="1" applyFill="1" applyBorder="1" applyAlignment="1">
      <alignment horizontal="justify" vertical="top" wrapText="1"/>
    </xf>
    <xf numFmtId="0" fontId="7" fillId="0" borderId="2" xfId="26" applyFont="1" applyFill="1" applyBorder="1" applyAlignment="1">
      <alignment horizontal="center" vertical="center" wrapText="1"/>
    </xf>
    <xf numFmtId="9" fontId="31" fillId="8" borderId="2" xfId="34" applyFont="1" applyFill="1" applyBorder="1" applyAlignment="1">
      <alignment horizontal="center" vertical="center"/>
    </xf>
    <xf numFmtId="169" fontId="31" fillId="8" borderId="2" xfId="0" applyNumberFormat="1" applyFont="1" applyFill="1" applyBorder="1" applyAlignment="1">
      <alignment vertical="center"/>
    </xf>
    <xf numFmtId="0" fontId="7" fillId="0" borderId="7" xfId="26" applyFont="1" applyFill="1" applyBorder="1" applyAlignment="1">
      <alignment horizontal="center" vertical="center" wrapText="1"/>
    </xf>
    <xf numFmtId="0" fontId="7" fillId="0" borderId="7" xfId="26" applyFont="1" applyFill="1" applyBorder="1" applyAlignment="1">
      <alignment horizontal="justify" vertical="top" wrapText="1"/>
    </xf>
    <xf numFmtId="0" fontId="37" fillId="8" borderId="1" xfId="0" applyFont="1" applyFill="1" applyBorder="1" applyAlignment="1">
      <alignment vertical="center" wrapText="1"/>
    </xf>
    <xf numFmtId="0" fontId="37" fillId="8" borderId="2" xfId="0" applyFont="1" applyFill="1" applyBorder="1" applyAlignment="1">
      <alignment vertical="center" wrapText="1"/>
    </xf>
    <xf numFmtId="0" fontId="0" fillId="0" borderId="2" xfId="0" applyFill="1" applyBorder="1" applyAlignment="1">
      <alignment horizontal="center" vertical="center" wrapText="1"/>
    </xf>
    <xf numFmtId="0" fontId="0" fillId="8" borderId="2" xfId="0" applyFill="1" applyBorder="1" applyAlignment="1">
      <alignment vertical="center" wrapText="1"/>
    </xf>
    <xf numFmtId="9" fontId="31" fillId="8" borderId="2" xfId="33" applyFont="1" applyFill="1" applyBorder="1" applyAlignment="1">
      <alignment horizontal="center" vertical="center"/>
    </xf>
    <xf numFmtId="0" fontId="37" fillId="8" borderId="7" xfId="0" applyFont="1" applyFill="1" applyBorder="1" applyAlignment="1">
      <alignment vertical="center" wrapText="1"/>
    </xf>
    <xf numFmtId="9" fontId="31" fillId="8" borderId="23" xfId="34"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1" xfId="0" applyFont="1" applyFill="1" applyBorder="1" applyAlignment="1">
      <alignment horizontal="center" vertical="center"/>
    </xf>
    <xf numFmtId="4" fontId="47" fillId="0" borderId="1" xfId="33" applyNumberFormat="1" applyFont="1" applyFill="1" applyBorder="1" applyAlignment="1">
      <alignment horizontal="center" vertical="center"/>
    </xf>
    <xf numFmtId="0" fontId="31" fillId="8" borderId="6" xfId="0" applyFont="1" applyFill="1" applyBorder="1" applyAlignment="1">
      <alignment horizontal="left" vertical="center" wrapText="1"/>
    </xf>
    <xf numFmtId="3" fontId="47" fillId="8" borderId="2" xfId="33" applyNumberFormat="1" applyFont="1" applyFill="1" applyBorder="1" applyAlignment="1">
      <alignment horizontal="center" vertical="center"/>
    </xf>
    <xf numFmtId="0" fontId="31" fillId="0" borderId="10" xfId="0" applyFont="1" applyFill="1" applyBorder="1" applyAlignment="1">
      <alignment horizontal="left" vertical="center"/>
    </xf>
    <xf numFmtId="0" fontId="47" fillId="0" borderId="10" xfId="0" applyFont="1" applyFill="1" applyBorder="1" applyAlignment="1">
      <alignment vertical="center" wrapText="1"/>
    </xf>
    <xf numFmtId="9" fontId="31" fillId="8" borderId="10" xfId="34" applyFont="1" applyFill="1" applyBorder="1" applyAlignment="1">
      <alignment horizontal="center" vertical="center"/>
    </xf>
    <xf numFmtId="169" fontId="31" fillId="8" borderId="10" xfId="0" applyNumberFormat="1" applyFont="1" applyFill="1" applyBorder="1" applyAlignment="1">
      <alignment vertical="center"/>
    </xf>
    <xf numFmtId="169" fontId="31" fillId="8" borderId="10" xfId="0" applyNumberFormat="1" applyFont="1" applyFill="1" applyBorder="1" applyAlignment="1">
      <alignment horizontal="center" vertical="center"/>
    </xf>
    <xf numFmtId="0" fontId="31" fillId="8" borderId="10" xfId="0" applyFont="1" applyFill="1" applyBorder="1" applyAlignment="1">
      <alignment horizontal="center" vertical="center"/>
    </xf>
    <xf numFmtId="3" fontId="31" fillId="8" borderId="10" xfId="33" applyNumberFormat="1" applyFont="1" applyFill="1" applyBorder="1" applyAlignment="1">
      <alignment horizontal="center" vertical="center"/>
    </xf>
    <xf numFmtId="4" fontId="31" fillId="8" borderId="10" xfId="33" applyNumberFormat="1" applyFont="1" applyFill="1" applyBorder="1" applyAlignment="1">
      <alignment horizontal="center" vertical="center"/>
    </xf>
    <xf numFmtId="0" fontId="11" fillId="0" borderId="16" xfId="30" applyFont="1" applyBorder="1" applyAlignment="1">
      <alignment horizontal="center" vertical="center"/>
    </xf>
    <xf numFmtId="0" fontId="49" fillId="0" borderId="4" xfId="30" applyFont="1" applyBorder="1" applyAlignment="1">
      <alignment horizontal="justify" vertical="center" wrapText="1"/>
    </xf>
    <xf numFmtId="9" fontId="11" fillId="0" borderId="16" xfId="30" applyNumberFormat="1" applyFont="1" applyBorder="1" applyAlignment="1">
      <alignment horizontal="center" vertical="center"/>
    </xf>
    <xf numFmtId="14" fontId="50" fillId="0" borderId="16" xfId="30" applyNumberFormat="1" applyFont="1" applyBorder="1" applyAlignment="1">
      <alignment vertical="center" wrapText="1"/>
    </xf>
    <xf numFmtId="14" fontId="11" fillId="0" borderId="16" xfId="30" applyNumberFormat="1" applyFont="1" applyBorder="1" applyAlignment="1">
      <alignment vertical="center"/>
    </xf>
    <xf numFmtId="0" fontId="11" fillId="0" borderId="13" xfId="30" applyFont="1" applyBorder="1" applyAlignment="1">
      <alignment horizontal="center" vertical="center"/>
    </xf>
    <xf numFmtId="0" fontId="49" fillId="0" borderId="2" xfId="30" applyFont="1" applyBorder="1" applyAlignment="1">
      <alignment horizontal="justify" vertical="justify"/>
    </xf>
    <xf numFmtId="9" fontId="11" fillId="0" borderId="3" xfId="30" applyNumberFormat="1" applyFont="1" applyBorder="1" applyAlignment="1">
      <alignment horizontal="center" vertical="center"/>
    </xf>
    <xf numFmtId="14" fontId="50" fillId="0" borderId="3" xfId="30" applyNumberFormat="1" applyFont="1" applyBorder="1" applyAlignment="1">
      <alignment vertical="center" wrapText="1"/>
    </xf>
    <xf numFmtId="14" fontId="11" fillId="0" borderId="3" xfId="30" applyNumberFormat="1" applyFont="1" applyBorder="1" applyAlignment="1">
      <alignment vertical="center"/>
    </xf>
    <xf numFmtId="0" fontId="49" fillId="0" borderId="2" xfId="30" applyFont="1" applyBorder="1" applyAlignment="1">
      <alignment horizontal="justify" vertical="justify" wrapText="1"/>
    </xf>
    <xf numFmtId="9" fontId="11" fillId="0" borderId="13" xfId="30" applyNumberFormat="1" applyFont="1" applyBorder="1" applyAlignment="1">
      <alignment horizontal="center" vertical="center"/>
    </xf>
    <xf numFmtId="14" fontId="50" fillId="0" borderId="13" xfId="30" applyNumberFormat="1" applyFont="1" applyBorder="1" applyAlignment="1">
      <alignment vertical="center" wrapText="1"/>
    </xf>
    <xf numFmtId="14" fontId="11" fillId="0" borderId="13" xfId="30" applyNumberFormat="1" applyFont="1" applyBorder="1" applyAlignment="1">
      <alignment vertical="center"/>
    </xf>
    <xf numFmtId="0" fontId="12" fillId="0" borderId="2" xfId="26" applyFont="1" applyBorder="1" applyAlignment="1">
      <alignment horizontal="justify" vertical="center" wrapText="1"/>
    </xf>
    <xf numFmtId="9" fontId="11" fillId="0" borderId="2" xfId="26" applyNumberFormat="1" applyFont="1" applyBorder="1" applyAlignment="1">
      <alignment horizontal="center" vertical="center"/>
    </xf>
    <xf numFmtId="14" fontId="6" fillId="0" borderId="2" xfId="26" applyNumberFormat="1" applyFont="1" applyBorder="1" applyAlignment="1">
      <alignment vertical="center" wrapText="1"/>
    </xf>
    <xf numFmtId="14" fontId="11" fillId="0" borderId="2" xfId="26" applyNumberFormat="1" applyFont="1" applyBorder="1" applyAlignment="1">
      <alignment horizontal="right" vertical="center"/>
    </xf>
    <xf numFmtId="0" fontId="11" fillId="0" borderId="28" xfId="30" applyFont="1" applyBorder="1" applyAlignment="1">
      <alignment horizontal="center" vertical="center"/>
    </xf>
    <xf numFmtId="0" fontId="51" fillId="0" borderId="23" xfId="30" applyFont="1" applyBorder="1" applyAlignment="1">
      <alignment horizontal="justify" vertical="center" wrapText="1"/>
    </xf>
    <xf numFmtId="9" fontId="11" fillId="0" borderId="28" xfId="30" applyNumberFormat="1" applyFont="1" applyBorder="1" applyAlignment="1">
      <alignment horizontal="center" vertical="center"/>
    </xf>
    <xf numFmtId="14" fontId="50" fillId="0" borderId="28" xfId="30" applyNumberFormat="1" applyFont="1" applyBorder="1" applyAlignment="1">
      <alignment vertical="center" wrapText="1"/>
    </xf>
    <xf numFmtId="14" fontId="11" fillId="0" borderId="28" xfId="30" applyNumberFormat="1" applyFont="1" applyBorder="1" applyAlignment="1">
      <alignment vertical="center"/>
    </xf>
    <xf numFmtId="0" fontId="11" fillId="0" borderId="1" xfId="26" applyFont="1" applyBorder="1" applyAlignment="1">
      <alignment horizontal="center" vertical="center" wrapText="1"/>
    </xf>
    <xf numFmtId="0" fontId="11" fillId="0" borderId="1" xfId="26" applyFont="1" applyBorder="1" applyAlignment="1">
      <alignment horizontal="justify" vertical="center" wrapText="1"/>
    </xf>
    <xf numFmtId="9" fontId="11" fillId="0" borderId="1" xfId="26" applyNumberFormat="1" applyFont="1" applyBorder="1" applyAlignment="1">
      <alignment horizontal="center" vertical="center"/>
    </xf>
    <xf numFmtId="14" fontId="11" fillId="0" borderId="1" xfId="26" applyNumberFormat="1" applyFont="1" applyBorder="1" applyAlignment="1">
      <alignment horizontal="center" vertical="center"/>
    </xf>
    <xf numFmtId="0" fontId="11" fillId="0" borderId="2" xfId="26" applyFont="1" applyBorder="1" applyAlignment="1">
      <alignment horizontal="center" vertical="center" wrapText="1"/>
    </xf>
    <xf numFmtId="0" fontId="11" fillId="0" borderId="2" xfId="26" applyFont="1" applyBorder="1" applyAlignment="1">
      <alignment horizontal="justify" vertical="center" wrapText="1"/>
    </xf>
    <xf numFmtId="14" fontId="11" fillId="0" borderId="2" xfId="26" applyNumberFormat="1" applyFont="1" applyBorder="1" applyAlignment="1">
      <alignment horizontal="center" vertical="center"/>
    </xf>
    <xf numFmtId="15" fontId="2" fillId="0" borderId="2" xfId="0" applyNumberFormat="1" applyFont="1" applyFill="1" applyBorder="1" applyAlignment="1" applyProtection="1">
      <alignment horizontal="center" vertical="center" wrapText="1"/>
    </xf>
    <xf numFmtId="0" fontId="11" fillId="0" borderId="10" xfId="26" applyFont="1" applyBorder="1" applyAlignment="1">
      <alignment horizontal="center" vertical="center" wrapText="1"/>
    </xf>
    <xf numFmtId="0" fontId="11" fillId="0" borderId="10" xfId="26" applyFont="1" applyBorder="1" applyAlignment="1">
      <alignment horizontal="justify" vertical="center" wrapText="1"/>
    </xf>
    <xf numFmtId="9" fontId="11" fillId="0" borderId="10" xfId="26" applyNumberFormat="1" applyFont="1" applyBorder="1" applyAlignment="1">
      <alignment horizontal="center" vertical="center"/>
    </xf>
    <xf numFmtId="15" fontId="2" fillId="0" borderId="10" xfId="0" applyNumberFormat="1" applyFont="1" applyFill="1" applyBorder="1" applyAlignment="1" applyProtection="1">
      <alignment horizontal="center" vertical="center" wrapText="1"/>
    </xf>
    <xf numFmtId="169" fontId="31" fillId="0" borderId="20" xfId="0" applyNumberFormat="1" applyFont="1" applyFill="1" applyBorder="1" applyAlignment="1">
      <alignment vertical="center"/>
    </xf>
    <xf numFmtId="0" fontId="13" fillId="0" borderId="4" xfId="26" applyFont="1" applyBorder="1" applyAlignment="1">
      <alignment horizontal="center" vertical="center" wrapText="1"/>
    </xf>
    <xf numFmtId="0" fontId="11" fillId="0" borderId="4" xfId="26" applyFont="1" applyBorder="1" applyAlignment="1">
      <alignment vertical="center" wrapText="1"/>
    </xf>
    <xf numFmtId="9" fontId="13" fillId="0" borderId="21" xfId="33" applyFont="1" applyBorder="1" applyAlignment="1">
      <alignment horizontal="center" vertical="center" wrapText="1"/>
    </xf>
    <xf numFmtId="180" fontId="13" fillId="0" borderId="4" xfId="26" applyNumberFormat="1" applyFont="1" applyBorder="1" applyAlignment="1">
      <alignment horizontal="center" vertical="center"/>
    </xf>
    <xf numFmtId="0" fontId="13" fillId="0" borderId="2" xfId="26" applyFont="1" applyBorder="1" applyAlignment="1">
      <alignment horizontal="center" vertical="center" wrapText="1"/>
    </xf>
    <xf numFmtId="0" fontId="11" fillId="0" borderId="2" xfId="26" applyFont="1" applyBorder="1" applyAlignment="1">
      <alignment vertical="center" wrapText="1"/>
    </xf>
    <xf numFmtId="9" fontId="13" fillId="0" borderId="2" xfId="33" applyFont="1" applyBorder="1" applyAlignment="1">
      <alignment horizontal="center" vertical="center" wrapText="1"/>
    </xf>
    <xf numFmtId="180" fontId="13" fillId="0" borderId="2" xfId="26" applyNumberFormat="1" applyFont="1" applyBorder="1" applyAlignment="1">
      <alignment horizontal="center" vertical="center"/>
    </xf>
    <xf numFmtId="0" fontId="11" fillId="0" borderId="7" xfId="26" applyFont="1" applyBorder="1" applyAlignment="1">
      <alignment horizontal="left" vertical="center" wrapText="1"/>
    </xf>
    <xf numFmtId="180" fontId="13" fillId="0" borderId="7" xfId="26" applyNumberFormat="1" applyFont="1" applyBorder="1" applyAlignment="1">
      <alignment horizontal="center" vertical="center"/>
    </xf>
    <xf numFmtId="0" fontId="14" fillId="0" borderId="4" xfId="26" applyFont="1" applyBorder="1" applyAlignment="1">
      <alignment horizontal="center" vertical="center" wrapText="1"/>
    </xf>
    <xf numFmtId="0" fontId="14" fillId="0" borderId="4" xfId="26" applyFont="1" applyBorder="1" applyAlignment="1">
      <alignment horizontal="justify" vertical="center" wrapText="1"/>
    </xf>
    <xf numFmtId="9" fontId="14" fillId="0" borderId="4" xfId="26" applyNumberFormat="1" applyFont="1" applyBorder="1" applyAlignment="1">
      <alignment horizontal="center" vertical="center" wrapText="1"/>
    </xf>
    <xf numFmtId="14" fontId="14" fillId="0" borderId="4" xfId="26" applyNumberFormat="1" applyFont="1" applyBorder="1" applyAlignment="1">
      <alignment horizontal="center" vertical="center" wrapText="1"/>
    </xf>
    <xf numFmtId="169" fontId="31" fillId="0" borderId="21" xfId="0" applyNumberFormat="1" applyFont="1" applyFill="1" applyBorder="1" applyAlignment="1">
      <alignment vertical="center"/>
    </xf>
    <xf numFmtId="0" fontId="14" fillId="0" borderId="2" xfId="26" applyFont="1" applyBorder="1" applyAlignment="1">
      <alignment horizontal="center" vertical="center" wrapText="1"/>
    </xf>
    <xf numFmtId="0" fontId="14" fillId="0" borderId="2" xfId="26" applyFont="1" applyBorder="1" applyAlignment="1">
      <alignment horizontal="justify" vertical="center" wrapText="1"/>
    </xf>
    <xf numFmtId="9" fontId="14" fillId="0" borderId="2" xfId="26" applyNumberFormat="1" applyFont="1" applyBorder="1" applyAlignment="1">
      <alignment horizontal="center" vertical="center" wrapText="1"/>
    </xf>
    <xf numFmtId="14" fontId="14" fillId="0" borderId="2" xfId="26" applyNumberFormat="1" applyFont="1" applyBorder="1" applyAlignment="1">
      <alignment horizontal="center" vertical="center" wrapText="1"/>
    </xf>
    <xf numFmtId="0" fontId="14" fillId="0" borderId="2" xfId="26" applyFont="1" applyFill="1" applyBorder="1" applyAlignment="1">
      <alignment horizontal="center" vertical="center" wrapText="1"/>
    </xf>
    <xf numFmtId="0" fontId="14" fillId="0" borderId="2" xfId="26" applyFont="1" applyFill="1" applyBorder="1" applyAlignment="1">
      <alignment horizontal="justify" vertical="center" wrapText="1"/>
    </xf>
    <xf numFmtId="9" fontId="14" fillId="0" borderId="2" xfId="26" applyNumberFormat="1" applyFont="1" applyFill="1" applyBorder="1" applyAlignment="1">
      <alignment horizontal="center" vertical="center" wrapText="1"/>
    </xf>
    <xf numFmtId="14" fontId="14" fillId="0" borderId="2" xfId="26"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7" xfId="26" applyFont="1" applyBorder="1" applyAlignment="1">
      <alignment horizontal="justify" vertical="center" wrapText="1"/>
    </xf>
    <xf numFmtId="9" fontId="14" fillId="0" borderId="7" xfId="26" applyNumberFormat="1" applyFont="1" applyFill="1" applyBorder="1" applyAlignment="1">
      <alignment horizontal="center" vertical="center" wrapText="1"/>
    </xf>
    <xf numFmtId="14" fontId="14" fillId="0" borderId="7" xfId="26" applyNumberFormat="1" applyFont="1" applyFill="1" applyBorder="1" applyAlignment="1">
      <alignment horizontal="center" vertical="center"/>
    </xf>
    <xf numFmtId="0" fontId="31" fillId="0" borderId="2" xfId="33" applyNumberFormat="1" applyFont="1" applyFill="1" applyBorder="1" applyAlignment="1">
      <alignment horizontal="center" vertical="center"/>
    </xf>
    <xf numFmtId="0" fontId="31" fillId="0" borderId="7" xfId="33" applyNumberFormat="1" applyFont="1" applyFill="1" applyBorder="1" applyAlignment="1">
      <alignment horizontal="center" vertical="center"/>
    </xf>
    <xf numFmtId="0" fontId="38" fillId="0" borderId="7" xfId="0" applyFont="1" applyFill="1" applyBorder="1" applyAlignment="1">
      <alignment horizontal="center" vertical="center" wrapText="1"/>
    </xf>
    <xf numFmtId="167" fontId="38" fillId="0" borderId="7" xfId="0" applyNumberFormat="1" applyFont="1" applyFill="1" applyBorder="1" applyAlignment="1">
      <alignment horizontal="center" vertical="center" wrapText="1"/>
    </xf>
    <xf numFmtId="169" fontId="38" fillId="0" borderId="7" xfId="0" applyNumberFormat="1" applyFont="1" applyFill="1" applyBorder="1" applyAlignment="1">
      <alignment vertical="center"/>
    </xf>
    <xf numFmtId="0" fontId="15" fillId="0" borderId="4" xfId="26" applyFont="1" applyBorder="1" applyAlignment="1">
      <alignment horizontal="center" vertical="center" wrapText="1"/>
    </xf>
    <xf numFmtId="0" fontId="15" fillId="0" borderId="4" xfId="26" applyFont="1" applyBorder="1" applyAlignment="1">
      <alignment horizontal="left" vertical="center" wrapText="1"/>
    </xf>
    <xf numFmtId="9" fontId="11" fillId="0" borderId="4" xfId="26" applyNumberFormat="1" applyFont="1" applyBorder="1" applyAlignment="1">
      <alignment horizontal="center" vertical="center"/>
    </xf>
    <xf numFmtId="14" fontId="1" fillId="0" borderId="4" xfId="26" applyNumberFormat="1" applyBorder="1" applyAlignment="1">
      <alignment vertical="center" wrapText="1"/>
    </xf>
    <xf numFmtId="14" fontId="11" fillId="0" borderId="4" xfId="26" applyNumberFormat="1" applyFont="1" applyBorder="1" applyAlignment="1">
      <alignment horizontal="right" vertical="center"/>
    </xf>
    <xf numFmtId="0" fontId="11" fillId="0" borderId="13" xfId="0" applyFont="1" applyBorder="1" applyAlignment="1">
      <alignment horizontal="center" vertical="center"/>
    </xf>
    <xf numFmtId="0" fontId="49" fillId="0" borderId="1" xfId="0" applyFont="1" applyBorder="1" applyAlignment="1">
      <alignment vertical="center" wrapText="1"/>
    </xf>
    <xf numFmtId="14" fontId="52" fillId="0" borderId="13" xfId="0" applyNumberFormat="1" applyFont="1" applyBorder="1" applyAlignment="1">
      <alignment vertical="center" wrapText="1"/>
    </xf>
    <xf numFmtId="14" fontId="11" fillId="0" borderId="13" xfId="0" applyNumberFormat="1" applyFont="1" applyBorder="1" applyAlignment="1">
      <alignment vertical="center"/>
    </xf>
    <xf numFmtId="0" fontId="15" fillId="0" borderId="2" xfId="26" applyFont="1" applyBorder="1" applyAlignment="1">
      <alignment horizontal="center" vertical="center" wrapText="1"/>
    </xf>
    <xf numFmtId="0" fontId="15" fillId="0" borderId="2" xfId="26" applyFont="1" applyBorder="1" applyAlignment="1">
      <alignment horizontal="left" vertical="center" wrapText="1"/>
    </xf>
    <xf numFmtId="14" fontId="52" fillId="0" borderId="3" xfId="0" applyNumberFormat="1" applyFont="1" applyBorder="1" applyAlignment="1">
      <alignment vertical="center" wrapText="1"/>
    </xf>
    <xf numFmtId="14" fontId="11" fillId="0" borderId="3" xfId="0" applyNumberFormat="1" applyFont="1" applyBorder="1" applyAlignment="1">
      <alignment vertical="center"/>
    </xf>
    <xf numFmtId="0" fontId="15" fillId="0" borderId="7" xfId="26" applyFont="1" applyBorder="1" applyAlignment="1">
      <alignment horizontal="center" vertical="center" wrapText="1"/>
    </xf>
    <xf numFmtId="0" fontId="15" fillId="0" borderId="7" xfId="26" applyFont="1" applyBorder="1" applyAlignment="1">
      <alignment horizontal="left" vertical="center" wrapText="1"/>
    </xf>
    <xf numFmtId="9" fontId="11" fillId="0" borderId="7" xfId="26" applyNumberFormat="1" applyFont="1" applyBorder="1" applyAlignment="1">
      <alignment horizontal="center" vertical="center"/>
    </xf>
    <xf numFmtId="14" fontId="1" fillId="0" borderId="7" xfId="26" applyNumberFormat="1" applyBorder="1" applyAlignment="1">
      <alignment vertical="center" wrapText="1"/>
    </xf>
    <xf numFmtId="14" fontId="11" fillId="0" borderId="7" xfId="26" applyNumberFormat="1" applyFont="1" applyBorder="1" applyAlignment="1">
      <alignment vertical="center"/>
    </xf>
    <xf numFmtId="0" fontId="11" fillId="0" borderId="4" xfId="26" applyFont="1" applyBorder="1" applyAlignment="1">
      <alignment horizontal="center" vertical="center" wrapText="1"/>
    </xf>
    <xf numFmtId="0" fontId="11" fillId="0" borderId="4" xfId="26" applyFont="1" applyBorder="1" applyAlignment="1">
      <alignment horizontal="justify" vertical="center" wrapText="1"/>
    </xf>
    <xf numFmtId="9" fontId="11" fillId="0" borderId="4" xfId="33" applyFont="1" applyBorder="1" applyAlignment="1">
      <alignment horizontal="center" vertical="center"/>
    </xf>
    <xf numFmtId="14" fontId="11" fillId="0" borderId="4" xfId="26" applyNumberFormat="1" applyFont="1" applyBorder="1" applyAlignment="1">
      <alignment horizontal="center" vertical="center"/>
    </xf>
    <xf numFmtId="9" fontId="11" fillId="0" borderId="2" xfId="33" applyFont="1" applyBorder="1" applyAlignment="1">
      <alignment horizontal="center" vertical="center"/>
    </xf>
    <xf numFmtId="9" fontId="11" fillId="0" borderId="2" xfId="26" applyNumberFormat="1" applyFont="1" applyBorder="1" applyAlignment="1">
      <alignment horizontal="center" vertical="center" wrapText="1"/>
    </xf>
    <xf numFmtId="0" fontId="11" fillId="0" borderId="7" xfId="26" applyFont="1" applyBorder="1" applyAlignment="1">
      <alignment horizontal="center" vertical="center" wrapText="1"/>
    </xf>
    <xf numFmtId="0" fontId="11" fillId="0" borderId="7" xfId="26" applyFont="1" applyBorder="1" applyAlignment="1">
      <alignment horizontal="justify" vertical="center" wrapText="1"/>
    </xf>
    <xf numFmtId="9" fontId="11" fillId="0" borderId="7" xfId="26" applyNumberFormat="1" applyFont="1" applyBorder="1" applyAlignment="1">
      <alignment horizontal="center" vertical="center" wrapText="1"/>
    </xf>
    <xf numFmtId="15" fontId="2" fillId="0" borderId="7" xfId="0" applyNumberFormat="1" applyFont="1" applyFill="1" applyBorder="1" applyAlignment="1" applyProtection="1">
      <alignment horizontal="center" vertical="center" wrapText="1"/>
    </xf>
    <xf numFmtId="0" fontId="16" fillId="0" borderId="4" xfId="26" applyFont="1" applyBorder="1" applyAlignment="1">
      <alignment vertical="center" wrapText="1"/>
    </xf>
    <xf numFmtId="9" fontId="13" fillId="0" borderId="4" xfId="33" applyFont="1" applyBorder="1" applyAlignment="1">
      <alignment horizontal="center" vertical="center"/>
    </xf>
    <xf numFmtId="0" fontId="16" fillId="0" borderId="2" xfId="26" applyFont="1" applyBorder="1" applyAlignment="1">
      <alignment vertical="center" wrapText="1"/>
    </xf>
    <xf numFmtId="9" fontId="13" fillId="0" borderId="2" xfId="33" applyFont="1" applyBorder="1" applyAlignment="1">
      <alignment horizontal="center" vertical="center"/>
    </xf>
    <xf numFmtId="0" fontId="16" fillId="0" borderId="7" xfId="26" applyFont="1" applyBorder="1" applyAlignment="1">
      <alignment vertical="center" wrapText="1"/>
    </xf>
    <xf numFmtId="9" fontId="13" fillId="0" borderId="7" xfId="33" applyFont="1" applyBorder="1" applyAlignment="1">
      <alignment horizontal="center" vertical="center"/>
    </xf>
    <xf numFmtId="0" fontId="17" fillId="0" borderId="4" xfId="26" applyFont="1" applyBorder="1" applyAlignment="1">
      <alignment horizontal="center" vertical="center" wrapText="1"/>
    </xf>
    <xf numFmtId="0" fontId="17" fillId="0" borderId="4" xfId="26" applyFont="1" applyBorder="1" applyAlignment="1">
      <alignment horizontal="justify" vertical="center"/>
    </xf>
    <xf numFmtId="9" fontId="17" fillId="0" borderId="4" xfId="26" applyNumberFormat="1" applyFont="1" applyBorder="1" applyAlignment="1">
      <alignment horizontal="center" vertical="center" wrapText="1"/>
    </xf>
    <xf numFmtId="14" fontId="17" fillId="0" borderId="4" xfId="26" applyNumberFormat="1" applyFont="1" applyBorder="1" applyAlignment="1">
      <alignment horizontal="center" vertical="center" wrapText="1"/>
    </xf>
    <xf numFmtId="0" fontId="17" fillId="0" borderId="2" xfId="26" applyFont="1" applyBorder="1" applyAlignment="1">
      <alignment horizontal="center" vertical="center" wrapText="1"/>
    </xf>
    <xf numFmtId="0" fontId="17" fillId="0" borderId="2" xfId="26" applyFont="1" applyBorder="1" applyAlignment="1">
      <alignment horizontal="justify" vertical="center"/>
    </xf>
    <xf numFmtId="9" fontId="17" fillId="0" borderId="2" xfId="26" applyNumberFormat="1" applyFont="1" applyBorder="1" applyAlignment="1">
      <alignment horizontal="center" vertical="center" wrapText="1"/>
    </xf>
    <xf numFmtId="14" fontId="17" fillId="0" borderId="2" xfId="26" applyNumberFormat="1" applyFont="1" applyBorder="1" applyAlignment="1">
      <alignment horizontal="center" vertical="center" wrapText="1"/>
    </xf>
    <xf numFmtId="14" fontId="17" fillId="0" borderId="2" xfId="26" applyNumberFormat="1" applyFont="1" applyFill="1" applyBorder="1" applyAlignment="1">
      <alignment horizontal="center" vertical="center"/>
    </xf>
    <xf numFmtId="0" fontId="17" fillId="0" borderId="7" xfId="26" applyFont="1" applyBorder="1" applyAlignment="1">
      <alignment horizontal="center" vertical="center" wrapText="1"/>
    </xf>
    <xf numFmtId="0" fontId="17" fillId="0" borderId="7" xfId="26" applyFont="1" applyBorder="1" applyAlignment="1">
      <alignment horizontal="justify" vertical="center"/>
    </xf>
    <xf numFmtId="9" fontId="17" fillId="0" borderId="7" xfId="26" applyNumberFormat="1" applyFont="1" applyBorder="1" applyAlignment="1">
      <alignment horizontal="center" vertical="center" wrapText="1"/>
    </xf>
    <xf numFmtId="14" fontId="17" fillId="0" borderId="7" xfId="26"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169" fontId="31" fillId="0" borderId="10" xfId="0" applyNumberFormat="1" applyFont="1" applyFill="1" applyBorder="1" applyAlignment="1">
      <alignment vertical="center" wrapText="1"/>
    </xf>
    <xf numFmtId="0" fontId="38" fillId="0" borderId="4" xfId="0" applyFont="1" applyFill="1" applyBorder="1" applyAlignment="1">
      <alignment horizontal="left" vertical="center" wrapText="1"/>
    </xf>
    <xf numFmtId="0" fontId="38" fillId="0" borderId="4" xfId="0" applyFont="1" applyFill="1" applyBorder="1" applyAlignment="1">
      <alignment vertical="center" wrapText="1"/>
    </xf>
    <xf numFmtId="9" fontId="38" fillId="0" borderId="4" xfId="0" applyNumberFormat="1" applyFont="1" applyFill="1" applyBorder="1" applyAlignment="1">
      <alignment horizontal="center" vertical="center"/>
    </xf>
    <xf numFmtId="167" fontId="38" fillId="0" borderId="4" xfId="0" applyNumberFormat="1" applyFont="1" applyFill="1" applyBorder="1" applyAlignment="1">
      <alignment horizontal="center" vertical="center" wrapText="1"/>
    </xf>
    <xf numFmtId="169" fontId="38" fillId="0" borderId="4" xfId="0" applyNumberFormat="1" applyFont="1" applyFill="1" applyBorder="1" applyAlignment="1">
      <alignment vertical="center"/>
    </xf>
    <xf numFmtId="169" fontId="38" fillId="0" borderId="4" xfId="0" applyNumberFormat="1" applyFont="1" applyFill="1" applyBorder="1" applyAlignment="1">
      <alignment horizontal="center" vertical="center"/>
    </xf>
    <xf numFmtId="0" fontId="31" fillId="0" borderId="20" xfId="0" applyFont="1" applyFill="1" applyBorder="1" applyAlignment="1">
      <alignment horizontal="left" vertical="center" wrapText="1"/>
    </xf>
    <xf numFmtId="0" fontId="38" fillId="0" borderId="23" xfId="0" applyFont="1" applyFill="1" applyBorder="1" applyAlignment="1">
      <alignment vertical="center" wrapText="1"/>
    </xf>
    <xf numFmtId="165" fontId="31" fillId="0" borderId="4" xfId="15" applyFont="1" applyFill="1" applyBorder="1" applyAlignment="1">
      <alignment vertical="center"/>
    </xf>
    <xf numFmtId="0" fontId="31" fillId="0" borderId="4" xfId="33" applyNumberFormat="1" applyFont="1" applyFill="1" applyBorder="1" applyAlignment="1">
      <alignment horizontal="center" vertical="center"/>
    </xf>
    <xf numFmtId="173" fontId="31" fillId="0" borderId="4" xfId="0" applyNumberFormat="1" applyFont="1" applyFill="1" applyBorder="1" applyAlignment="1">
      <alignment horizontal="center" vertical="center" wrapText="1"/>
    </xf>
    <xf numFmtId="165" fontId="31" fillId="0" borderId="2" xfId="15" applyFont="1" applyFill="1" applyBorder="1" applyAlignment="1">
      <alignment vertical="center"/>
    </xf>
    <xf numFmtId="181" fontId="31" fillId="0" borderId="2" xfId="0" applyNumberFormat="1" applyFont="1" applyFill="1" applyBorder="1" applyAlignment="1">
      <alignment horizontal="center" vertical="center"/>
    </xf>
    <xf numFmtId="182" fontId="31" fillId="0" borderId="21" xfId="10" applyNumberFormat="1" applyFont="1" applyFill="1" applyBorder="1" applyAlignment="1">
      <alignment horizontal="center" vertical="center"/>
    </xf>
    <xf numFmtId="177" fontId="31" fillId="0" borderId="21" xfId="33" applyNumberFormat="1" applyFont="1" applyFill="1" applyBorder="1" applyAlignment="1">
      <alignment horizontal="center" vertical="center"/>
    </xf>
    <xf numFmtId="166" fontId="31" fillId="0" borderId="4" xfId="10" applyFont="1" applyFill="1" applyBorder="1" applyAlignment="1">
      <alignment horizontal="center" vertical="center"/>
    </xf>
    <xf numFmtId="3" fontId="31" fillId="0" borderId="4" xfId="0" applyNumberFormat="1" applyFont="1" applyFill="1" applyBorder="1" applyAlignment="1">
      <alignment vertical="center"/>
    </xf>
    <xf numFmtId="3" fontId="31" fillId="0" borderId="2" xfId="0" applyNumberFormat="1" applyFont="1" applyFill="1" applyBorder="1" applyAlignment="1">
      <alignment vertical="center"/>
    </xf>
    <xf numFmtId="183" fontId="31" fillId="0" borderId="4" xfId="10" applyNumberFormat="1" applyFont="1" applyFill="1" applyBorder="1" applyAlignment="1">
      <alignment horizontal="center" vertical="center"/>
    </xf>
    <xf numFmtId="177" fontId="31" fillId="0" borderId="4" xfId="33" applyNumberFormat="1" applyFont="1" applyFill="1" applyBorder="1" applyAlignment="1">
      <alignment horizontal="center" vertical="center"/>
    </xf>
    <xf numFmtId="0" fontId="41" fillId="0" borderId="4" xfId="0" applyFont="1" applyFill="1" applyBorder="1" applyAlignment="1">
      <alignment horizontal="center" vertical="center" wrapText="1"/>
    </xf>
    <xf numFmtId="0" fontId="41" fillId="0" borderId="4" xfId="0" applyFont="1" applyFill="1" applyBorder="1" applyAlignment="1">
      <alignment vertical="center" wrapText="1"/>
    </xf>
    <xf numFmtId="184" fontId="31" fillId="0" borderId="4" xfId="0" applyNumberFormat="1" applyFont="1" applyFill="1" applyBorder="1" applyAlignment="1">
      <alignment vertical="center"/>
    </xf>
    <xf numFmtId="0" fontId="41" fillId="0" borderId="2" xfId="0" applyFont="1" applyFill="1" applyBorder="1" applyAlignment="1">
      <alignment horizontal="center" vertical="center" wrapText="1"/>
    </xf>
    <xf numFmtId="0" fontId="41" fillId="0" borderId="2" xfId="0" applyFont="1" applyFill="1" applyBorder="1" applyAlignment="1">
      <alignment vertical="center" wrapText="1"/>
    </xf>
    <xf numFmtId="184" fontId="31" fillId="0" borderId="2" xfId="0" applyNumberFormat="1" applyFont="1" applyFill="1" applyBorder="1" applyAlignment="1">
      <alignment vertical="center" wrapText="1"/>
    </xf>
    <xf numFmtId="184" fontId="31" fillId="0" borderId="2" xfId="0" applyNumberFormat="1" applyFont="1" applyFill="1" applyBorder="1" applyAlignment="1">
      <alignment vertical="center"/>
    </xf>
    <xf numFmtId="0" fontId="41" fillId="0" borderId="7" xfId="0" applyFont="1" applyFill="1" applyBorder="1" applyAlignment="1">
      <alignment vertical="center" wrapText="1"/>
    </xf>
    <xf numFmtId="184" fontId="31" fillId="0" borderId="7" xfId="0" applyNumberFormat="1" applyFont="1" applyFill="1" applyBorder="1" applyAlignment="1">
      <alignment vertical="center"/>
    </xf>
    <xf numFmtId="4" fontId="31" fillId="7" borderId="7" xfId="0" applyNumberFormat="1" applyFont="1" applyFill="1" applyBorder="1" applyAlignment="1">
      <alignment horizontal="center" vertical="center" wrapText="1"/>
    </xf>
    <xf numFmtId="0" fontId="2" fillId="0" borderId="2" xfId="26" applyFont="1" applyBorder="1" applyAlignment="1">
      <alignment horizontal="center" vertical="center" wrapText="1"/>
    </xf>
    <xf numFmtId="0" fontId="2" fillId="0" borderId="2" xfId="26" applyFont="1" applyBorder="1" applyAlignment="1">
      <alignment horizontal="justify" vertical="center" wrapText="1"/>
    </xf>
    <xf numFmtId="9" fontId="2" fillId="0" borderId="2" xfId="26" applyNumberFormat="1" applyFont="1" applyBorder="1" applyAlignment="1">
      <alignment horizontal="center" vertical="center"/>
    </xf>
    <xf numFmtId="184" fontId="2" fillId="0" borderId="2" xfId="15" applyNumberFormat="1" applyFont="1" applyBorder="1" applyAlignment="1">
      <alignment horizontal="center" vertical="center"/>
    </xf>
    <xf numFmtId="0" fontId="2" fillId="0" borderId="2" xfId="26" applyFont="1" applyFill="1" applyBorder="1" applyAlignment="1">
      <alignment horizontal="center" vertical="center" wrapText="1"/>
    </xf>
    <xf numFmtId="0" fontId="2" fillId="0" borderId="2" xfId="26" applyFont="1" applyFill="1" applyBorder="1" applyAlignment="1">
      <alignment horizontal="justify" vertical="center" wrapText="1"/>
    </xf>
    <xf numFmtId="184" fontId="2" fillId="0" borderId="2" xfId="15" applyNumberFormat="1" applyFont="1" applyBorder="1" applyAlignment="1">
      <alignment vertical="center"/>
    </xf>
    <xf numFmtId="0" fontId="2" fillId="0" borderId="1" xfId="26" applyFont="1" applyFill="1" applyBorder="1" applyAlignment="1">
      <alignment horizontal="center" vertical="center" wrapText="1"/>
    </xf>
    <xf numFmtId="9" fontId="2" fillId="0" borderId="1" xfId="26" applyNumberFormat="1" applyFont="1" applyBorder="1" applyAlignment="1">
      <alignment horizontal="center" vertical="center"/>
    </xf>
    <xf numFmtId="184" fontId="2" fillId="0" borderId="1" xfId="26" applyNumberFormat="1" applyFont="1" applyBorder="1" applyAlignment="1">
      <alignment horizontal="center" vertical="center"/>
    </xf>
    <xf numFmtId="0" fontId="2" fillId="0" borderId="7" xfId="26" applyFont="1" applyBorder="1" applyAlignment="1">
      <alignment horizontal="center" vertical="center" wrapText="1"/>
    </xf>
    <xf numFmtId="0" fontId="2" fillId="0" borderId="7" xfId="26" applyFont="1" applyBorder="1" applyAlignment="1">
      <alignment horizontal="justify" vertical="center" wrapText="1"/>
    </xf>
    <xf numFmtId="9" fontId="2" fillId="0" borderId="7" xfId="26" applyNumberFormat="1" applyFont="1" applyBorder="1" applyAlignment="1">
      <alignment horizontal="center" vertical="center"/>
    </xf>
    <xf numFmtId="184" fontId="2" fillId="0" borderId="7" xfId="15" applyNumberFormat="1" applyFont="1" applyBorder="1" applyAlignment="1">
      <alignment vertical="center"/>
    </xf>
    <xf numFmtId="0" fontId="2" fillId="0" borderId="2" xfId="26" applyFont="1" applyBorder="1" applyAlignment="1">
      <alignment horizontal="center" vertical="center"/>
    </xf>
    <xf numFmtId="9" fontId="2" fillId="0" borderId="2" xfId="34" applyFont="1" applyBorder="1" applyAlignment="1">
      <alignment horizontal="center" vertical="center"/>
    </xf>
    <xf numFmtId="14" fontId="2" fillId="0" borderId="2" xfId="26" applyNumberFormat="1" applyFont="1" applyBorder="1" applyAlignment="1">
      <alignment horizontal="center" vertical="center"/>
    </xf>
    <xf numFmtId="184" fontId="2" fillId="0" borderId="2" xfId="8" applyNumberFormat="1" applyFont="1" applyBorder="1" applyAlignment="1">
      <alignment vertical="center"/>
    </xf>
    <xf numFmtId="0" fontId="2" fillId="0" borderId="2" xfId="0" applyFont="1" applyBorder="1" applyAlignment="1">
      <alignment horizontal="center" vertical="center"/>
    </xf>
    <xf numFmtId="184" fontId="31" fillId="0" borderId="7" xfId="0" applyNumberFormat="1" applyFont="1" applyFill="1" applyBorder="1" applyAlignment="1">
      <alignment horizontal="center" vertical="center"/>
    </xf>
    <xf numFmtId="4" fontId="31" fillId="0" borderId="7" xfId="0" applyNumberFormat="1" applyFont="1" applyFill="1" applyBorder="1" applyAlignment="1">
      <alignment horizontal="center" vertical="center"/>
    </xf>
    <xf numFmtId="0" fontId="2" fillId="0" borderId="1" xfId="26" applyFont="1" applyBorder="1" applyAlignment="1">
      <alignment horizontal="center" vertical="center" wrapText="1"/>
    </xf>
    <xf numFmtId="0" fontId="2" fillId="0" borderId="1" xfId="26" applyFont="1" applyBorder="1" applyAlignment="1">
      <alignment horizontal="justify" vertical="center" wrapText="1"/>
    </xf>
    <xf numFmtId="14" fontId="2" fillId="0" borderId="1" xfId="26" applyNumberFormat="1" applyFont="1" applyBorder="1" applyAlignment="1">
      <alignment horizontal="center" vertical="center"/>
    </xf>
    <xf numFmtId="184" fontId="2" fillId="0" borderId="1" xfId="15" applyNumberFormat="1" applyFont="1" applyBorder="1" applyAlignment="1">
      <alignment horizontal="center" vertical="center"/>
    </xf>
    <xf numFmtId="184" fontId="38" fillId="0" borderId="2" xfId="0" applyNumberFormat="1" applyFont="1" applyFill="1" applyBorder="1" applyAlignment="1">
      <alignment vertical="center"/>
    </xf>
    <xf numFmtId="0" fontId="41" fillId="8" borderId="4" xfId="0" applyFont="1" applyFill="1" applyBorder="1" applyAlignment="1">
      <alignment horizontal="center" vertical="center" wrapText="1"/>
    </xf>
    <xf numFmtId="0" fontId="41" fillId="8" borderId="4" xfId="0" applyFont="1" applyFill="1" applyBorder="1" applyAlignment="1">
      <alignment vertical="center" wrapText="1"/>
    </xf>
    <xf numFmtId="0" fontId="31" fillId="0" borderId="21" xfId="0" applyFont="1" applyFill="1" applyBorder="1" applyAlignment="1">
      <alignment vertical="center" wrapText="1"/>
    </xf>
    <xf numFmtId="1" fontId="31" fillId="8" borderId="21" xfId="0" applyNumberFormat="1" applyFont="1" applyFill="1" applyBorder="1" applyAlignment="1">
      <alignment horizontal="center" vertical="center" wrapText="1"/>
    </xf>
    <xf numFmtId="0" fontId="31" fillId="8" borderId="2" xfId="0" applyFont="1" applyFill="1" applyBorder="1" applyAlignment="1">
      <alignment horizontal="center" vertical="center"/>
    </xf>
    <xf numFmtId="0" fontId="41" fillId="8" borderId="2" xfId="0" applyFont="1" applyFill="1" applyBorder="1" applyAlignment="1">
      <alignment horizontal="center" vertical="center" wrapText="1"/>
    </xf>
    <xf numFmtId="0" fontId="41" fillId="8" borderId="2" xfId="0" applyFont="1" applyFill="1" applyBorder="1" applyAlignment="1">
      <alignment vertical="center" wrapText="1"/>
    </xf>
    <xf numFmtId="0" fontId="2" fillId="8" borderId="6" xfId="0" applyFont="1" applyFill="1" applyBorder="1" applyAlignment="1">
      <alignment horizontal="left" vertical="center" wrapText="1"/>
    </xf>
    <xf numFmtId="0" fontId="41" fillId="8" borderId="7" xfId="0" applyFont="1" applyFill="1" applyBorder="1" applyAlignment="1">
      <alignment horizontal="center" vertical="center" wrapText="1"/>
    </xf>
    <xf numFmtId="0" fontId="41" fillId="8" borderId="7" xfId="0" applyFont="1" applyFill="1" applyBorder="1" applyAlignment="1">
      <alignment vertical="center" wrapText="1"/>
    </xf>
    <xf numFmtId="0" fontId="2" fillId="8" borderId="8" xfId="0" applyFont="1" applyFill="1" applyBorder="1" applyAlignment="1">
      <alignment horizontal="left" vertical="center" wrapText="1"/>
    </xf>
    <xf numFmtId="0" fontId="2" fillId="0" borderId="4" xfId="26" applyFont="1" applyBorder="1" applyAlignment="1">
      <alignment horizontal="center" vertical="center" wrapText="1"/>
    </xf>
    <xf numFmtId="0" fontId="2" fillId="0" borderId="4" xfId="26" applyFont="1" applyBorder="1" applyAlignment="1">
      <alignment horizontal="justify" vertical="center" wrapText="1"/>
    </xf>
    <xf numFmtId="9" fontId="2" fillId="0" borderId="4" xfId="26" applyNumberFormat="1" applyFont="1" applyBorder="1" applyAlignment="1">
      <alignment horizontal="center" vertical="center"/>
    </xf>
    <xf numFmtId="184" fontId="2" fillId="0" borderId="4" xfId="15" applyNumberFormat="1" applyFont="1" applyBorder="1" applyAlignment="1">
      <alignment horizontal="center" vertical="center"/>
    </xf>
    <xf numFmtId="0" fontId="2" fillId="0" borderId="2" xfId="26" applyFont="1" applyBorder="1" applyAlignment="1">
      <alignment horizontal="left" vertical="center" wrapText="1"/>
    </xf>
    <xf numFmtId="1" fontId="31" fillId="8" borderId="10" xfId="0" applyNumberFormat="1" applyFont="1" applyFill="1" applyBorder="1" applyAlignment="1">
      <alignment horizontal="center" vertical="center" wrapText="1"/>
    </xf>
    <xf numFmtId="0" fontId="2" fillId="0" borderId="23" xfId="26" applyFont="1" applyFill="1" applyBorder="1" applyAlignment="1">
      <alignment horizontal="center" vertical="center" wrapText="1"/>
    </xf>
    <xf numFmtId="0" fontId="2" fillId="0" borderId="23" xfId="26" applyFont="1" applyFill="1" applyBorder="1" applyAlignment="1">
      <alignment horizontal="justify" vertical="center" wrapText="1"/>
    </xf>
    <xf numFmtId="9" fontId="2" fillId="0" borderId="23" xfId="26" applyNumberFormat="1" applyFont="1" applyBorder="1" applyAlignment="1">
      <alignment horizontal="center" vertical="center"/>
    </xf>
    <xf numFmtId="184" fontId="2" fillId="0" borderId="23" xfId="15" applyNumberFormat="1" applyFont="1" applyBorder="1" applyAlignment="1">
      <alignment vertical="center"/>
    </xf>
    <xf numFmtId="0" fontId="41" fillId="8" borderId="21" xfId="0" applyFont="1" applyFill="1" applyBorder="1" applyAlignment="1">
      <alignment horizontal="center" vertical="center" wrapText="1"/>
    </xf>
    <xf numFmtId="0" fontId="18" fillId="0" borderId="4" xfId="26" applyFont="1" applyBorder="1" applyAlignment="1">
      <alignment horizontal="center" vertical="center"/>
    </xf>
    <xf numFmtId="9" fontId="2" fillId="0" borderId="4" xfId="34" applyFont="1" applyBorder="1" applyAlignment="1">
      <alignment horizontal="center" vertical="center"/>
    </xf>
    <xf numFmtId="14" fontId="2" fillId="0" borderId="4" xfId="26" applyNumberFormat="1" applyFont="1" applyBorder="1" applyAlignment="1">
      <alignment horizontal="center" vertical="center"/>
    </xf>
    <xf numFmtId="14" fontId="2" fillId="0" borderId="21" xfId="26" applyNumberFormat="1" applyFont="1" applyBorder="1" applyAlignment="1">
      <alignment horizontal="center" vertical="center"/>
    </xf>
    <xf numFmtId="184" fontId="2" fillId="0" borderId="21" xfId="8" applyNumberFormat="1" applyFont="1" applyBorder="1" applyAlignment="1">
      <alignment vertical="center"/>
    </xf>
    <xf numFmtId="0" fontId="41" fillId="8" borderId="10" xfId="0" applyFont="1" applyFill="1" applyBorder="1" applyAlignment="1">
      <alignment horizontal="center" vertical="center" wrapText="1"/>
    </xf>
    <xf numFmtId="0" fontId="18" fillId="0" borderId="2" xfId="26" applyFont="1" applyBorder="1" applyAlignment="1">
      <alignment horizontal="center" vertical="center"/>
    </xf>
    <xf numFmtId="0" fontId="18" fillId="0" borderId="7" xfId="26" applyFont="1" applyBorder="1" applyAlignment="1">
      <alignment horizontal="center" vertical="center"/>
    </xf>
    <xf numFmtId="9" fontId="2" fillId="0" borderId="7" xfId="34" applyFont="1" applyBorder="1" applyAlignment="1">
      <alignment horizontal="center" vertical="center"/>
    </xf>
    <xf numFmtId="14" fontId="2" fillId="0" borderId="7" xfId="26" applyNumberFormat="1" applyFont="1" applyBorder="1" applyAlignment="1">
      <alignment horizontal="center" vertical="center"/>
    </xf>
    <xf numFmtId="184" fontId="2" fillId="0" borderId="7" xfId="8" applyNumberFormat="1" applyFont="1" applyBorder="1" applyAlignment="1">
      <alignment vertical="center"/>
    </xf>
    <xf numFmtId="0" fontId="31" fillId="8" borderId="2" xfId="0" applyFont="1" applyFill="1" applyBorder="1" applyAlignment="1">
      <alignment horizontal="left" vertical="center" wrapText="1"/>
    </xf>
    <xf numFmtId="1" fontId="31" fillId="0" borderId="6" xfId="0" applyNumberFormat="1" applyFont="1" applyFill="1" applyBorder="1" applyAlignment="1">
      <alignment vertical="center" wrapText="1"/>
    </xf>
    <xf numFmtId="0" fontId="31" fillId="8" borderId="7" xfId="0" applyFont="1" applyFill="1" applyBorder="1" applyAlignment="1">
      <alignment horizontal="left" vertical="center" wrapText="1"/>
    </xf>
    <xf numFmtId="0" fontId="31" fillId="8" borderId="7" xfId="0" applyFont="1" applyFill="1" applyBorder="1" applyAlignment="1">
      <alignment vertical="center" wrapText="1"/>
    </xf>
    <xf numFmtId="167" fontId="31" fillId="8" borderId="7" xfId="0" applyNumberFormat="1" applyFont="1" applyFill="1" applyBorder="1" applyAlignment="1">
      <alignment horizontal="center" vertical="center" wrapText="1"/>
    </xf>
    <xf numFmtId="0" fontId="31" fillId="8" borderId="7" xfId="0" applyNumberFormat="1" applyFont="1" applyFill="1" applyBorder="1" applyAlignment="1">
      <alignment horizontal="center" vertical="center" wrapText="1"/>
    </xf>
    <xf numFmtId="0" fontId="31" fillId="7" borderId="5" xfId="0" applyFont="1" applyFill="1" applyBorder="1" applyAlignment="1">
      <alignment horizontal="left" vertical="center" wrapText="1"/>
    </xf>
    <xf numFmtId="0" fontId="41" fillId="0" borderId="1" xfId="0" applyFont="1" applyFill="1" applyBorder="1" applyAlignment="1">
      <alignment vertical="center" wrapText="1"/>
    </xf>
    <xf numFmtId="0" fontId="35" fillId="0" borderId="2" xfId="0" applyFont="1" applyBorder="1" applyAlignment="1">
      <alignment horizontal="center" vertical="center"/>
    </xf>
    <xf numFmtId="0" fontId="33" fillId="4" borderId="10" xfId="3" applyFont="1" applyFill="1" applyBorder="1" applyAlignment="1">
      <alignment horizontal="center" vertical="center" wrapText="1"/>
    </xf>
    <xf numFmtId="0" fontId="28" fillId="0" borderId="0" xfId="31" applyAlignment="1">
      <alignment horizontal="center" vertical="center" wrapText="1"/>
    </xf>
    <xf numFmtId="0" fontId="28" fillId="0" borderId="0" xfId="31" applyAlignment="1">
      <alignment horizontal="center" vertical="center"/>
    </xf>
    <xf numFmtId="0" fontId="28" fillId="0" borderId="29" xfId="31" applyBorder="1" applyAlignment="1">
      <alignment vertical="center" wrapText="1"/>
    </xf>
    <xf numFmtId="185" fontId="28" fillId="0" borderId="0" xfId="31" applyNumberFormat="1" applyBorder="1" applyAlignment="1">
      <alignment vertical="center" wrapText="1"/>
    </xf>
    <xf numFmtId="185" fontId="28" fillId="0" borderId="0" xfId="31" applyNumberFormat="1" applyBorder="1" applyAlignment="1">
      <alignment horizontal="center" vertical="center" wrapText="1"/>
    </xf>
    <xf numFmtId="185" fontId="28" fillId="0" borderId="30" xfId="31" applyNumberFormat="1" applyBorder="1" applyAlignment="1">
      <alignment vertical="center" wrapText="1"/>
    </xf>
    <xf numFmtId="0" fontId="28" fillId="0" borderId="0" xfId="31" applyAlignment="1">
      <alignment vertical="center" wrapText="1"/>
    </xf>
    <xf numFmtId="0" fontId="28" fillId="0" borderId="0" xfId="31" applyBorder="1" applyAlignment="1">
      <alignment vertical="center"/>
    </xf>
    <xf numFmtId="0" fontId="28" fillId="0" borderId="29" xfId="31" applyBorder="1" applyAlignment="1">
      <alignment horizontal="center" vertical="center"/>
    </xf>
    <xf numFmtId="185" fontId="28" fillId="0" borderId="0" xfId="31" applyNumberFormat="1" applyBorder="1" applyAlignment="1">
      <alignment vertical="center"/>
    </xf>
    <xf numFmtId="0" fontId="28" fillId="0" borderId="0" xfId="31" applyBorder="1" applyAlignment="1">
      <alignment horizontal="center" vertical="center"/>
    </xf>
    <xf numFmtId="185" fontId="28" fillId="0" borderId="0" xfId="31" applyNumberFormat="1" applyBorder="1" applyAlignment="1">
      <alignment horizontal="center" vertical="center"/>
    </xf>
    <xf numFmtId="185" fontId="28" fillId="0" borderId="30" xfId="31" applyNumberFormat="1" applyBorder="1" applyAlignment="1">
      <alignment vertical="center"/>
    </xf>
    <xf numFmtId="14" fontId="28" fillId="0" borderId="29" xfId="31" applyNumberFormat="1" applyBorder="1" applyAlignment="1">
      <alignment vertical="center"/>
    </xf>
    <xf numFmtId="14" fontId="28" fillId="0" borderId="30" xfId="31" applyNumberFormat="1" applyBorder="1" applyAlignment="1">
      <alignment vertical="center"/>
    </xf>
    <xf numFmtId="0" fontId="28" fillId="0" borderId="31" xfId="31" applyBorder="1" applyAlignment="1">
      <alignment horizontal="center" vertical="center"/>
    </xf>
    <xf numFmtId="0" fontId="28" fillId="0" borderId="30" xfId="31" applyBorder="1" applyAlignment="1">
      <alignment horizontal="center" vertical="center"/>
    </xf>
    <xf numFmtId="0" fontId="28" fillId="0" borderId="0" xfId="31" applyAlignment="1">
      <alignment vertical="center"/>
    </xf>
    <xf numFmtId="177" fontId="28" fillId="0" borderId="0" xfId="31" applyNumberFormat="1" applyBorder="1" applyAlignment="1">
      <alignment vertical="center"/>
    </xf>
    <xf numFmtId="185" fontId="28" fillId="0" borderId="30" xfId="31" applyNumberFormat="1" applyBorder="1" applyAlignment="1">
      <alignment horizontal="center" vertical="center"/>
    </xf>
    <xf numFmtId="0" fontId="28" fillId="0" borderId="30" xfId="31" applyBorder="1" applyAlignment="1">
      <alignment horizontal="left" vertical="center"/>
    </xf>
    <xf numFmtId="0" fontId="28" fillId="0" borderId="32" xfId="31" applyBorder="1" applyAlignment="1">
      <alignment vertical="center" wrapText="1"/>
    </xf>
    <xf numFmtId="0" fontId="28" fillId="0" borderId="26" xfId="31" applyBorder="1" applyAlignment="1">
      <alignment vertical="center"/>
    </xf>
    <xf numFmtId="177" fontId="28" fillId="0" borderId="26" xfId="31" applyNumberFormat="1" applyBorder="1" applyAlignment="1">
      <alignment vertical="center"/>
    </xf>
    <xf numFmtId="185" fontId="28" fillId="0" borderId="33" xfId="31" applyNumberFormat="1" applyBorder="1" applyAlignment="1">
      <alignment horizontal="center" vertical="center"/>
    </xf>
    <xf numFmtId="0" fontId="28" fillId="0" borderId="32" xfId="31" applyBorder="1" applyAlignment="1">
      <alignment horizontal="center" vertical="center"/>
    </xf>
    <xf numFmtId="185" fontId="28" fillId="0" borderId="26" xfId="31" applyNumberFormat="1" applyBorder="1" applyAlignment="1">
      <alignment vertical="center"/>
    </xf>
    <xf numFmtId="0" fontId="28" fillId="0" borderId="26" xfId="31" applyBorder="1" applyAlignment="1">
      <alignment horizontal="center" vertical="center"/>
    </xf>
    <xf numFmtId="185" fontId="28" fillId="0" borderId="26" xfId="31" applyNumberFormat="1" applyBorder="1" applyAlignment="1">
      <alignment horizontal="center" vertical="center"/>
    </xf>
    <xf numFmtId="185" fontId="28" fillId="0" borderId="33" xfId="31" applyNumberFormat="1" applyBorder="1" applyAlignment="1">
      <alignment vertical="center"/>
    </xf>
    <xf numFmtId="14" fontId="28" fillId="0" borderId="32" xfId="31" applyNumberFormat="1" applyBorder="1" applyAlignment="1">
      <alignment vertical="center"/>
    </xf>
    <xf numFmtId="14" fontId="28" fillId="0" borderId="33" xfId="31" applyNumberFormat="1" applyBorder="1" applyAlignment="1">
      <alignment vertical="center"/>
    </xf>
    <xf numFmtId="0" fontId="28" fillId="0" borderId="34" xfId="31" applyBorder="1" applyAlignment="1">
      <alignment horizontal="center" vertical="center"/>
    </xf>
    <xf numFmtId="0" fontId="28" fillId="0" borderId="33" xfId="31" applyBorder="1" applyAlignment="1">
      <alignment horizontal="center" vertical="center"/>
    </xf>
    <xf numFmtId="0" fontId="28" fillId="0" borderId="33" xfId="31" applyBorder="1" applyAlignment="1">
      <alignment horizontal="left" vertical="center"/>
    </xf>
    <xf numFmtId="177" fontId="28" fillId="0" borderId="0" xfId="31" applyNumberFormat="1" applyAlignment="1">
      <alignment vertical="center"/>
    </xf>
    <xf numFmtId="185" fontId="28" fillId="0" borderId="0" xfId="31" applyNumberFormat="1" applyAlignment="1">
      <alignment horizontal="center" vertical="center"/>
    </xf>
    <xf numFmtId="185" fontId="28" fillId="0" borderId="0" xfId="31" applyNumberFormat="1" applyAlignment="1">
      <alignment vertical="center"/>
    </xf>
    <xf numFmtId="14" fontId="28" fillId="0" borderId="0" xfId="31" applyNumberFormat="1" applyAlignment="1">
      <alignment vertical="center"/>
    </xf>
    <xf numFmtId="0" fontId="28" fillId="0" borderId="0" xfId="31" applyAlignment="1">
      <alignment horizontal="left" vertical="center"/>
    </xf>
    <xf numFmtId="0" fontId="53" fillId="4" borderId="35" xfId="2" applyFont="1" applyFill="1" applyBorder="1" applyAlignment="1">
      <alignment horizontal="center" vertical="center"/>
    </xf>
    <xf numFmtId="0" fontId="53" fillId="4" borderId="36" xfId="2" applyFont="1" applyFill="1" applyBorder="1" applyAlignment="1">
      <alignment horizontal="center" vertical="center"/>
    </xf>
    <xf numFmtId="0" fontId="53" fillId="4" borderId="29" xfId="2" applyFont="1" applyFill="1" applyBorder="1" applyAlignment="1">
      <alignment horizontal="center" vertical="center"/>
    </xf>
    <xf numFmtId="0" fontId="53" fillId="4" borderId="30" xfId="2" applyFont="1" applyFill="1" applyBorder="1" applyAlignment="1">
      <alignment horizontal="center" vertical="center"/>
    </xf>
    <xf numFmtId="0" fontId="31" fillId="0" borderId="29" xfId="31" applyFont="1" applyBorder="1" applyAlignment="1">
      <alignment horizontal="center" vertical="center"/>
    </xf>
    <xf numFmtId="171" fontId="31" fillId="0" borderId="30" xfId="31" applyNumberFormat="1" applyFont="1" applyBorder="1" applyAlignment="1">
      <alignment vertical="center"/>
    </xf>
    <xf numFmtId="0" fontId="31" fillId="0" borderId="32" xfId="31" applyFont="1" applyBorder="1" applyAlignment="1">
      <alignment horizontal="center" vertical="center"/>
    </xf>
    <xf numFmtId="171" fontId="31" fillId="0" borderId="33" xfId="31" applyNumberFormat="1" applyFont="1" applyBorder="1" applyAlignment="1">
      <alignment vertical="center"/>
    </xf>
    <xf numFmtId="185" fontId="54" fillId="9" borderId="7" xfId="31" applyNumberFormat="1" applyFont="1" applyFill="1" applyBorder="1" applyAlignment="1">
      <alignment horizontal="center" vertical="center"/>
    </xf>
    <xf numFmtId="185" fontId="54" fillId="9" borderId="8" xfId="31" applyNumberFormat="1" applyFont="1" applyFill="1" applyBorder="1" applyAlignment="1">
      <alignment horizontal="center" vertical="center"/>
    </xf>
    <xf numFmtId="0" fontId="54" fillId="9" borderId="37" xfId="31" applyFont="1" applyFill="1" applyBorder="1" applyAlignment="1">
      <alignment horizontal="center" vertical="center"/>
    </xf>
    <xf numFmtId="0" fontId="54" fillId="9" borderId="23" xfId="31" applyFont="1" applyFill="1" applyBorder="1" applyAlignment="1">
      <alignment horizontal="center" vertical="center"/>
    </xf>
    <xf numFmtId="0" fontId="54" fillId="9" borderId="22" xfId="31" applyFont="1" applyFill="1" applyBorder="1" applyAlignment="1">
      <alignment horizontal="center" vertical="center"/>
    </xf>
    <xf numFmtId="0" fontId="54" fillId="10" borderId="38" xfId="31" applyFont="1" applyFill="1" applyBorder="1" applyAlignment="1">
      <alignment horizontal="center" vertical="center" wrapText="1"/>
    </xf>
    <xf numFmtId="0" fontId="54" fillId="10" borderId="39" xfId="31"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7" xfId="0" applyFont="1" applyFill="1" applyBorder="1" applyAlignment="1">
      <alignment horizontal="center" vertical="center"/>
    </xf>
    <xf numFmtId="0" fontId="42" fillId="6" borderId="2" xfId="0" applyFont="1" applyFill="1" applyBorder="1" applyAlignment="1">
      <alignment horizontal="center" vertical="center"/>
    </xf>
    <xf numFmtId="0" fontId="42" fillId="0" borderId="10" xfId="0" applyFont="1" applyFill="1" applyBorder="1" applyAlignment="1">
      <alignment horizontal="center" vertical="center"/>
    </xf>
    <xf numFmtId="169" fontId="31" fillId="0" borderId="20" xfId="0" applyNumberFormat="1" applyFont="1" applyFill="1" applyBorder="1" applyAlignment="1">
      <alignment horizontal="center" vertical="center" wrapText="1"/>
    </xf>
    <xf numFmtId="0" fontId="31" fillId="6" borderId="1" xfId="0" applyFont="1" applyFill="1" applyBorder="1" applyAlignment="1">
      <alignment horizontal="center" vertical="center"/>
    </xf>
    <xf numFmtId="0" fontId="42" fillId="6" borderId="1" xfId="0" applyFont="1" applyFill="1" applyBorder="1" applyAlignment="1">
      <alignment horizontal="center" vertical="center"/>
    </xf>
    <xf numFmtId="0" fontId="31" fillId="6" borderId="1" xfId="0" applyFont="1" applyFill="1" applyBorder="1" applyAlignment="1">
      <alignment horizontal="left" vertical="center" wrapText="1"/>
    </xf>
    <xf numFmtId="0" fontId="31" fillId="0" borderId="3" xfId="0" applyFont="1" applyBorder="1" applyAlignment="1">
      <alignment vertical="center"/>
    </xf>
    <xf numFmtId="0" fontId="31" fillId="6" borderId="4" xfId="0" applyFont="1" applyFill="1" applyBorder="1" applyAlignment="1">
      <alignment horizontal="center" vertical="center"/>
    </xf>
    <xf numFmtId="0" fontId="42" fillId="6" borderId="4" xfId="0" applyFont="1" applyFill="1" applyBorder="1" applyAlignment="1">
      <alignment horizontal="center" vertical="center"/>
    </xf>
    <xf numFmtId="0" fontId="31" fillId="6" borderId="4" xfId="0" applyFont="1" applyFill="1" applyBorder="1" applyAlignment="1">
      <alignment horizontal="left" vertical="center" wrapText="1"/>
    </xf>
    <xf numFmtId="0" fontId="31" fillId="6" borderId="5" xfId="0" applyFont="1" applyFill="1" applyBorder="1" applyAlignment="1">
      <alignment horizontal="left" vertical="center" wrapText="1"/>
    </xf>
    <xf numFmtId="0" fontId="31" fillId="6" borderId="6" xfId="0" applyFont="1" applyFill="1" applyBorder="1" applyAlignment="1">
      <alignment horizontal="left" vertical="center" wrapText="1"/>
    </xf>
    <xf numFmtId="0" fontId="31" fillId="6" borderId="7" xfId="0" applyFont="1" applyFill="1" applyBorder="1" applyAlignment="1">
      <alignment horizontal="center" vertical="center"/>
    </xf>
    <xf numFmtId="0" fontId="42" fillId="6" borderId="7" xfId="0" applyFont="1" applyFill="1" applyBorder="1" applyAlignment="1">
      <alignment horizontal="center" vertical="center"/>
    </xf>
    <xf numFmtId="0" fontId="37" fillId="6" borderId="7" xfId="0" applyFont="1" applyFill="1" applyBorder="1" applyAlignment="1">
      <alignment vertical="center" wrapText="1"/>
    </xf>
    <xf numFmtId="0" fontId="31" fillId="6" borderId="7" xfId="0" applyFont="1" applyFill="1" applyBorder="1" applyAlignment="1">
      <alignment horizontal="left" vertical="center" wrapText="1"/>
    </xf>
    <xf numFmtId="0" fontId="31" fillId="6" borderId="8" xfId="0" applyFont="1" applyFill="1" applyBorder="1" applyAlignment="1">
      <alignment horizontal="left" vertical="center" wrapText="1"/>
    </xf>
    <xf numFmtId="0" fontId="31" fillId="6" borderId="1" xfId="0" applyFont="1" applyFill="1" applyBorder="1" applyAlignment="1">
      <alignment vertical="center" wrapText="1"/>
    </xf>
    <xf numFmtId="9" fontId="31" fillId="6" borderId="1" xfId="33" applyFont="1" applyFill="1" applyBorder="1" applyAlignment="1">
      <alignment horizontal="center" vertical="center"/>
    </xf>
    <xf numFmtId="14" fontId="31" fillId="6" borderId="1" xfId="34" applyNumberFormat="1" applyFont="1" applyFill="1" applyBorder="1" applyAlignment="1">
      <alignment horizontal="center" vertical="center"/>
    </xf>
    <xf numFmtId="14" fontId="31" fillId="6" borderId="1" xfId="0" applyNumberFormat="1" applyFont="1" applyFill="1" applyBorder="1" applyAlignment="1">
      <alignment horizontal="center" vertical="center"/>
    </xf>
    <xf numFmtId="0" fontId="31" fillId="6" borderId="1" xfId="0" applyNumberFormat="1" applyFont="1" applyFill="1" applyBorder="1" applyAlignment="1">
      <alignment horizontal="center" vertical="center"/>
    </xf>
    <xf numFmtId="169" fontId="31" fillId="6" borderId="1" xfId="0" applyNumberFormat="1" applyFont="1" applyFill="1" applyBorder="1" applyAlignment="1">
      <alignment horizontal="center" vertical="center"/>
    </xf>
    <xf numFmtId="4" fontId="31" fillId="0" borderId="1" xfId="0" applyNumberFormat="1" applyFont="1" applyFill="1" applyBorder="1" applyAlignment="1">
      <alignment horizontal="center" vertical="center"/>
    </xf>
    <xf numFmtId="0" fontId="0" fillId="0" borderId="3" xfId="0" applyBorder="1" applyAlignment="1">
      <alignment vertical="center"/>
    </xf>
    <xf numFmtId="0" fontId="31" fillId="6" borderId="4" xfId="0" applyFont="1" applyFill="1" applyBorder="1" applyAlignment="1">
      <alignment vertical="center" wrapText="1"/>
    </xf>
    <xf numFmtId="9" fontId="31" fillId="6" borderId="4" xfId="33" applyFont="1" applyFill="1" applyBorder="1" applyAlignment="1">
      <alignment horizontal="center" vertical="center"/>
    </xf>
    <xf numFmtId="14" fontId="31" fillId="6" borderId="4" xfId="34" applyNumberFormat="1" applyFont="1" applyFill="1" applyBorder="1" applyAlignment="1">
      <alignment horizontal="center" vertical="center"/>
    </xf>
    <xf numFmtId="14" fontId="31" fillId="6" borderId="4" xfId="0" applyNumberFormat="1" applyFont="1" applyFill="1" applyBorder="1" applyAlignment="1">
      <alignment horizontal="center" vertical="center"/>
    </xf>
    <xf numFmtId="0" fontId="31" fillId="6" borderId="4" xfId="0" applyNumberFormat="1" applyFont="1" applyFill="1" applyBorder="1" applyAlignment="1">
      <alignment horizontal="center" vertical="center"/>
    </xf>
    <xf numFmtId="169" fontId="31" fillId="6" borderId="4" xfId="0" applyNumberFormat="1" applyFont="1" applyFill="1" applyBorder="1" applyAlignment="1">
      <alignment horizontal="center" vertical="center"/>
    </xf>
    <xf numFmtId="4" fontId="31" fillId="0" borderId="4" xfId="0" applyNumberFormat="1" applyFont="1" applyFill="1" applyBorder="1" applyAlignment="1">
      <alignment horizontal="center" vertical="center"/>
    </xf>
    <xf numFmtId="0" fontId="31" fillId="6" borderId="7" xfId="0" applyFont="1" applyFill="1" applyBorder="1" applyAlignment="1">
      <alignment vertical="center" wrapText="1"/>
    </xf>
    <xf numFmtId="9" fontId="31" fillId="6" borderId="7" xfId="33" applyFont="1" applyFill="1" applyBorder="1" applyAlignment="1">
      <alignment horizontal="center" vertical="center"/>
    </xf>
    <xf numFmtId="14" fontId="31" fillId="6" borderId="7" xfId="34" applyNumberFormat="1" applyFont="1" applyFill="1" applyBorder="1" applyAlignment="1">
      <alignment horizontal="center" vertical="center"/>
    </xf>
    <xf numFmtId="14" fontId="31" fillId="6" borderId="7" xfId="0" applyNumberFormat="1" applyFont="1" applyFill="1" applyBorder="1" applyAlignment="1">
      <alignment horizontal="center" vertical="center"/>
    </xf>
    <xf numFmtId="0" fontId="31" fillId="6" borderId="7" xfId="0" applyNumberFormat="1" applyFont="1" applyFill="1" applyBorder="1" applyAlignment="1">
      <alignment horizontal="center" vertical="center"/>
    </xf>
    <xf numFmtId="169" fontId="31" fillId="6" borderId="7" xfId="0" applyNumberFormat="1" applyFont="1" applyFill="1" applyBorder="1" applyAlignment="1">
      <alignment horizontal="center" vertical="center"/>
    </xf>
    <xf numFmtId="170" fontId="31" fillId="6" borderId="1" xfId="0" applyNumberFormat="1" applyFont="1" applyFill="1" applyBorder="1" applyAlignment="1">
      <alignment horizontal="center" vertical="center"/>
    </xf>
    <xf numFmtId="0" fontId="33" fillId="4" borderId="1" xfId="3" applyNumberFormat="1" applyFont="1" applyFill="1" applyBorder="1" applyAlignment="1">
      <alignment horizontal="center" vertical="center" wrapText="1"/>
    </xf>
    <xf numFmtId="0" fontId="35" fillId="0" borderId="2" xfId="0" applyNumberFormat="1" applyFont="1" applyBorder="1" applyAlignment="1">
      <alignment horizontal="center" vertical="center" wrapText="1"/>
    </xf>
    <xf numFmtId="0" fontId="55" fillId="11" borderId="10" xfId="0" applyFont="1" applyFill="1" applyBorder="1" applyAlignment="1">
      <alignment vertical="center" wrapText="1"/>
    </xf>
    <xf numFmtId="167" fontId="33" fillId="4" borderId="10" xfId="1" applyNumberFormat="1" applyFont="1" applyFill="1" applyBorder="1" applyAlignment="1">
      <alignment horizontal="center" vertical="center" wrapText="1"/>
    </xf>
    <xf numFmtId="0" fontId="35" fillId="0" borderId="0" xfId="0" applyFont="1" applyAlignment="1">
      <alignment horizontal="left" wrapText="1"/>
    </xf>
    <xf numFmtId="0" fontId="35" fillId="0" borderId="10" xfId="0" applyFont="1" applyBorder="1" applyAlignment="1">
      <alignment horizontal="left" vertical="center" wrapText="1"/>
    </xf>
    <xf numFmtId="0" fontId="39" fillId="0" borderId="10" xfId="0" applyNumberFormat="1" applyFont="1" applyFill="1" applyBorder="1" applyAlignment="1">
      <alignment horizontal="center" vertical="center"/>
    </xf>
    <xf numFmtId="0" fontId="31" fillId="0" borderId="0" xfId="0" applyFont="1" applyAlignment="1">
      <alignment horizontal="center" wrapText="1"/>
    </xf>
    <xf numFmtId="0" fontId="31" fillId="0" borderId="0" xfId="0" applyFont="1" applyAlignment="1">
      <alignment horizontal="center"/>
    </xf>
    <xf numFmtId="0" fontId="31" fillId="0" borderId="0" xfId="0" applyNumberFormat="1" applyFont="1" applyAlignment="1">
      <alignment horizontal="center"/>
    </xf>
    <xf numFmtId="172" fontId="54" fillId="9" borderId="40" xfId="31" applyNumberFormat="1" applyFont="1" applyFill="1" applyBorder="1" applyAlignment="1">
      <alignment horizontal="center" vertical="center"/>
    </xf>
    <xf numFmtId="172" fontId="28" fillId="0" borderId="29" xfId="31" applyNumberFormat="1" applyBorder="1" applyAlignment="1">
      <alignment horizontal="center" vertical="center" wrapText="1"/>
    </xf>
    <xf numFmtId="172" fontId="28" fillId="0" borderId="29" xfId="31" applyNumberFormat="1" applyBorder="1" applyAlignment="1">
      <alignment horizontal="center" vertical="center"/>
    </xf>
    <xf numFmtId="172" fontId="28" fillId="0" borderId="32" xfId="31" applyNumberFormat="1" applyBorder="1" applyAlignment="1">
      <alignment horizontal="center" vertical="center"/>
    </xf>
    <xf numFmtId="172" fontId="28" fillId="0" borderId="0" xfId="31" applyNumberFormat="1" applyAlignment="1">
      <alignment horizontal="center" vertical="center"/>
    </xf>
    <xf numFmtId="172" fontId="54" fillId="9" borderId="7" xfId="31" applyNumberFormat="1" applyFont="1" applyFill="1" applyBorder="1" applyAlignment="1">
      <alignment horizontal="center" vertical="center"/>
    </xf>
    <xf numFmtId="172" fontId="28" fillId="0" borderId="0" xfId="31" applyNumberFormat="1" applyBorder="1" applyAlignment="1">
      <alignment horizontal="center" vertical="center" wrapText="1"/>
    </xf>
    <xf numFmtId="172" fontId="28" fillId="0" borderId="0" xfId="31" applyNumberFormat="1" applyBorder="1" applyAlignment="1">
      <alignment horizontal="center" vertical="center"/>
    </xf>
    <xf numFmtId="172" fontId="28" fillId="0" borderId="26" xfId="31" applyNumberFormat="1" applyBorder="1" applyAlignment="1">
      <alignment horizontal="center" vertical="center"/>
    </xf>
    <xf numFmtId="0" fontId="35" fillId="0" borderId="4" xfId="0" applyFont="1" applyBorder="1" applyAlignment="1">
      <alignment horizontal="center" vertical="center"/>
    </xf>
    <xf numFmtId="0" fontId="39" fillId="0" borderId="20" xfId="0" applyNumberFormat="1" applyFont="1" applyFill="1" applyBorder="1" applyAlignment="1">
      <alignment horizontal="center" vertical="center"/>
    </xf>
    <xf numFmtId="4" fontId="35" fillId="0" borderId="20" xfId="0" applyNumberFormat="1" applyFont="1" applyBorder="1" applyAlignment="1">
      <alignment horizontal="center" vertical="center" wrapText="1"/>
    </xf>
    <xf numFmtId="0" fontId="35" fillId="0" borderId="20" xfId="0" applyFont="1" applyFill="1" applyBorder="1" applyAlignment="1">
      <alignment horizontal="center" vertical="center"/>
    </xf>
    <xf numFmtId="0" fontId="35" fillId="0" borderId="20" xfId="0" applyFont="1" applyBorder="1" applyAlignment="1">
      <alignment horizontal="center" vertical="center" wrapText="1"/>
    </xf>
    <xf numFmtId="0" fontId="35" fillId="0" borderId="1" xfId="0" applyFont="1" applyBorder="1" applyAlignment="1">
      <alignment horizontal="center" vertical="center" wrapText="1"/>
    </xf>
    <xf numFmtId="4" fontId="35" fillId="0" borderId="20" xfId="0" applyNumberFormat="1" applyFont="1" applyBorder="1" applyAlignment="1">
      <alignment horizontal="center" vertical="center"/>
    </xf>
    <xf numFmtId="4" fontId="35" fillId="0" borderId="21" xfId="0" applyNumberFormat="1" applyFont="1" applyBorder="1" applyAlignment="1">
      <alignment horizontal="center" vertical="center" wrapText="1"/>
    </xf>
    <xf numFmtId="0" fontId="35" fillId="0" borderId="21" xfId="0" applyFont="1" applyFill="1" applyBorder="1" applyAlignment="1">
      <alignment horizontal="center" vertical="center"/>
    </xf>
    <xf numFmtId="9" fontId="35" fillId="0" borderId="4" xfId="33" applyNumberFormat="1" applyFont="1" applyBorder="1" applyAlignment="1">
      <alignment horizontal="center" vertical="center" wrapText="1"/>
    </xf>
    <xf numFmtId="9" fontId="33" fillId="4" borderId="10" xfId="3" applyNumberFormat="1" applyFont="1" applyFill="1" applyBorder="1" applyAlignment="1">
      <alignment horizontal="center" vertical="center" wrapText="1"/>
    </xf>
    <xf numFmtId="9" fontId="35" fillId="0" borderId="2" xfId="33" applyNumberFormat="1" applyFont="1" applyBorder="1" applyAlignment="1">
      <alignment horizontal="center" vertical="center" wrapText="1"/>
    </xf>
    <xf numFmtId="9" fontId="35" fillId="0" borderId="7" xfId="33" applyNumberFormat="1" applyFont="1" applyBorder="1" applyAlignment="1">
      <alignment horizontal="center" vertical="center" wrapText="1"/>
    </xf>
    <xf numFmtId="9" fontId="35" fillId="0" borderId="21" xfId="33" applyNumberFormat="1" applyFont="1" applyBorder="1" applyAlignment="1">
      <alignment horizontal="center" vertical="center" wrapText="1"/>
    </xf>
    <xf numFmtId="9" fontId="35" fillId="0" borderId="23" xfId="33" applyNumberFormat="1" applyFont="1" applyBorder="1" applyAlignment="1">
      <alignment horizontal="center" vertical="center" wrapText="1"/>
    </xf>
    <xf numFmtId="9" fontId="35" fillId="0" borderId="20" xfId="33" applyNumberFormat="1" applyFont="1" applyBorder="1" applyAlignment="1">
      <alignment horizontal="center" vertical="center" wrapText="1"/>
    </xf>
    <xf numFmtId="9" fontId="35" fillId="0" borderId="10" xfId="33" applyNumberFormat="1" applyFont="1" applyBorder="1" applyAlignment="1">
      <alignment horizontal="center" vertical="center" wrapText="1"/>
    </xf>
    <xf numFmtId="9" fontId="35" fillId="0" borderId="4" xfId="0" applyNumberFormat="1" applyFont="1" applyBorder="1" applyAlignment="1">
      <alignment horizontal="center" vertical="center" wrapText="1"/>
    </xf>
    <xf numFmtId="9" fontId="35" fillId="0" borderId="7" xfId="0" applyNumberFormat="1" applyFont="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7" xfId="0" applyNumberFormat="1" applyFont="1" applyFill="1" applyBorder="1" applyAlignment="1">
      <alignment horizontal="center" vertical="center" wrapText="1"/>
    </xf>
    <xf numFmtId="9" fontId="35" fillId="0" borderId="20" xfId="0" applyNumberFormat="1" applyFont="1" applyBorder="1" applyAlignment="1">
      <alignment horizontal="center" vertical="center" wrapText="1"/>
    </xf>
    <xf numFmtId="2" fontId="35" fillId="0" borderId="20" xfId="0" applyNumberFormat="1" applyFont="1" applyBorder="1" applyAlignment="1">
      <alignment horizontal="center" vertical="center"/>
    </xf>
    <xf numFmtId="9" fontId="35" fillId="0" borderId="2" xfId="0" applyNumberFormat="1" applyFont="1" applyBorder="1" applyAlignment="1">
      <alignment horizontal="center" vertical="center"/>
    </xf>
    <xf numFmtId="9" fontId="35" fillId="0" borderId="4" xfId="0" applyNumberFormat="1" applyFont="1" applyBorder="1" applyAlignment="1">
      <alignment horizontal="center" vertical="center"/>
    </xf>
    <xf numFmtId="9" fontId="35" fillId="0" borderId="7" xfId="0" applyNumberFormat="1" applyFont="1" applyBorder="1" applyAlignment="1">
      <alignment horizontal="center" vertical="center"/>
    </xf>
    <xf numFmtId="9" fontId="35" fillId="0" borderId="0" xfId="0" applyNumberFormat="1" applyFont="1" applyAlignment="1">
      <alignment horizontal="center" vertical="center"/>
    </xf>
    <xf numFmtId="9" fontId="35" fillId="0" borderId="20" xfId="0" applyNumberFormat="1" applyFont="1" applyBorder="1" applyAlignment="1">
      <alignment horizontal="center" vertical="center"/>
    </xf>
    <xf numFmtId="4" fontId="35" fillId="0" borderId="1" xfId="0" applyNumberFormat="1" applyFont="1" applyBorder="1" applyAlignment="1">
      <alignment horizontal="center" vertical="center" wrapText="1"/>
    </xf>
    <xf numFmtId="0" fontId="35" fillId="0" borderId="1" xfId="0" applyFont="1" applyFill="1" applyBorder="1" applyAlignment="1">
      <alignment horizontal="center" vertical="center"/>
    </xf>
    <xf numFmtId="0" fontId="30" fillId="0" borderId="0" xfId="32"/>
    <xf numFmtId="0" fontId="30" fillId="0" borderId="0" xfId="32" applyAlignment="1">
      <alignment horizontal="center" vertical="center" wrapText="1"/>
    </xf>
    <xf numFmtId="0" fontId="56" fillId="12" borderId="68" xfId="32" applyFont="1" applyFill="1" applyBorder="1" applyAlignment="1">
      <alignment horizontal="center" vertical="center" wrapText="1"/>
    </xf>
    <xf numFmtId="0" fontId="56" fillId="12" borderId="69" xfId="32" applyFont="1" applyFill="1" applyBorder="1" applyAlignment="1">
      <alignment horizontal="center" vertical="center" wrapText="1"/>
    </xf>
    <xf numFmtId="14" fontId="30" fillId="13" borderId="68" xfId="32" applyNumberFormat="1" applyFill="1" applyBorder="1" applyAlignment="1">
      <alignment horizontal="center" vertical="center" wrapText="1"/>
    </xf>
    <xf numFmtId="181" fontId="30" fillId="12" borderId="69" xfId="32" applyNumberFormat="1" applyFill="1" applyBorder="1" applyAlignment="1">
      <alignment horizontal="center" vertical="center" wrapText="1"/>
    </xf>
    <xf numFmtId="181" fontId="30" fillId="0" borderId="0" xfId="32" applyNumberFormat="1"/>
    <xf numFmtId="181" fontId="30" fillId="14" borderId="69" xfId="32" applyNumberFormat="1" applyFill="1" applyBorder="1" applyAlignment="1">
      <alignment horizontal="center" vertical="center" wrapText="1"/>
    </xf>
    <xf numFmtId="14" fontId="30" fillId="13" borderId="70" xfId="32" applyNumberFormat="1" applyFill="1" applyBorder="1" applyAlignment="1">
      <alignment horizontal="center" vertical="center" wrapText="1"/>
    </xf>
    <xf numFmtId="181" fontId="30" fillId="14" borderId="71" xfId="32" applyNumberFormat="1" applyFill="1" applyBorder="1" applyAlignment="1">
      <alignment horizontal="center" vertical="center" wrapText="1"/>
    </xf>
    <xf numFmtId="186" fontId="30" fillId="14" borderId="68" xfId="32" applyNumberFormat="1" applyFill="1" applyBorder="1" applyAlignment="1">
      <alignment horizontal="center" vertical="center" wrapText="1"/>
    </xf>
    <xf numFmtId="181" fontId="30" fillId="14" borderId="68" xfId="32" applyNumberFormat="1" applyFill="1" applyBorder="1" applyAlignment="1">
      <alignment horizontal="center" vertical="center" wrapText="1"/>
    </xf>
    <xf numFmtId="186" fontId="30" fillId="12" borderId="68" xfId="32" applyNumberFormat="1" applyFill="1" applyBorder="1" applyAlignment="1">
      <alignment horizontal="center" vertical="center" wrapText="1"/>
    </xf>
    <xf numFmtId="181" fontId="30" fillId="12" borderId="68" xfId="32" applyNumberFormat="1" applyFill="1" applyBorder="1" applyAlignment="1">
      <alignment horizontal="center" vertical="center" wrapText="1"/>
    </xf>
    <xf numFmtId="186" fontId="30" fillId="14" borderId="70" xfId="32" applyNumberFormat="1" applyFill="1" applyBorder="1" applyAlignment="1">
      <alignment horizontal="center" vertical="center" wrapText="1"/>
    </xf>
    <xf numFmtId="181" fontId="30" fillId="14" borderId="70" xfId="32" applyNumberFormat="1" applyFill="1" applyBorder="1" applyAlignment="1">
      <alignment horizontal="center" vertical="center" wrapText="1"/>
    </xf>
    <xf numFmtId="3" fontId="31" fillId="0" borderId="20" xfId="33" applyNumberFormat="1" applyFont="1" applyFill="1" applyBorder="1" applyAlignment="1">
      <alignment horizontal="center" vertical="center"/>
    </xf>
    <xf numFmtId="164" fontId="31" fillId="0" borderId="21" xfId="0" applyNumberFormat="1" applyFont="1" applyFill="1" applyBorder="1" applyAlignment="1">
      <alignment vertical="center"/>
    </xf>
    <xf numFmtId="164" fontId="31" fillId="0" borderId="2" xfId="0" applyNumberFormat="1" applyFont="1" applyFill="1" applyBorder="1" applyAlignment="1">
      <alignment vertical="center"/>
    </xf>
    <xf numFmtId="164" fontId="31" fillId="0" borderId="7" xfId="0" applyNumberFormat="1" applyFont="1" applyFill="1" applyBorder="1" applyAlignment="1">
      <alignment vertical="center"/>
    </xf>
    <xf numFmtId="185" fontId="31" fillId="0" borderId="4" xfId="0" applyNumberFormat="1" applyFont="1" applyFill="1" applyBorder="1" applyAlignment="1">
      <alignment vertical="center"/>
    </xf>
    <xf numFmtId="185" fontId="31" fillId="0" borderId="2" xfId="0" applyNumberFormat="1" applyFont="1" applyFill="1" applyBorder="1" applyAlignment="1">
      <alignment vertical="center" wrapText="1"/>
    </xf>
    <xf numFmtId="185" fontId="31" fillId="0" borderId="2" xfId="0" applyNumberFormat="1" applyFont="1" applyFill="1" applyBorder="1" applyAlignment="1">
      <alignment vertical="center"/>
    </xf>
    <xf numFmtId="185" fontId="31" fillId="0" borderId="7" xfId="0" applyNumberFormat="1" applyFont="1" applyFill="1" applyBorder="1" applyAlignment="1">
      <alignment vertical="center"/>
    </xf>
    <xf numFmtId="185" fontId="31" fillId="0" borderId="1" xfId="0" applyNumberFormat="1" applyFont="1" applyFill="1" applyBorder="1" applyAlignment="1">
      <alignment vertical="center"/>
    </xf>
    <xf numFmtId="185" fontId="31" fillId="0" borderId="2" xfId="0" applyNumberFormat="1" applyFont="1" applyFill="1" applyBorder="1" applyAlignment="1">
      <alignment horizontal="center" vertical="center"/>
    </xf>
    <xf numFmtId="0" fontId="57" fillId="0" borderId="5" xfId="0" applyFont="1" applyFill="1" applyBorder="1" applyAlignment="1">
      <alignment horizontal="left" vertical="center" wrapText="1"/>
    </xf>
    <xf numFmtId="0" fontId="39" fillId="8" borderId="7" xfId="0" applyNumberFormat="1" applyFont="1" applyFill="1" applyBorder="1" applyAlignment="1">
      <alignment horizontal="center" vertical="center"/>
    </xf>
    <xf numFmtId="4" fontId="35" fillId="8" borderId="7" xfId="0" applyNumberFormat="1" applyFont="1" applyFill="1" applyBorder="1" applyAlignment="1">
      <alignment horizontal="center" vertical="center" wrapText="1"/>
    </xf>
    <xf numFmtId="0" fontId="35" fillId="8" borderId="7" xfId="0" applyFont="1" applyFill="1" applyBorder="1" applyAlignment="1">
      <alignment horizontal="center" vertical="center"/>
    </xf>
    <xf numFmtId="0" fontId="31" fillId="0" borderId="18" xfId="0" applyFont="1" applyFill="1" applyBorder="1" applyAlignment="1">
      <alignment vertical="center"/>
    </xf>
    <xf numFmtId="0" fontId="0" fillId="0" borderId="1" xfId="0" applyFill="1" applyBorder="1" applyAlignment="1">
      <alignment vertical="center" wrapText="1"/>
    </xf>
    <xf numFmtId="0" fontId="35" fillId="8" borderId="4"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21"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42" fillId="8" borderId="2" xfId="0" applyFont="1" applyFill="1" applyBorder="1" applyAlignment="1">
      <alignment horizontal="center" vertical="center"/>
    </xf>
    <xf numFmtId="177" fontId="31" fillId="0" borderId="4"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177" fontId="31" fillId="0" borderId="10" xfId="0" applyNumberFormat="1" applyFont="1" applyFill="1" applyBorder="1" applyAlignment="1">
      <alignment horizontal="center" vertical="center" wrapText="1"/>
    </xf>
    <xf numFmtId="177" fontId="31" fillId="0" borderId="7" xfId="0" applyNumberFormat="1" applyFont="1" applyFill="1" applyBorder="1" applyAlignment="1">
      <alignment horizontal="center" vertical="center" wrapText="1"/>
    </xf>
    <xf numFmtId="177" fontId="31" fillId="0" borderId="2" xfId="0" applyNumberFormat="1" applyFont="1" applyFill="1" applyBorder="1" applyAlignment="1">
      <alignment horizontal="center" vertical="center" wrapText="1"/>
    </xf>
    <xf numFmtId="177" fontId="31" fillId="0" borderId="1" xfId="0" applyNumberFormat="1" applyFont="1" applyFill="1" applyBorder="1" applyAlignment="1">
      <alignment vertical="center"/>
    </xf>
    <xf numFmtId="177" fontId="31" fillId="0" borderId="2" xfId="0" applyNumberFormat="1" applyFont="1" applyFill="1" applyBorder="1" applyAlignment="1">
      <alignment vertical="center"/>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21" xfId="0" applyFont="1" applyBorder="1" applyAlignment="1">
      <alignment horizontal="center" vertical="center" wrapText="1"/>
    </xf>
    <xf numFmtId="1" fontId="2" fillId="15" borderId="2" xfId="0" applyNumberFormat="1" applyFont="1" applyFill="1" applyBorder="1" applyAlignment="1">
      <alignment horizontal="center" vertical="center" wrapText="1"/>
    </xf>
    <xf numFmtId="0" fontId="5" fillId="0" borderId="2" xfId="26" applyFont="1" applyBorder="1" applyAlignment="1">
      <alignment horizontal="justify" vertical="center" wrapText="1"/>
    </xf>
    <xf numFmtId="0" fontId="5" fillId="0" borderId="2" xfId="0" applyFont="1" applyBorder="1" applyAlignment="1">
      <alignment horizontal="center" vertical="center"/>
    </xf>
    <xf numFmtId="9" fontId="1" fillId="0" borderId="2" xfId="33" applyFont="1" applyBorder="1" applyAlignment="1">
      <alignment horizontal="center" vertical="center"/>
    </xf>
    <xf numFmtId="185" fontId="31" fillId="0" borderId="10" xfId="0" applyNumberFormat="1" applyFont="1" applyFill="1" applyBorder="1" applyAlignment="1">
      <alignment vertical="center"/>
    </xf>
    <xf numFmtId="9" fontId="1" fillId="0" borderId="4" xfId="33" applyFont="1" applyBorder="1" applyAlignment="1">
      <alignment horizontal="center" vertical="center"/>
    </xf>
    <xf numFmtId="2" fontId="35" fillId="8" borderId="4" xfId="0" applyNumberFormat="1" applyFont="1" applyFill="1" applyBorder="1" applyAlignment="1">
      <alignment horizontal="center" vertical="center"/>
    </xf>
    <xf numFmtId="2" fontId="35" fillId="8" borderId="2" xfId="0" applyNumberFormat="1" applyFont="1" applyFill="1" applyBorder="1" applyAlignment="1">
      <alignment horizontal="center" vertical="center"/>
    </xf>
    <xf numFmtId="2" fontId="35" fillId="8" borderId="7" xfId="0" applyNumberFormat="1" applyFont="1" applyFill="1" applyBorder="1" applyAlignment="1">
      <alignment horizontal="center" vertical="center"/>
    </xf>
    <xf numFmtId="189" fontId="31" fillId="0" borderId="2" xfId="0" applyNumberFormat="1" applyFont="1" applyFill="1" applyBorder="1" applyAlignment="1">
      <alignment horizontal="center" vertical="center"/>
    </xf>
    <xf numFmtId="169" fontId="31" fillId="0" borderId="2" xfId="33" applyNumberFormat="1" applyFont="1" applyFill="1" applyBorder="1" applyAlignment="1">
      <alignment horizontal="center" vertical="center"/>
    </xf>
    <xf numFmtId="0" fontId="38" fillId="0" borderId="1" xfId="0" applyFont="1" applyFill="1" applyBorder="1" applyAlignment="1">
      <alignment horizontal="center" vertical="center"/>
    </xf>
    <xf numFmtId="0" fontId="58" fillId="0" borderId="1"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1" xfId="0" applyFont="1" applyFill="1" applyBorder="1" applyAlignment="1">
      <alignment vertical="center" wrapText="1"/>
    </xf>
    <xf numFmtId="1" fontId="38" fillId="0" borderId="1" xfId="0" applyNumberFormat="1" applyFont="1" applyFill="1" applyBorder="1" applyAlignment="1">
      <alignment horizontal="center" vertical="center" wrapText="1"/>
    </xf>
    <xf numFmtId="9" fontId="38" fillId="0" borderId="1" xfId="34" applyFont="1" applyFill="1" applyBorder="1" applyAlignment="1">
      <alignment horizontal="center" vertical="center"/>
    </xf>
    <xf numFmtId="167" fontId="38"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169" fontId="38" fillId="0" borderId="20" xfId="0" applyNumberFormat="1" applyFont="1" applyFill="1" applyBorder="1" applyAlignment="1">
      <alignment horizontal="center" vertical="center" wrapText="1"/>
    </xf>
    <xf numFmtId="188" fontId="38" fillId="0" borderId="1" xfId="6" applyNumberFormat="1" applyFont="1" applyFill="1" applyBorder="1" applyAlignment="1">
      <alignment vertical="center"/>
    </xf>
    <xf numFmtId="169" fontId="38" fillId="0" borderId="1" xfId="0" applyNumberFormat="1" applyFont="1" applyFill="1" applyBorder="1" applyAlignment="1">
      <alignment horizontal="center" vertical="center"/>
    </xf>
    <xf numFmtId="3" fontId="38" fillId="0" borderId="1" xfId="33" applyNumberFormat="1" applyFont="1" applyFill="1" applyBorder="1" applyAlignment="1">
      <alignment horizontal="center" vertical="center"/>
    </xf>
    <xf numFmtId="169" fontId="38" fillId="0" borderId="1" xfId="0" applyNumberFormat="1"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0" fontId="38" fillId="0" borderId="9" xfId="0" applyFont="1" applyFill="1" applyBorder="1" applyAlignment="1">
      <alignment horizontal="left" vertical="center" wrapText="1"/>
    </xf>
    <xf numFmtId="0" fontId="38" fillId="0" borderId="2" xfId="0" applyFont="1" applyFill="1" applyBorder="1" applyAlignment="1">
      <alignment horizontal="center" vertical="center"/>
    </xf>
    <xf numFmtId="0" fontId="58" fillId="0" borderId="2" xfId="0" applyFont="1" applyFill="1" applyBorder="1" applyAlignment="1">
      <alignment horizontal="center" vertical="center"/>
    </xf>
    <xf numFmtId="1" fontId="38" fillId="0" borderId="2" xfId="0" applyNumberFormat="1" applyFont="1" applyFill="1" applyBorder="1" applyAlignment="1">
      <alignment horizontal="center" vertical="center" wrapText="1"/>
    </xf>
    <xf numFmtId="9" fontId="38" fillId="0" borderId="2" xfId="34" applyFont="1" applyFill="1" applyBorder="1" applyAlignment="1">
      <alignment horizontal="center" vertical="center"/>
    </xf>
    <xf numFmtId="0" fontId="38" fillId="0" borderId="2" xfId="0" applyNumberFormat="1" applyFont="1" applyFill="1" applyBorder="1" applyAlignment="1">
      <alignment horizontal="center" vertical="center" wrapText="1"/>
    </xf>
    <xf numFmtId="169" fontId="38" fillId="0" borderId="2" xfId="0" applyNumberFormat="1" applyFont="1" applyFill="1" applyBorder="1" applyAlignment="1">
      <alignment horizontal="center" vertical="center" wrapText="1"/>
    </xf>
    <xf numFmtId="188" fontId="38" fillId="0" borderId="2" xfId="6" applyNumberFormat="1" applyFont="1" applyFill="1" applyBorder="1" applyAlignment="1">
      <alignment vertical="center"/>
    </xf>
    <xf numFmtId="4" fontId="38" fillId="0" borderId="2" xfId="0" applyNumberFormat="1" applyFont="1" applyFill="1" applyBorder="1" applyAlignment="1">
      <alignment horizontal="center" vertical="center" wrapText="1"/>
    </xf>
    <xf numFmtId="3" fontId="38" fillId="0" borderId="2" xfId="33" applyNumberFormat="1" applyFont="1" applyFill="1" applyBorder="1" applyAlignment="1">
      <alignment horizontal="center" vertical="center"/>
    </xf>
    <xf numFmtId="0" fontId="38" fillId="0" borderId="6" xfId="0" applyFont="1" applyFill="1" applyBorder="1" applyAlignment="1">
      <alignment horizontal="left" vertical="center" wrapText="1"/>
    </xf>
    <xf numFmtId="0" fontId="38" fillId="0" borderId="4" xfId="0" applyFont="1" applyFill="1" applyBorder="1" applyAlignment="1">
      <alignment horizontal="center" vertical="center"/>
    </xf>
    <xf numFmtId="0" fontId="58" fillId="0" borderId="4" xfId="0" applyFont="1" applyFill="1" applyBorder="1" applyAlignment="1">
      <alignment horizontal="center" vertical="center"/>
    </xf>
    <xf numFmtId="1" fontId="38" fillId="0" borderId="4" xfId="0" applyNumberFormat="1" applyFont="1" applyFill="1" applyBorder="1" applyAlignment="1">
      <alignment horizontal="center" vertical="center" wrapText="1"/>
    </xf>
    <xf numFmtId="9" fontId="38" fillId="0" borderId="4" xfId="34" applyFont="1" applyFill="1" applyBorder="1" applyAlignment="1">
      <alignment horizontal="center" vertical="center"/>
    </xf>
    <xf numFmtId="0" fontId="38" fillId="0" borderId="4" xfId="0" applyNumberFormat="1" applyFont="1" applyFill="1" applyBorder="1" applyAlignment="1">
      <alignment horizontal="center" vertical="center" wrapText="1"/>
    </xf>
    <xf numFmtId="169" fontId="38" fillId="0" borderId="21" xfId="0" applyNumberFormat="1" applyFont="1" applyFill="1" applyBorder="1" applyAlignment="1">
      <alignment horizontal="center" vertical="center" wrapText="1"/>
    </xf>
    <xf numFmtId="188" fontId="38" fillId="0" borderId="4" xfId="6" applyNumberFormat="1" applyFont="1" applyFill="1" applyBorder="1" applyAlignment="1">
      <alignment vertical="center"/>
    </xf>
    <xf numFmtId="3" fontId="38" fillId="0" borderId="4" xfId="33" applyNumberFormat="1" applyFont="1" applyFill="1" applyBorder="1" applyAlignment="1">
      <alignment horizontal="center" vertical="center"/>
    </xf>
    <xf numFmtId="169" fontId="38" fillId="0" borderId="4" xfId="0" applyNumberFormat="1" applyFont="1" applyFill="1" applyBorder="1" applyAlignment="1">
      <alignment horizontal="center" vertical="center" wrapText="1"/>
    </xf>
    <xf numFmtId="4" fontId="38" fillId="0" borderId="4" xfId="0" applyNumberFormat="1" applyFont="1" applyFill="1" applyBorder="1" applyAlignment="1">
      <alignment horizontal="center" vertical="center" wrapText="1"/>
    </xf>
    <xf numFmtId="0" fontId="38" fillId="0" borderId="5" xfId="0" applyFont="1" applyFill="1" applyBorder="1" applyAlignment="1">
      <alignment horizontal="left" vertical="center" wrapText="1"/>
    </xf>
    <xf numFmtId="9" fontId="38" fillId="0" borderId="2" xfId="34" applyFont="1" applyFill="1" applyBorder="1" applyAlignment="1">
      <alignment horizontal="center" vertical="center" wrapText="1"/>
    </xf>
    <xf numFmtId="188" fontId="38" fillId="0" borderId="2" xfId="6" applyNumberFormat="1" applyFont="1" applyFill="1" applyBorder="1" applyAlignment="1">
      <alignment vertical="center" wrapText="1"/>
    </xf>
    <xf numFmtId="0" fontId="59" fillId="0" borderId="2" xfId="0" applyFont="1" applyFill="1" applyBorder="1" applyAlignment="1">
      <alignment vertical="center" wrapText="1"/>
    </xf>
    <xf numFmtId="0" fontId="38" fillId="16" borderId="6" xfId="0" applyFont="1" applyFill="1" applyBorder="1" applyAlignment="1">
      <alignment horizontal="left" vertical="center" wrapText="1"/>
    </xf>
    <xf numFmtId="188" fontId="38" fillId="0" borderId="0" xfId="6" applyNumberFormat="1" applyFont="1" applyFill="1" applyBorder="1" applyAlignment="1">
      <alignment vertical="center"/>
    </xf>
    <xf numFmtId="0" fontId="38" fillId="16" borderId="2" xfId="0" applyFont="1" applyFill="1" applyBorder="1" applyAlignment="1">
      <alignment horizontal="left" vertical="center" wrapText="1"/>
    </xf>
    <xf numFmtId="188" fontId="38" fillId="16" borderId="2" xfId="6" applyNumberFormat="1" applyFont="1" applyFill="1" applyBorder="1" applyAlignment="1">
      <alignment vertical="center"/>
    </xf>
    <xf numFmtId="9" fontId="59" fillId="0" borderId="2" xfId="33" applyFont="1" applyFill="1" applyBorder="1" applyAlignment="1">
      <alignment horizontal="center" vertical="center"/>
    </xf>
    <xf numFmtId="0" fontId="59" fillId="0" borderId="6" xfId="0" applyFont="1" applyFill="1" applyBorder="1" applyAlignment="1">
      <alignment horizontal="left" vertical="center" wrapText="1"/>
    </xf>
    <xf numFmtId="9" fontId="38" fillId="0" borderId="2" xfId="33" applyFont="1" applyFill="1" applyBorder="1" applyAlignment="1">
      <alignment horizontal="center" vertical="center"/>
    </xf>
    <xf numFmtId="14" fontId="38" fillId="0" borderId="2" xfId="34" applyNumberFormat="1" applyFont="1" applyFill="1" applyBorder="1" applyAlignment="1">
      <alignment horizontal="center" vertical="center"/>
    </xf>
    <xf numFmtId="14" fontId="38" fillId="0" borderId="2" xfId="0" applyNumberFormat="1" applyFont="1" applyFill="1" applyBorder="1" applyAlignment="1">
      <alignment horizontal="center" vertical="center"/>
    </xf>
    <xf numFmtId="188" fontId="38" fillId="0" borderId="2" xfId="6" applyNumberFormat="1" applyFont="1" applyFill="1" applyBorder="1" applyAlignment="1">
      <alignment horizontal="center" vertical="center"/>
    </xf>
    <xf numFmtId="189" fontId="38" fillId="0" borderId="2" xfId="0" applyNumberFormat="1" applyFont="1" applyFill="1" applyBorder="1" applyAlignment="1">
      <alignment horizontal="center" vertical="center"/>
    </xf>
    <xf numFmtId="0" fontId="38" fillId="0" borderId="14" xfId="0" applyFont="1" applyFill="1" applyBorder="1" applyAlignment="1">
      <alignment horizontal="left" vertical="center" wrapText="1"/>
    </xf>
    <xf numFmtId="0" fontId="38" fillId="0" borderId="7" xfId="0" applyFont="1" applyFill="1" applyBorder="1" applyAlignment="1">
      <alignment horizontal="center" vertical="center"/>
    </xf>
    <xf numFmtId="0" fontId="58" fillId="0" borderId="7" xfId="0" applyFont="1" applyFill="1" applyBorder="1" applyAlignment="1">
      <alignment horizontal="center" vertical="center"/>
    </xf>
    <xf numFmtId="1" fontId="38" fillId="0" borderId="7" xfId="0" applyNumberFormat="1" applyFont="1" applyFill="1" applyBorder="1" applyAlignment="1">
      <alignment horizontal="center" vertical="center" wrapText="1"/>
    </xf>
    <xf numFmtId="0" fontId="38" fillId="0" borderId="7" xfId="0" applyNumberFormat="1" applyFont="1" applyFill="1" applyBorder="1" applyAlignment="1">
      <alignment horizontal="center" vertical="center" wrapText="1"/>
    </xf>
    <xf numFmtId="169" fontId="38" fillId="0" borderId="23" xfId="0" applyNumberFormat="1" applyFont="1" applyFill="1" applyBorder="1" applyAlignment="1">
      <alignment horizontal="center" vertical="center" wrapText="1"/>
    </xf>
    <xf numFmtId="188" fontId="38" fillId="0" borderId="7" xfId="6" applyNumberFormat="1" applyFont="1" applyFill="1" applyBorder="1" applyAlignment="1">
      <alignment vertical="center"/>
    </xf>
    <xf numFmtId="3" fontId="38" fillId="0" borderId="7" xfId="33" applyNumberFormat="1" applyFont="1" applyFill="1" applyBorder="1" applyAlignment="1">
      <alignment horizontal="center" vertical="center"/>
    </xf>
    <xf numFmtId="169" fontId="38" fillId="0" borderId="7" xfId="0" applyNumberFormat="1" applyFont="1" applyFill="1" applyBorder="1" applyAlignment="1">
      <alignment horizontal="center" vertical="center" wrapText="1"/>
    </xf>
    <xf numFmtId="4" fontId="38" fillId="0" borderId="7"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18" xfId="0" applyFill="1" applyBorder="1" applyAlignment="1">
      <alignment vertical="center"/>
    </xf>
    <xf numFmtId="0" fontId="0" fillId="0" borderId="7" xfId="0" applyFill="1" applyBorder="1" applyAlignment="1">
      <alignment vertical="center"/>
    </xf>
    <xf numFmtId="190" fontId="31" fillId="0" borderId="2" xfId="0" applyNumberFormat="1" applyFont="1" applyFill="1" applyBorder="1" applyAlignment="1">
      <alignment horizontal="right" vertical="center" wrapText="1"/>
    </xf>
    <xf numFmtId="190" fontId="31" fillId="0" borderId="1" xfId="0" applyNumberFormat="1" applyFont="1" applyFill="1" applyBorder="1" applyAlignment="1">
      <alignment horizontal="right" vertical="center"/>
    </xf>
    <xf numFmtId="190" fontId="31" fillId="0" borderId="2" xfId="0" applyNumberFormat="1" applyFont="1" applyFill="1" applyBorder="1" applyAlignment="1">
      <alignment horizontal="right" vertical="center"/>
    </xf>
    <xf numFmtId="190" fontId="31" fillId="0" borderId="7" xfId="0" applyNumberFormat="1" applyFont="1" applyFill="1" applyBorder="1" applyAlignment="1">
      <alignment horizontal="right" vertical="center"/>
    </xf>
    <xf numFmtId="167" fontId="2" fillId="0" borderId="4" xfId="0" applyNumberFormat="1" applyFont="1" applyFill="1" applyBorder="1" applyAlignment="1">
      <alignment horizontal="center" vertical="center" wrapText="1"/>
    </xf>
    <xf numFmtId="190" fontId="31" fillId="0" borderId="4" xfId="0" applyNumberFormat="1" applyFont="1" applyFill="1" applyBorder="1" applyAlignment="1">
      <alignment horizontal="right" vertical="center"/>
    </xf>
    <xf numFmtId="190" fontId="31" fillId="0" borderId="0" xfId="0" applyNumberFormat="1" applyFont="1" applyFill="1" applyBorder="1" applyAlignment="1">
      <alignment horizontal="right" vertical="center"/>
    </xf>
    <xf numFmtId="167" fontId="31" fillId="0" borderId="2" xfId="0" applyNumberFormat="1" applyFont="1" applyFill="1" applyBorder="1" applyAlignment="1">
      <alignment horizontal="left" vertical="center" wrapText="1"/>
    </xf>
    <xf numFmtId="16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40" fillId="0" borderId="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7" fillId="6" borderId="1" xfId="0" applyFont="1" applyFill="1" applyBorder="1" applyAlignment="1">
      <alignment vertical="center" wrapText="1"/>
    </xf>
    <xf numFmtId="9" fontId="31" fillId="6" borderId="1" xfId="34" applyFont="1" applyFill="1" applyBorder="1" applyAlignment="1">
      <alignment horizontal="center" vertical="center" wrapText="1"/>
    </xf>
    <xf numFmtId="167" fontId="31" fillId="6" borderId="1" xfId="0" applyNumberFormat="1" applyFont="1" applyFill="1" applyBorder="1" applyAlignment="1">
      <alignment horizontal="center" vertical="center" wrapText="1"/>
    </xf>
    <xf numFmtId="0" fontId="31" fillId="6" borderId="1" xfId="0" applyNumberFormat="1" applyFont="1" applyFill="1" applyBorder="1" applyAlignment="1">
      <alignment horizontal="center" vertical="center" wrapText="1"/>
    </xf>
    <xf numFmtId="169" fontId="31" fillId="6" borderId="1" xfId="0" applyNumberFormat="1" applyFont="1" applyFill="1" applyBorder="1" applyAlignment="1">
      <alignment vertical="center" wrapText="1"/>
    </xf>
    <xf numFmtId="169" fontId="31" fillId="6" borderId="1" xfId="0" applyNumberFormat="1" applyFont="1" applyFill="1" applyBorder="1" applyAlignment="1">
      <alignment horizontal="center" vertical="center" wrapText="1"/>
    </xf>
    <xf numFmtId="0" fontId="31" fillId="0" borderId="7" xfId="0" applyFont="1" applyBorder="1" applyAlignment="1">
      <alignment vertical="center"/>
    </xf>
    <xf numFmtId="190" fontId="2" fillId="0" borderId="2" xfId="0" applyNumberFormat="1" applyFont="1" applyFill="1" applyBorder="1" applyAlignment="1">
      <alignment horizontal="right" vertical="center"/>
    </xf>
    <xf numFmtId="190" fontId="31" fillId="0" borderId="7" xfId="0" applyNumberFormat="1" applyFont="1" applyFill="1" applyBorder="1" applyAlignment="1">
      <alignment horizontal="right" vertical="center" wrapText="1"/>
    </xf>
    <xf numFmtId="172" fontId="31" fillId="0" borderId="2" xfId="33" applyNumberFormat="1" applyFont="1" applyFill="1" applyBorder="1" applyAlignment="1">
      <alignment horizontal="center" vertical="center"/>
    </xf>
    <xf numFmtId="0" fontId="2" fillId="0" borderId="7" xfId="0" applyFont="1" applyFill="1" applyBorder="1" applyAlignment="1">
      <alignment horizontal="center" vertical="center"/>
    </xf>
    <xf numFmtId="0" fontId="31" fillId="0" borderId="20" xfId="0" applyFont="1" applyFill="1" applyBorder="1" applyAlignment="1">
      <alignment horizontal="center" vertical="center"/>
    </xf>
    <xf numFmtId="169" fontId="31" fillId="0" borderId="17" xfId="0" applyNumberFormat="1" applyFont="1" applyFill="1" applyBorder="1" applyAlignment="1">
      <alignment horizontal="center" vertical="center"/>
    </xf>
    <xf numFmtId="0" fontId="2" fillId="6" borderId="7" xfId="0" applyFont="1" applyFill="1" applyBorder="1" applyAlignment="1">
      <alignment horizontal="left" vertical="center" wrapText="1"/>
    </xf>
    <xf numFmtId="4" fontId="2" fillId="0" borderId="7"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7" xfId="0" applyFont="1" applyBorder="1" applyAlignment="1">
      <alignment vertical="center"/>
    </xf>
    <xf numFmtId="185" fontId="31" fillId="0" borderId="4" xfId="0" applyNumberFormat="1" applyFont="1" applyFill="1" applyBorder="1" applyAlignment="1">
      <alignment horizontal="right" vertical="center"/>
    </xf>
    <xf numFmtId="185" fontId="31" fillId="0" borderId="2" xfId="0" applyNumberFormat="1" applyFont="1" applyFill="1" applyBorder="1" applyAlignment="1">
      <alignment horizontal="right" vertical="center" wrapText="1"/>
    </xf>
    <xf numFmtId="185" fontId="31" fillId="0" borderId="2" xfId="0" applyNumberFormat="1" applyFont="1" applyFill="1" applyBorder="1" applyAlignment="1">
      <alignment horizontal="right" vertical="center"/>
    </xf>
    <xf numFmtId="185" fontId="31" fillId="0" borderId="7" xfId="0" applyNumberFormat="1" applyFont="1" applyFill="1" applyBorder="1" applyAlignment="1">
      <alignment horizontal="right" vertical="center"/>
    </xf>
    <xf numFmtId="185" fontId="31" fillId="0" borderId="1" xfId="0" applyNumberFormat="1" applyFont="1" applyFill="1" applyBorder="1" applyAlignment="1">
      <alignment horizontal="right" vertical="center"/>
    </xf>
    <xf numFmtId="185" fontId="60" fillId="0" borderId="0" xfId="0" applyNumberFormat="1" applyFont="1" applyAlignment="1">
      <alignment horizontal="right"/>
    </xf>
    <xf numFmtId="14" fontId="31" fillId="0" borderId="20" xfId="34" applyNumberFormat="1" applyFont="1" applyFill="1" applyBorder="1" applyAlignment="1">
      <alignment horizontal="center" vertical="center"/>
    </xf>
    <xf numFmtId="14" fontId="31" fillId="0" borderId="20" xfId="0" applyNumberFormat="1" applyFont="1" applyFill="1" applyBorder="1" applyAlignment="1">
      <alignment horizontal="center" vertical="center"/>
    </xf>
    <xf numFmtId="185" fontId="31" fillId="0" borderId="20" xfId="0" applyNumberFormat="1" applyFont="1" applyFill="1" applyBorder="1" applyAlignment="1">
      <alignment horizontal="right" vertical="center"/>
    </xf>
    <xf numFmtId="169" fontId="31" fillId="0" borderId="20"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167" fontId="31" fillId="0" borderId="20" xfId="0" applyNumberFormat="1" applyFont="1" applyFill="1" applyBorder="1" applyAlignment="1">
      <alignment horizontal="center" vertical="center" wrapText="1"/>
    </xf>
    <xf numFmtId="185" fontId="31" fillId="0" borderId="21" xfId="33" applyNumberFormat="1" applyFont="1" applyFill="1" applyBorder="1" applyAlignment="1">
      <alignment horizontal="right" vertical="center"/>
    </xf>
    <xf numFmtId="185" fontId="31" fillId="0" borderId="2" xfId="33" applyNumberFormat="1" applyFont="1" applyFill="1" applyBorder="1" applyAlignment="1">
      <alignment horizontal="right" vertical="center"/>
    </xf>
    <xf numFmtId="185" fontId="31" fillId="0" borderId="23" xfId="33" applyNumberFormat="1" applyFont="1" applyFill="1" applyBorder="1" applyAlignment="1">
      <alignment horizontal="right" vertical="center"/>
    </xf>
    <xf numFmtId="185" fontId="31" fillId="0" borderId="1" xfId="33" applyNumberFormat="1" applyFont="1" applyFill="1" applyBorder="1" applyAlignment="1">
      <alignment horizontal="right" vertical="center"/>
    </xf>
    <xf numFmtId="185" fontId="31" fillId="0" borderId="4" xfId="33" applyNumberFormat="1" applyFont="1" applyFill="1" applyBorder="1" applyAlignment="1">
      <alignment horizontal="right" vertical="center"/>
    </xf>
    <xf numFmtId="185" fontId="31" fillId="0" borderId="13" xfId="33" applyNumberFormat="1" applyFont="1" applyFill="1" applyBorder="1" applyAlignment="1">
      <alignment horizontal="right" vertical="center"/>
    </xf>
    <xf numFmtId="185" fontId="31" fillId="0" borderId="3" xfId="33" applyNumberFormat="1" applyFont="1" applyFill="1" applyBorder="1" applyAlignment="1">
      <alignment horizontal="right" vertical="center"/>
    </xf>
    <xf numFmtId="185" fontId="31" fillId="0" borderId="7" xfId="33" applyNumberFormat="1" applyFont="1" applyFill="1" applyBorder="1" applyAlignment="1">
      <alignment horizontal="right" vertical="center"/>
    </xf>
    <xf numFmtId="185" fontId="38" fillId="0" borderId="1" xfId="33" applyNumberFormat="1" applyFont="1" applyFill="1" applyBorder="1" applyAlignment="1">
      <alignment horizontal="right" vertical="center"/>
    </xf>
    <xf numFmtId="185" fontId="38" fillId="0" borderId="2" xfId="33" applyNumberFormat="1" applyFont="1" applyFill="1" applyBorder="1" applyAlignment="1">
      <alignment horizontal="right" vertical="center"/>
    </xf>
    <xf numFmtId="185" fontId="38" fillId="0" borderId="4" xfId="33" applyNumberFormat="1" applyFont="1" applyFill="1" applyBorder="1" applyAlignment="1">
      <alignment horizontal="right" vertical="center"/>
    </xf>
    <xf numFmtId="185" fontId="38" fillId="16" borderId="2" xfId="33" applyNumberFormat="1" applyFont="1" applyFill="1" applyBorder="1" applyAlignment="1">
      <alignment horizontal="right" vertical="center"/>
    </xf>
    <xf numFmtId="185" fontId="38" fillId="0" borderId="2" xfId="0" applyNumberFormat="1" applyFont="1" applyFill="1" applyBorder="1" applyAlignment="1">
      <alignment horizontal="right" vertical="center"/>
    </xf>
    <xf numFmtId="185" fontId="38" fillId="0" borderId="7" xfId="33" applyNumberFormat="1" applyFont="1" applyFill="1" applyBorder="1" applyAlignment="1">
      <alignment horizontal="right" vertical="center"/>
    </xf>
    <xf numFmtId="185" fontId="30" fillId="12" borderId="69" xfId="32" applyNumberFormat="1" applyFill="1" applyBorder="1" applyAlignment="1">
      <alignment horizontal="right" vertical="center" wrapText="1"/>
    </xf>
    <xf numFmtId="185" fontId="30" fillId="0" borderId="2" xfId="32" applyNumberFormat="1" applyFill="1" applyBorder="1" applyAlignment="1">
      <alignment horizontal="right" vertical="center" wrapText="1"/>
    </xf>
    <xf numFmtId="185" fontId="30" fillId="12" borderId="2" xfId="32" applyNumberFormat="1" applyFill="1" applyBorder="1" applyAlignment="1">
      <alignment horizontal="right" vertical="center" wrapText="1"/>
    </xf>
    <xf numFmtId="185" fontId="30" fillId="12" borderId="72" xfId="32" applyNumberFormat="1" applyFill="1" applyBorder="1" applyAlignment="1">
      <alignment horizontal="right" vertical="center" wrapText="1"/>
    </xf>
    <xf numFmtId="185" fontId="30" fillId="12" borderId="73" xfId="32" applyNumberFormat="1" applyFill="1" applyBorder="1" applyAlignment="1">
      <alignment horizontal="right" vertical="center" wrapText="1"/>
    </xf>
    <xf numFmtId="185" fontId="30" fillId="14" borderId="72" xfId="32" applyNumberFormat="1" applyFill="1" applyBorder="1" applyAlignment="1">
      <alignment horizontal="right" vertical="center" wrapText="1"/>
    </xf>
    <xf numFmtId="185" fontId="30" fillId="0" borderId="74" xfId="32" applyNumberFormat="1" applyFill="1" applyBorder="1" applyAlignment="1">
      <alignment horizontal="right" vertical="center" wrapText="1"/>
    </xf>
    <xf numFmtId="0" fontId="35" fillId="0" borderId="2" xfId="0" applyFont="1" applyBorder="1" applyAlignment="1">
      <alignment horizontal="center" vertical="center" wrapText="1"/>
    </xf>
    <xf numFmtId="0" fontId="35" fillId="0" borderId="10" xfId="0" applyFont="1" applyBorder="1" applyAlignment="1">
      <alignment horizontal="center" vertical="center" wrapText="1"/>
    </xf>
    <xf numFmtId="0" fontId="35" fillId="8" borderId="0" xfId="0" applyFont="1" applyFill="1" applyAlignment="1">
      <alignment horizontal="center"/>
    </xf>
    <xf numFmtId="0" fontId="33" fillId="4" borderId="10" xfId="3" applyFont="1" applyFill="1" applyBorder="1" applyAlignment="1">
      <alignment horizontal="center" vertical="center"/>
    </xf>
    <xf numFmtId="0" fontId="35" fillId="0" borderId="4" xfId="0" applyFont="1" applyBorder="1" applyAlignment="1">
      <alignment horizontal="left"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35" fillId="0" borderId="20" xfId="0" applyFont="1" applyBorder="1" applyAlignment="1">
      <alignment horizontal="left" vertical="center"/>
    </xf>
    <xf numFmtId="0" fontId="35" fillId="8" borderId="4" xfId="0" applyFont="1" applyFill="1" applyBorder="1" applyAlignment="1">
      <alignment horizontal="left" vertical="center"/>
    </xf>
    <xf numFmtId="0" fontId="35" fillId="8" borderId="7" xfId="0" applyFont="1" applyFill="1" applyBorder="1" applyAlignment="1">
      <alignment horizontal="left" vertical="center"/>
    </xf>
    <xf numFmtId="0" fontId="35" fillId="0" borderId="10" xfId="0" applyFont="1" applyBorder="1" applyAlignment="1">
      <alignment horizontal="left" vertical="center"/>
    </xf>
    <xf numFmtId="0" fontId="35" fillId="0" borderId="7" xfId="0" applyFont="1" applyFill="1" applyBorder="1" applyAlignment="1">
      <alignment horizontal="left" vertical="center"/>
    </xf>
    <xf numFmtId="0" fontId="35" fillId="0" borderId="0" xfId="0" applyFont="1" applyAlignment="1">
      <alignment horizontal="left" vertical="center"/>
    </xf>
    <xf numFmtId="0" fontId="31" fillId="8" borderId="2" xfId="0" applyFont="1" applyFill="1" applyBorder="1" applyAlignment="1">
      <alignment vertical="center" wrapText="1"/>
    </xf>
    <xf numFmtId="0" fontId="42" fillId="8" borderId="7" xfId="0" applyFont="1" applyFill="1" applyBorder="1" applyAlignment="1">
      <alignment horizontal="center" vertical="center"/>
    </xf>
    <xf numFmtId="0" fontId="38" fillId="8" borderId="2" xfId="0" applyFont="1" applyFill="1" applyBorder="1" applyAlignment="1">
      <alignment horizontal="left" vertical="center" wrapText="1"/>
    </xf>
    <xf numFmtId="0" fontId="38" fillId="8" borderId="2" xfId="0" applyFont="1" applyFill="1" applyBorder="1" applyAlignment="1">
      <alignment vertical="center" wrapText="1"/>
    </xf>
    <xf numFmtId="190" fontId="31" fillId="8" borderId="4" xfId="0" applyNumberFormat="1" applyFont="1" applyFill="1" applyBorder="1" applyAlignment="1">
      <alignment vertical="center"/>
    </xf>
    <xf numFmtId="190" fontId="31" fillId="8" borderId="2" xfId="0" applyNumberFormat="1" applyFont="1" applyFill="1" applyBorder="1" applyAlignment="1">
      <alignment vertical="center"/>
    </xf>
    <xf numFmtId="169" fontId="31" fillId="8" borderId="2" xfId="0" applyNumberFormat="1" applyFont="1" applyFill="1" applyBorder="1" applyAlignment="1">
      <alignment horizontal="center" vertical="center"/>
    </xf>
    <xf numFmtId="3" fontId="31" fillId="8" borderId="2" xfId="33" applyNumberFormat="1" applyFont="1" applyFill="1" applyBorder="1" applyAlignment="1">
      <alignment horizontal="center" vertical="center"/>
    </xf>
    <xf numFmtId="4" fontId="31" fillId="8" borderId="2" xfId="33" applyNumberFormat="1" applyFont="1" applyFill="1" applyBorder="1" applyAlignment="1">
      <alignment horizontal="center" vertical="center"/>
    </xf>
    <xf numFmtId="169" fontId="31" fillId="8" borderId="1" xfId="0" applyNumberFormat="1" applyFont="1" applyFill="1" applyBorder="1" applyAlignment="1">
      <alignment horizontal="center" vertical="center" wrapText="1"/>
    </xf>
    <xf numFmtId="190" fontId="31" fillId="8" borderId="7" xfId="0" applyNumberFormat="1" applyFont="1" applyFill="1" applyBorder="1" applyAlignment="1">
      <alignment vertical="center"/>
    </xf>
    <xf numFmtId="167" fontId="2" fillId="8" borderId="4" xfId="0" applyNumberFormat="1" applyFont="1" applyFill="1" applyBorder="1" applyAlignment="1">
      <alignment horizontal="center" vertical="center" wrapText="1"/>
    </xf>
    <xf numFmtId="167" fontId="2" fillId="8" borderId="2" xfId="0" applyNumberFormat="1" applyFont="1" applyFill="1" applyBorder="1" applyAlignment="1">
      <alignment horizontal="center" vertical="center" wrapText="1"/>
    </xf>
    <xf numFmtId="9" fontId="38" fillId="8" borderId="2" xfId="0" applyNumberFormat="1" applyFont="1" applyFill="1" applyBorder="1" applyAlignment="1">
      <alignment horizontal="center" vertical="center"/>
    </xf>
    <xf numFmtId="167" fontId="38" fillId="8" borderId="2" xfId="0" applyNumberFormat="1" applyFont="1" applyFill="1" applyBorder="1" applyAlignment="1">
      <alignment horizontal="center" vertical="center" wrapText="1"/>
    </xf>
    <xf numFmtId="190" fontId="38" fillId="8" borderId="2" xfId="0" applyNumberFormat="1" applyFont="1" applyFill="1" applyBorder="1" applyAlignment="1">
      <alignment vertical="center"/>
    </xf>
    <xf numFmtId="169" fontId="38" fillId="8" borderId="2" xfId="0" applyNumberFormat="1" applyFont="1" applyFill="1" applyBorder="1" applyAlignment="1">
      <alignment horizontal="center" vertical="center"/>
    </xf>
    <xf numFmtId="0" fontId="31" fillId="8" borderId="23" xfId="0" applyNumberFormat="1" applyFont="1" applyFill="1" applyBorder="1" applyAlignment="1">
      <alignment horizontal="center" vertical="center" wrapText="1"/>
    </xf>
    <xf numFmtId="10" fontId="31" fillId="8" borderId="4" xfId="34" applyNumberFormat="1" applyFont="1" applyFill="1" applyBorder="1" applyAlignment="1">
      <alignment horizontal="center" vertical="center"/>
    </xf>
    <xf numFmtId="10" fontId="31" fillId="8" borderId="2" xfId="34" applyNumberFormat="1" applyFont="1" applyFill="1" applyBorder="1" applyAlignment="1">
      <alignment horizontal="center" vertical="center"/>
    </xf>
    <xf numFmtId="9" fontId="31" fillId="8" borderId="2" xfId="34" applyFont="1" applyFill="1" applyBorder="1" applyAlignment="1">
      <alignment horizontal="center" vertical="center" wrapText="1"/>
    </xf>
    <xf numFmtId="190" fontId="31" fillId="8" borderId="2" xfId="0" applyNumberFormat="1" applyFont="1" applyFill="1" applyBorder="1" applyAlignment="1">
      <alignment vertical="center" wrapText="1"/>
    </xf>
    <xf numFmtId="9" fontId="31" fillId="8" borderId="7" xfId="34" applyFont="1" applyFill="1" applyBorder="1" applyAlignment="1">
      <alignment horizontal="center" vertical="center" wrapText="1"/>
    </xf>
    <xf numFmtId="190" fontId="31" fillId="8" borderId="7" xfId="0" applyNumberFormat="1" applyFont="1" applyFill="1" applyBorder="1" applyAlignment="1">
      <alignment vertical="center" wrapText="1"/>
    </xf>
    <xf numFmtId="9" fontId="31" fillId="8" borderId="4" xfId="34" applyFont="1" applyFill="1" applyBorder="1" applyAlignment="1">
      <alignment horizontal="center" vertical="center" wrapText="1"/>
    </xf>
    <xf numFmtId="190" fontId="31" fillId="8" borderId="4" xfId="0" applyNumberFormat="1" applyFont="1" applyFill="1" applyBorder="1" applyAlignment="1">
      <alignment vertical="center" wrapText="1"/>
    </xf>
    <xf numFmtId="3" fontId="31" fillId="8" borderId="4" xfId="0" applyNumberFormat="1" applyFont="1" applyFill="1" applyBorder="1" applyAlignment="1">
      <alignment horizontal="center" vertical="center" wrapText="1"/>
    </xf>
    <xf numFmtId="3" fontId="31" fillId="8" borderId="2" xfId="0" applyNumberFormat="1" applyFont="1" applyFill="1" applyBorder="1" applyAlignment="1">
      <alignment horizontal="center" vertical="center" wrapText="1"/>
    </xf>
    <xf numFmtId="0" fontId="31" fillId="8" borderId="8" xfId="0" applyFont="1" applyFill="1" applyBorder="1" applyAlignment="1">
      <alignment horizontal="left" vertical="center" wrapText="1"/>
    </xf>
    <xf numFmtId="0" fontId="2" fillId="8" borderId="5" xfId="0" applyFont="1" applyFill="1" applyBorder="1" applyAlignment="1">
      <alignment horizontal="left" vertical="center" wrapText="1"/>
    </xf>
    <xf numFmtId="16" fontId="42" fillId="8" borderId="4" xfId="0" applyNumberFormat="1" applyFont="1" applyFill="1" applyBorder="1" applyAlignment="1">
      <alignment horizontal="center" vertical="center"/>
    </xf>
    <xf numFmtId="16" fontId="42" fillId="8" borderId="2" xfId="0" applyNumberFormat="1" applyFont="1" applyFill="1" applyBorder="1" applyAlignment="1">
      <alignment horizontal="center" vertical="center"/>
    </xf>
    <xf numFmtId="191" fontId="31" fillId="8" borderId="4" xfId="0" applyNumberFormat="1" applyFont="1" applyFill="1" applyBorder="1" applyAlignment="1">
      <alignment vertical="center"/>
    </xf>
    <xf numFmtId="191" fontId="31" fillId="8" borderId="2" xfId="0" applyNumberFormat="1" applyFont="1" applyFill="1" applyBorder="1" applyAlignment="1">
      <alignment vertical="center"/>
    </xf>
    <xf numFmtId="191" fontId="38" fillId="8" borderId="2" xfId="0" applyNumberFormat="1" applyFont="1" applyFill="1" applyBorder="1" applyAlignment="1">
      <alignment vertical="center"/>
    </xf>
    <xf numFmtId="191" fontId="31" fillId="8" borderId="4" xfId="0" applyNumberFormat="1" applyFont="1" applyFill="1" applyBorder="1" applyAlignment="1">
      <alignment vertical="center" wrapText="1"/>
    </xf>
    <xf numFmtId="191" fontId="31" fillId="8" borderId="2" xfId="0" applyNumberFormat="1" applyFont="1" applyFill="1" applyBorder="1" applyAlignment="1">
      <alignment vertical="center" wrapText="1"/>
    </xf>
    <xf numFmtId="172" fontId="31" fillId="0" borderId="1" xfId="34" applyNumberFormat="1" applyFont="1" applyFill="1" applyBorder="1" applyAlignment="1">
      <alignment horizontal="center" vertical="center"/>
    </xf>
    <xf numFmtId="190" fontId="31" fillId="0" borderId="20" xfId="0" applyNumberFormat="1" applyFont="1" applyFill="1" applyBorder="1" applyAlignment="1">
      <alignment horizontal="right" vertical="center"/>
    </xf>
    <xf numFmtId="0" fontId="2" fillId="0" borderId="20" xfId="0" applyFont="1" applyFill="1" applyBorder="1" applyAlignment="1">
      <alignment horizontal="center" vertical="center"/>
    </xf>
    <xf numFmtId="185" fontId="31" fillId="0" borderId="20" xfId="33" applyNumberFormat="1" applyFont="1" applyFill="1" applyBorder="1" applyAlignment="1">
      <alignment horizontal="right" vertical="center"/>
    </xf>
    <xf numFmtId="0" fontId="28" fillId="0" borderId="2" xfId="0" applyFont="1" applyFill="1" applyBorder="1" applyAlignment="1">
      <alignment vertical="center" wrapText="1"/>
    </xf>
    <xf numFmtId="0" fontId="35" fillId="8" borderId="10" xfId="0" applyFont="1" applyFill="1" applyBorder="1" applyAlignment="1">
      <alignment horizontal="left" vertical="center" wrapText="1"/>
    </xf>
    <xf numFmtId="0" fontId="61" fillId="8" borderId="6" xfId="0" applyFont="1" applyFill="1" applyBorder="1" applyAlignment="1">
      <alignment horizontal="left" vertical="center" wrapText="1"/>
    </xf>
    <xf numFmtId="185" fontId="2" fillId="0" borderId="1" xfId="0" applyNumberFormat="1" applyFont="1" applyFill="1" applyBorder="1" applyAlignment="1">
      <alignment vertical="center"/>
    </xf>
    <xf numFmtId="0" fontId="38" fillId="16" borderId="8" xfId="0" applyFont="1" applyFill="1" applyBorder="1" applyAlignment="1">
      <alignment horizontal="left" vertical="center" wrapText="1"/>
    </xf>
    <xf numFmtId="0" fontId="35" fillId="0" borderId="0" xfId="0" applyFont="1" applyFill="1" applyAlignment="1">
      <alignment horizontal="center"/>
    </xf>
    <xf numFmtId="167" fontId="31" fillId="17" borderId="2" xfId="0" applyNumberFormat="1" applyFont="1" applyFill="1" applyBorder="1" applyAlignment="1">
      <alignment horizontal="center" vertical="center" wrapText="1"/>
    </xf>
    <xf numFmtId="9" fontId="31" fillId="8" borderId="1" xfId="34" applyFont="1" applyFill="1" applyBorder="1" applyAlignment="1">
      <alignment horizontal="center" vertical="center"/>
    </xf>
    <xf numFmtId="190" fontId="31" fillId="17" borderId="2" xfId="0" applyNumberFormat="1" applyFont="1" applyFill="1" applyBorder="1" applyAlignment="1">
      <alignment vertical="center"/>
    </xf>
    <xf numFmtId="0" fontId="42" fillId="0" borderId="5" xfId="0" applyFont="1" applyFill="1" applyBorder="1" applyAlignment="1">
      <alignment horizontal="left" vertical="center" wrapText="1"/>
    </xf>
    <xf numFmtId="0" fontId="47" fillId="8" borderId="20" xfId="0" applyNumberFormat="1" applyFont="1" applyFill="1" applyBorder="1" applyAlignment="1">
      <alignment vertical="center" wrapText="1"/>
    </xf>
    <xf numFmtId="0" fontId="47" fillId="8" borderId="2" xfId="0" applyNumberFormat="1" applyFont="1" applyFill="1" applyBorder="1" applyAlignment="1">
      <alignment vertical="center" wrapText="1"/>
    </xf>
    <xf numFmtId="0" fontId="28" fillId="0" borderId="0" xfId="31" applyFont="1" applyBorder="1" applyAlignment="1">
      <alignment vertical="center"/>
    </xf>
    <xf numFmtId="167" fontId="31" fillId="0" borderId="0" xfId="0" applyNumberFormat="1" applyFont="1" applyFill="1" applyBorder="1" applyAlignment="1">
      <alignment horizontal="left" vertical="center" wrapText="1"/>
    </xf>
    <xf numFmtId="187" fontId="31" fillId="0" borderId="4" xfId="0" applyNumberFormat="1" applyFont="1" applyFill="1" applyBorder="1" applyAlignment="1">
      <alignment horizontal="left" vertical="center" wrapText="1"/>
    </xf>
    <xf numFmtId="167" fontId="31" fillId="0" borderId="24" xfId="0" applyNumberFormat="1" applyFont="1" applyFill="1" applyBorder="1" applyAlignment="1">
      <alignment horizontal="center" vertical="center" wrapText="1"/>
    </xf>
    <xf numFmtId="9" fontId="31" fillId="0" borderId="0" xfId="37" applyFont="1" applyFill="1" applyBorder="1" applyAlignment="1">
      <alignment horizontal="center" vertical="center"/>
    </xf>
    <xf numFmtId="187" fontId="31" fillId="0" borderId="1" xfId="0" applyNumberFormat="1" applyFont="1" applyFill="1" applyBorder="1" applyAlignment="1">
      <alignment horizontal="left" vertical="center" wrapText="1"/>
    </xf>
    <xf numFmtId="0" fontId="31" fillId="0" borderId="0" xfId="0" applyFont="1" applyFill="1" applyBorder="1" applyAlignment="1">
      <alignment vertical="center"/>
    </xf>
    <xf numFmtId="1" fontId="31" fillId="0" borderId="24" xfId="0" applyNumberFormat="1" applyFont="1" applyFill="1" applyBorder="1" applyAlignment="1">
      <alignment horizontal="center" vertical="center" wrapText="1"/>
    </xf>
    <xf numFmtId="1" fontId="31"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9" fontId="31" fillId="0" borderId="0" xfId="37" applyFont="1" applyFill="1" applyBorder="1" applyAlignment="1">
      <alignment horizontal="center" vertical="center" wrapText="1"/>
    </xf>
    <xf numFmtId="0" fontId="31" fillId="0" borderId="0" xfId="37"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169" fontId="31" fillId="0" borderId="0" xfId="0" applyNumberFormat="1" applyFont="1" applyFill="1" applyBorder="1" applyAlignment="1">
      <alignment vertical="center" wrapText="1"/>
    </xf>
    <xf numFmtId="0" fontId="31" fillId="0" borderId="0" xfId="0" applyFont="1" applyFill="1" applyBorder="1" applyAlignment="1">
      <alignment horizontal="right" vertical="center"/>
    </xf>
    <xf numFmtId="3" fontId="31" fillId="0" borderId="0" xfId="33" applyNumberFormat="1" applyFont="1" applyFill="1" applyBorder="1" applyAlignment="1">
      <alignment horizontal="right" vertical="center"/>
    </xf>
    <xf numFmtId="4" fontId="31" fillId="0" borderId="0" xfId="33" applyNumberFormat="1" applyFont="1" applyFill="1" applyBorder="1" applyAlignment="1">
      <alignment horizontal="right" vertical="center"/>
    </xf>
    <xf numFmtId="4" fontId="31" fillId="0" borderId="0" xfId="0" applyNumberFormat="1" applyFont="1" applyFill="1" applyBorder="1" applyAlignment="1">
      <alignment horizontal="center" vertical="center" wrapText="1"/>
    </xf>
    <xf numFmtId="10" fontId="31" fillId="0" borderId="0" xfId="37" applyNumberFormat="1" applyFont="1" applyFill="1" applyBorder="1" applyAlignment="1">
      <alignment horizontal="center" vertical="center" wrapText="1"/>
    </xf>
    <xf numFmtId="4" fontId="31" fillId="0" borderId="24" xfId="0" applyNumberFormat="1" applyFont="1" applyFill="1" applyBorder="1" applyAlignment="1">
      <alignment horizontal="center" vertical="center" wrapText="1"/>
    </xf>
    <xf numFmtId="0" fontId="31" fillId="0" borderId="0" xfId="37"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169" fontId="31" fillId="0" borderId="0" xfId="0" applyNumberFormat="1" applyFont="1" applyFill="1" applyBorder="1" applyAlignment="1">
      <alignment vertical="center"/>
    </xf>
    <xf numFmtId="169" fontId="31" fillId="0" borderId="0" xfId="0" applyNumberFormat="1" applyFont="1" applyFill="1" applyBorder="1" applyAlignment="1">
      <alignment horizontal="center" vertical="center"/>
    </xf>
    <xf numFmtId="170" fontId="31" fillId="0" borderId="0" xfId="0" applyNumberFormat="1" applyFont="1" applyFill="1" applyBorder="1" applyAlignment="1">
      <alignment horizontal="center" vertical="center"/>
    </xf>
    <xf numFmtId="170" fontId="31" fillId="0" borderId="24" xfId="0" applyNumberFormat="1" applyFont="1" applyFill="1" applyBorder="1" applyAlignment="1">
      <alignment horizontal="center" vertical="center"/>
    </xf>
    <xf numFmtId="1" fontId="38" fillId="0" borderId="0" xfId="0" applyNumberFormat="1" applyFont="1" applyFill="1" applyBorder="1" applyAlignment="1">
      <alignment horizontal="center" vertical="center" wrapText="1"/>
    </xf>
    <xf numFmtId="1" fontId="38" fillId="0" borderId="24" xfId="0" applyNumberFormat="1" applyFont="1" applyFill="1" applyBorder="1" applyAlignment="1">
      <alignment horizontal="center" vertical="center" wrapText="1"/>
    </xf>
    <xf numFmtId="167" fontId="31" fillId="0" borderId="24" xfId="0" applyNumberFormat="1" applyFont="1" applyFill="1" applyBorder="1" applyAlignment="1">
      <alignment horizontal="left" vertical="center" wrapText="1"/>
    </xf>
    <xf numFmtId="4" fontId="2" fillId="0" borderId="0" xfId="0" applyNumberFormat="1" applyFont="1" applyFill="1" applyBorder="1" applyAlignment="1">
      <alignment horizontal="center" vertical="center" wrapText="1"/>
    </xf>
    <xf numFmtId="172" fontId="31" fillId="0" borderId="0" xfId="37" applyNumberFormat="1" applyFont="1" applyFill="1" applyBorder="1" applyAlignment="1">
      <alignment horizontal="center" vertical="center"/>
    </xf>
    <xf numFmtId="14" fontId="31" fillId="0" borderId="0" xfId="37" applyNumberFormat="1" applyFont="1" applyFill="1" applyBorder="1" applyAlignment="1">
      <alignment horizontal="center" vertical="center"/>
    </xf>
    <xf numFmtId="14" fontId="31" fillId="0" borderId="24" xfId="0" applyNumberFormat="1" applyFont="1" applyFill="1" applyBorder="1" applyAlignment="1">
      <alignment horizontal="center" vertical="center"/>
    </xf>
    <xf numFmtId="169" fontId="31" fillId="0" borderId="0" xfId="0" applyNumberFormat="1" applyFont="1" applyFill="1" applyBorder="1" applyAlignment="1">
      <alignment horizontal="left" vertical="center"/>
    </xf>
    <xf numFmtId="0" fontId="31" fillId="0" borderId="24" xfId="0" applyNumberFormat="1" applyFont="1" applyFill="1" applyBorder="1" applyAlignment="1">
      <alignment horizontal="center" vertical="center"/>
    </xf>
    <xf numFmtId="169" fontId="2" fillId="0" borderId="0" xfId="0" applyNumberFormat="1" applyFont="1" applyFill="1" applyBorder="1" applyAlignment="1">
      <alignment vertical="center"/>
    </xf>
    <xf numFmtId="14" fontId="31" fillId="0" borderId="0" xfId="0" applyNumberFormat="1" applyFont="1" applyFill="1" applyBorder="1" applyAlignment="1">
      <alignment horizontal="center" vertical="center" wrapText="1"/>
    </xf>
    <xf numFmtId="169" fontId="2" fillId="0" borderId="0" xfId="0" applyNumberFormat="1" applyFont="1" applyFill="1" applyBorder="1" applyAlignment="1">
      <alignment vertical="center" wrapText="1"/>
    </xf>
    <xf numFmtId="4" fontId="40"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3" fontId="31" fillId="0" borderId="0" xfId="0" applyNumberFormat="1" applyFont="1" applyFill="1" applyBorder="1" applyAlignment="1">
      <alignment vertical="center" wrapText="1"/>
    </xf>
    <xf numFmtId="9" fontId="31" fillId="0" borderId="0" xfId="33" applyFont="1" applyFill="1" applyBorder="1" applyAlignment="1">
      <alignment horizontal="center" vertical="center"/>
    </xf>
    <xf numFmtId="169" fontId="31" fillId="0" borderId="0" xfId="0" applyNumberFormat="1" applyFont="1" applyFill="1" applyBorder="1" applyAlignment="1">
      <alignment horizontal="center" vertical="center" wrapText="1"/>
    </xf>
    <xf numFmtId="0" fontId="38" fillId="0" borderId="0" xfId="0" applyFont="1" applyFill="1" applyBorder="1" applyAlignment="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wrapText="1"/>
    </xf>
    <xf numFmtId="9" fontId="38" fillId="0" borderId="0" xfId="0" applyNumberFormat="1" applyFont="1" applyFill="1" applyBorder="1" applyAlignment="1">
      <alignment horizontal="center" vertical="center"/>
    </xf>
    <xf numFmtId="167" fontId="38" fillId="0" borderId="0" xfId="0" applyNumberFormat="1" applyFont="1" applyFill="1" applyBorder="1" applyAlignment="1">
      <alignment horizontal="center" vertical="center" wrapText="1"/>
    </xf>
    <xf numFmtId="167" fontId="38" fillId="0" borderId="24" xfId="0" applyNumberFormat="1" applyFont="1" applyFill="1" applyBorder="1" applyAlignment="1">
      <alignment horizontal="center" vertical="center" wrapText="1"/>
    </xf>
    <xf numFmtId="169" fontId="38" fillId="0" borderId="0" xfId="0" applyNumberFormat="1" applyFont="1" applyFill="1" applyBorder="1" applyAlignment="1">
      <alignment vertical="center"/>
    </xf>
    <xf numFmtId="4" fontId="38" fillId="0" borderId="0" xfId="0" applyNumberFormat="1" applyFont="1" applyFill="1" applyBorder="1" applyAlignment="1">
      <alignment horizontal="center" vertical="center" wrapText="1"/>
    </xf>
    <xf numFmtId="170" fontId="31" fillId="0" borderId="0" xfId="0" applyNumberFormat="1" applyFont="1" applyFill="1" applyBorder="1" applyAlignment="1">
      <alignment horizontal="center" vertical="center" wrapText="1"/>
    </xf>
    <xf numFmtId="170" fontId="31" fillId="0" borderId="24" xfId="0" applyNumberFormat="1" applyFont="1" applyFill="1" applyBorder="1" applyAlignment="1">
      <alignment horizontal="center" vertical="center" wrapText="1"/>
    </xf>
    <xf numFmtId="0" fontId="31" fillId="0" borderId="24"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1" fillId="6" borderId="0" xfId="0" applyFont="1" applyFill="1" applyBorder="1" applyAlignment="1">
      <alignment vertical="center"/>
    </xf>
    <xf numFmtId="0" fontId="31" fillId="6" borderId="24" xfId="0" applyFont="1" applyFill="1" applyBorder="1" applyAlignment="1">
      <alignment vertical="center" wrapText="1"/>
    </xf>
    <xf numFmtId="0" fontId="31" fillId="6" borderId="0" xfId="0" applyFont="1" applyFill="1" applyBorder="1" applyAlignment="1">
      <alignment vertical="center" wrapText="1"/>
    </xf>
    <xf numFmtId="0" fontId="31" fillId="6" borderId="0" xfId="0" applyFont="1" applyFill="1" applyBorder="1" applyAlignment="1">
      <alignment horizontal="center" vertical="center" wrapText="1"/>
    </xf>
    <xf numFmtId="9" fontId="31" fillId="6" borderId="0" xfId="37" applyFont="1" applyFill="1" applyBorder="1" applyAlignment="1">
      <alignment horizontal="center" vertical="center"/>
    </xf>
    <xf numFmtId="0" fontId="31" fillId="6" borderId="0" xfId="37" applyNumberFormat="1" applyFont="1" applyFill="1" applyBorder="1" applyAlignment="1">
      <alignment horizontal="center" vertical="center"/>
    </xf>
    <xf numFmtId="167" fontId="31" fillId="6" borderId="0" xfId="0" applyNumberFormat="1" applyFont="1" applyFill="1" applyBorder="1" applyAlignment="1">
      <alignment horizontal="center" vertical="center" wrapText="1"/>
    </xf>
    <xf numFmtId="167" fontId="31" fillId="6" borderId="24" xfId="0" applyNumberFormat="1" applyFont="1" applyFill="1" applyBorder="1" applyAlignment="1">
      <alignment horizontal="center" vertical="center" wrapText="1"/>
    </xf>
    <xf numFmtId="0" fontId="31" fillId="6" borderId="0" xfId="0" applyNumberFormat="1" applyFont="1" applyFill="1" applyBorder="1" applyAlignment="1">
      <alignment horizontal="center" vertical="center"/>
    </xf>
    <xf numFmtId="169" fontId="31" fillId="6" borderId="0" xfId="0" applyNumberFormat="1" applyFont="1" applyFill="1" applyBorder="1" applyAlignment="1">
      <alignment vertical="center"/>
    </xf>
    <xf numFmtId="4" fontId="2" fillId="6" borderId="0" xfId="0" applyNumberFormat="1" applyFont="1" applyFill="1" applyBorder="1" applyAlignment="1">
      <alignment horizontal="center" vertical="center" wrapText="1"/>
    </xf>
    <xf numFmtId="10" fontId="31" fillId="0" borderId="0" xfId="37" applyNumberFormat="1" applyFont="1" applyFill="1" applyBorder="1" applyAlignment="1">
      <alignment horizontal="center" vertical="center"/>
    </xf>
    <xf numFmtId="1" fontId="31" fillId="6" borderId="0" xfId="0" applyNumberFormat="1" applyFont="1" applyFill="1" applyBorder="1" applyAlignment="1">
      <alignment horizontal="center" vertical="center" wrapText="1"/>
    </xf>
    <xf numFmtId="1" fontId="31" fillId="6" borderId="24" xfId="0" applyNumberFormat="1" applyFont="1" applyFill="1" applyBorder="1" applyAlignment="1">
      <alignment horizontal="center" vertical="center" wrapText="1"/>
    </xf>
    <xf numFmtId="0" fontId="31" fillId="6" borderId="24" xfId="0" applyFont="1" applyFill="1" applyBorder="1" applyAlignment="1">
      <alignment horizontal="left" vertical="center" wrapText="1"/>
    </xf>
    <xf numFmtId="10" fontId="31" fillId="0" borderId="0" xfId="33" applyNumberFormat="1" applyFont="1" applyFill="1" applyBorder="1"/>
    <xf numFmtId="10" fontId="31" fillId="0" borderId="24" xfId="33" applyNumberFormat="1" applyFont="1" applyFill="1" applyBorder="1"/>
    <xf numFmtId="0" fontId="31" fillId="6" borderId="24" xfId="0" applyFont="1" applyFill="1" applyBorder="1" applyAlignment="1">
      <alignment horizontal="center" vertical="center"/>
    </xf>
    <xf numFmtId="169" fontId="31" fillId="6" borderId="0" xfId="0" applyNumberFormat="1" applyFont="1" applyFill="1" applyBorder="1" applyAlignment="1">
      <alignment horizontal="center" vertical="center"/>
    </xf>
    <xf numFmtId="4" fontId="31" fillId="0" borderId="24" xfId="0" applyNumberFormat="1" applyFont="1" applyFill="1" applyBorder="1" applyAlignment="1">
      <alignment vertical="center"/>
    </xf>
    <xf numFmtId="0" fontId="31" fillId="0" borderId="0" xfId="0" applyFont="1" applyBorder="1" applyAlignment="1">
      <alignment horizontal="center" vertical="center"/>
    </xf>
    <xf numFmtId="170" fontId="31" fillId="0" borderId="0" xfId="0" applyNumberFormat="1" applyFont="1" applyBorder="1" applyAlignment="1">
      <alignment horizontal="center" vertical="center"/>
    </xf>
    <xf numFmtId="170" fontId="31" fillId="0" borderId="24" xfId="0" applyNumberFormat="1" applyFont="1" applyBorder="1" applyAlignment="1">
      <alignment horizontal="center" vertical="center"/>
    </xf>
    <xf numFmtId="170" fontId="31" fillId="6" borderId="24" xfId="0" applyNumberFormat="1" applyFont="1" applyFill="1" applyBorder="1" applyAlignment="1">
      <alignment horizontal="center" vertical="center"/>
    </xf>
    <xf numFmtId="0" fontId="31" fillId="0" borderId="20" xfId="0" applyFont="1" applyBorder="1" applyAlignment="1">
      <alignment horizontal="center" vertical="center"/>
    </xf>
    <xf numFmtId="4" fontId="31" fillId="6" borderId="0" xfId="0" applyNumberFormat="1" applyFont="1" applyFill="1" applyBorder="1" applyAlignment="1">
      <alignment horizontal="center" vertical="center" wrapText="1"/>
    </xf>
    <xf numFmtId="1" fontId="38" fillId="18" borderId="0" xfId="0" applyNumberFormat="1" applyFont="1" applyFill="1" applyBorder="1" applyAlignment="1">
      <alignment horizontal="center" vertical="center" wrapText="1"/>
    </xf>
    <xf numFmtId="1" fontId="38" fillId="18" borderId="24" xfId="0" applyNumberFormat="1" applyFont="1" applyFill="1" applyBorder="1" applyAlignment="1">
      <alignment horizontal="center" vertical="center" wrapText="1"/>
    </xf>
    <xf numFmtId="1" fontId="38" fillId="19" borderId="24" xfId="0" applyNumberFormat="1" applyFont="1" applyFill="1" applyBorder="1" applyAlignment="1">
      <alignment horizontal="center" vertical="center" wrapText="1"/>
    </xf>
    <xf numFmtId="0" fontId="31" fillId="0" borderId="35" xfId="0" applyFont="1" applyFill="1" applyBorder="1" applyAlignment="1">
      <alignment vertical="center"/>
    </xf>
    <xf numFmtId="0" fontId="31" fillId="0" borderId="25" xfId="0" applyFont="1" applyFill="1" applyBorder="1" applyAlignment="1">
      <alignment vertical="center"/>
    </xf>
    <xf numFmtId="1" fontId="31" fillId="0" borderId="25" xfId="0" applyNumberFormat="1" applyFont="1" applyFill="1" applyBorder="1" applyAlignment="1">
      <alignment horizontal="center" vertical="center" wrapText="1"/>
    </xf>
    <xf numFmtId="0" fontId="31" fillId="0" borderId="25" xfId="0" applyFont="1" applyFill="1" applyBorder="1" applyAlignment="1">
      <alignment horizontal="left" vertical="center" wrapText="1"/>
    </xf>
    <xf numFmtId="0" fontId="31" fillId="0" borderId="25" xfId="0" applyFont="1" applyFill="1" applyBorder="1" applyAlignment="1">
      <alignment vertical="center" wrapText="1"/>
    </xf>
    <xf numFmtId="9" fontId="31" fillId="0" borderId="25" xfId="37" applyFont="1" applyFill="1" applyBorder="1" applyAlignment="1">
      <alignment horizontal="center" vertical="center" wrapText="1"/>
    </xf>
    <xf numFmtId="167" fontId="31" fillId="0" borderId="25" xfId="0" applyNumberFormat="1" applyFont="1" applyFill="1" applyBorder="1" applyAlignment="1">
      <alignment horizontal="left" vertical="center" wrapText="1"/>
    </xf>
    <xf numFmtId="0" fontId="31" fillId="0" borderId="25" xfId="0" applyNumberFormat="1" applyFont="1" applyFill="1" applyBorder="1" applyAlignment="1">
      <alignment horizontal="center" vertical="center" wrapText="1"/>
    </xf>
    <xf numFmtId="169" fontId="31" fillId="0" borderId="25" xfId="0" applyNumberFormat="1" applyFont="1" applyFill="1" applyBorder="1" applyAlignment="1">
      <alignment vertical="center" wrapText="1"/>
    </xf>
    <xf numFmtId="173" fontId="31" fillId="0" borderId="25" xfId="0" applyNumberFormat="1" applyFont="1" applyFill="1" applyBorder="1" applyAlignment="1">
      <alignment vertical="center" wrapText="1"/>
    </xf>
    <xf numFmtId="0" fontId="31" fillId="0" borderId="25" xfId="0" applyFont="1" applyFill="1" applyBorder="1" applyAlignment="1">
      <alignment horizontal="right" vertical="center"/>
    </xf>
    <xf numFmtId="3" fontId="31" fillId="0" borderId="25" xfId="33" applyNumberFormat="1" applyFont="1" applyFill="1" applyBorder="1" applyAlignment="1">
      <alignment horizontal="right" vertical="center"/>
    </xf>
    <xf numFmtId="4" fontId="31" fillId="0" borderId="25" xfId="33" applyNumberFormat="1" applyFont="1" applyFill="1" applyBorder="1" applyAlignment="1">
      <alignment horizontal="right" vertical="center"/>
    </xf>
    <xf numFmtId="4" fontId="31" fillId="0" borderId="25" xfId="0" applyNumberFormat="1" applyFont="1" applyFill="1" applyBorder="1" applyAlignment="1">
      <alignment horizontal="center" vertical="center" wrapText="1"/>
    </xf>
    <xf numFmtId="0" fontId="31" fillId="0" borderId="29" xfId="0" applyFont="1" applyFill="1" applyBorder="1" applyAlignment="1">
      <alignment vertical="center"/>
    </xf>
    <xf numFmtId="167" fontId="2" fillId="0" borderId="0" xfId="0" applyNumberFormat="1" applyFont="1" applyFill="1" applyBorder="1" applyAlignment="1">
      <alignment horizontal="left" vertical="center" wrapText="1"/>
    </xf>
    <xf numFmtId="0" fontId="31" fillId="0" borderId="32" xfId="0" applyFont="1" applyFill="1" applyBorder="1" applyAlignment="1">
      <alignment vertical="center"/>
    </xf>
    <xf numFmtId="0" fontId="31" fillId="0" borderId="26" xfId="0" applyFont="1" applyFill="1" applyBorder="1" applyAlignment="1">
      <alignment vertical="center"/>
    </xf>
    <xf numFmtId="1" fontId="31" fillId="0" borderId="26" xfId="0" applyNumberFormat="1" applyFont="1" applyFill="1" applyBorder="1" applyAlignment="1">
      <alignment horizontal="center" vertical="center" wrapText="1"/>
    </xf>
    <xf numFmtId="0" fontId="31" fillId="0" borderId="26" xfId="0" applyFont="1" applyFill="1" applyBorder="1" applyAlignment="1">
      <alignment horizontal="left" vertical="center" wrapText="1"/>
    </xf>
    <xf numFmtId="0" fontId="31" fillId="0" borderId="26" xfId="0" applyFont="1" applyFill="1" applyBorder="1" applyAlignment="1">
      <alignment vertical="center" wrapText="1"/>
    </xf>
    <xf numFmtId="9" fontId="31" fillId="0" borderId="26" xfId="37" applyFont="1" applyFill="1" applyBorder="1" applyAlignment="1">
      <alignment horizontal="center" vertical="center"/>
    </xf>
    <xf numFmtId="0" fontId="31" fillId="0" borderId="26" xfId="37" applyNumberFormat="1" applyFont="1" applyFill="1" applyBorder="1" applyAlignment="1">
      <alignment horizontal="center" vertical="center"/>
    </xf>
    <xf numFmtId="167" fontId="31" fillId="0" borderId="26" xfId="0" applyNumberFormat="1" applyFont="1" applyFill="1" applyBorder="1" applyAlignment="1">
      <alignment horizontal="center" vertical="center" wrapText="1"/>
    </xf>
    <xf numFmtId="14" fontId="31" fillId="0" borderId="26" xfId="0" applyNumberFormat="1" applyFont="1" applyFill="1" applyBorder="1" applyAlignment="1">
      <alignment horizontal="center" vertical="center"/>
    </xf>
    <xf numFmtId="0" fontId="31" fillId="0" borderId="26" xfId="0" applyNumberFormat="1" applyFont="1" applyFill="1" applyBorder="1" applyAlignment="1">
      <alignment horizontal="center" vertical="center"/>
    </xf>
    <xf numFmtId="169" fontId="31" fillId="0" borderId="26" xfId="0" applyNumberFormat="1" applyFont="1" applyFill="1" applyBorder="1" applyAlignment="1">
      <alignment vertical="center" wrapText="1"/>
    </xf>
    <xf numFmtId="169" fontId="2" fillId="0" borderId="26" xfId="0" applyNumberFormat="1" applyFont="1" applyFill="1" applyBorder="1" applyAlignment="1">
      <alignment vertical="center"/>
    </xf>
    <xf numFmtId="169" fontId="31" fillId="0" borderId="26" xfId="0" applyNumberFormat="1" applyFont="1" applyFill="1" applyBorder="1" applyAlignment="1">
      <alignment vertical="center"/>
    </xf>
    <xf numFmtId="0" fontId="31" fillId="0" borderId="26" xfId="0" applyFont="1" applyFill="1" applyBorder="1" applyAlignment="1">
      <alignment horizontal="right" vertical="center"/>
    </xf>
    <xf numFmtId="3" fontId="31" fillId="0" borderId="26" xfId="33" applyNumberFormat="1" applyFont="1" applyFill="1" applyBorder="1" applyAlignment="1">
      <alignment horizontal="right" vertical="center"/>
    </xf>
    <xf numFmtId="4" fontId="31" fillId="0" borderId="26" xfId="33" applyNumberFormat="1" applyFont="1" applyFill="1" applyBorder="1" applyAlignment="1">
      <alignment horizontal="right" vertical="center"/>
    </xf>
    <xf numFmtId="4" fontId="31" fillId="0" borderId="26" xfId="0" applyNumberFormat="1" applyFont="1" applyFill="1" applyBorder="1" applyAlignment="1">
      <alignment horizontal="center" vertical="center" wrapText="1"/>
    </xf>
    <xf numFmtId="14" fontId="31" fillId="0" borderId="0" xfId="0" applyNumberFormat="1" applyFont="1" applyFill="1" applyBorder="1" applyAlignment="1">
      <alignment horizontal="center" vertical="center"/>
    </xf>
    <xf numFmtId="167" fontId="31" fillId="0" borderId="26" xfId="0" applyNumberFormat="1" applyFont="1" applyFill="1" applyBorder="1" applyAlignment="1">
      <alignment horizontal="left" vertical="center" wrapText="1"/>
    </xf>
    <xf numFmtId="169" fontId="31" fillId="0" borderId="25" xfId="0" applyNumberFormat="1" applyFont="1" applyFill="1" applyBorder="1" applyAlignment="1">
      <alignment vertical="center"/>
    </xf>
    <xf numFmtId="173" fontId="2" fillId="0" borderId="0" xfId="0" applyNumberFormat="1" applyFont="1" applyFill="1" applyBorder="1" applyAlignment="1">
      <alignment vertical="center" wrapText="1"/>
    </xf>
    <xf numFmtId="172" fontId="31" fillId="0" borderId="25" xfId="37" applyNumberFormat="1" applyFont="1" applyFill="1" applyBorder="1" applyAlignment="1">
      <alignment horizontal="center" vertical="center"/>
    </xf>
    <xf numFmtId="0" fontId="31" fillId="0" borderId="25" xfId="37" applyNumberFormat="1" applyFont="1" applyFill="1" applyBorder="1" applyAlignment="1">
      <alignment horizontal="center" vertical="center"/>
    </xf>
    <xf numFmtId="0" fontId="31" fillId="0" borderId="25" xfId="0" applyNumberFormat="1" applyFont="1" applyFill="1" applyBorder="1" applyAlignment="1">
      <alignment horizontal="center" vertical="center"/>
    </xf>
    <xf numFmtId="9" fontId="31" fillId="0" borderId="26" xfId="37" applyFont="1" applyFill="1" applyBorder="1" applyAlignment="1">
      <alignment horizontal="center" vertical="center" wrapText="1"/>
    </xf>
    <xf numFmtId="0" fontId="31" fillId="0" borderId="26" xfId="0" applyNumberFormat="1" applyFont="1" applyFill="1" applyBorder="1" applyAlignment="1">
      <alignment horizontal="center" vertical="center" wrapText="1"/>
    </xf>
    <xf numFmtId="173" fontId="31" fillId="0" borderId="26" xfId="0" applyNumberFormat="1" applyFont="1" applyFill="1" applyBorder="1" applyAlignment="1">
      <alignment vertical="center" wrapText="1"/>
    </xf>
    <xf numFmtId="9" fontId="31" fillId="0" borderId="0" xfId="0" applyNumberFormat="1" applyFont="1" applyFill="1" applyBorder="1" applyAlignment="1">
      <alignment horizontal="center" vertical="center" wrapText="1"/>
    </xf>
    <xf numFmtId="9" fontId="31" fillId="0" borderId="25" xfId="37" applyFont="1" applyFill="1" applyBorder="1" applyAlignment="1">
      <alignment horizontal="center" vertical="center"/>
    </xf>
    <xf numFmtId="167" fontId="31" fillId="0" borderId="25" xfId="0" applyNumberFormat="1" applyFont="1" applyFill="1" applyBorder="1" applyAlignment="1">
      <alignment horizontal="center" vertical="center" wrapText="1"/>
    </xf>
    <xf numFmtId="0" fontId="38" fillId="0" borderId="29" xfId="0" applyFont="1" applyFill="1" applyBorder="1" applyAlignment="1">
      <alignment vertical="center"/>
    </xf>
    <xf numFmtId="9" fontId="31" fillId="0" borderId="26" xfId="36" applyFont="1" applyFill="1" applyBorder="1" applyAlignment="1">
      <alignment horizontal="center" vertical="center" wrapText="1"/>
    </xf>
    <xf numFmtId="0" fontId="31" fillId="0" borderId="26" xfId="36" applyNumberFormat="1" applyFont="1" applyFill="1" applyBorder="1" applyAlignment="1">
      <alignment horizontal="center" vertical="center"/>
    </xf>
    <xf numFmtId="14" fontId="31" fillId="0" borderId="26" xfId="36" applyNumberFormat="1" applyFont="1" applyFill="1" applyBorder="1" applyAlignment="1">
      <alignment horizontal="center" vertical="center" wrapText="1"/>
    </xf>
    <xf numFmtId="14" fontId="31" fillId="0" borderId="26" xfId="0" applyNumberFormat="1" applyFont="1" applyFill="1" applyBorder="1" applyAlignment="1">
      <alignment horizontal="center" vertical="center" wrapText="1"/>
    </xf>
    <xf numFmtId="9" fontId="31" fillId="0" borderId="0" xfId="36" applyFont="1" applyFill="1" applyBorder="1" applyAlignment="1">
      <alignment horizontal="center" vertical="center"/>
    </xf>
    <xf numFmtId="0" fontId="31" fillId="0" borderId="0" xfId="36" applyNumberFormat="1" applyFont="1" applyFill="1" applyBorder="1" applyAlignment="1">
      <alignment horizontal="center" vertical="center"/>
    </xf>
    <xf numFmtId="9" fontId="31" fillId="0" borderId="25" xfId="36" applyFont="1" applyFill="1" applyBorder="1" applyAlignment="1">
      <alignment horizontal="center" vertical="center" wrapText="1"/>
    </xf>
    <xf numFmtId="9" fontId="31" fillId="0" borderId="0" xfId="36" applyFont="1" applyFill="1" applyBorder="1" applyAlignment="1">
      <alignment horizontal="center" vertical="center" wrapText="1"/>
    </xf>
    <xf numFmtId="172" fontId="31" fillId="0" borderId="0" xfId="36" applyNumberFormat="1" applyFont="1" applyFill="1" applyBorder="1" applyAlignment="1">
      <alignment horizontal="center" vertical="center"/>
    </xf>
    <xf numFmtId="9" fontId="31" fillId="0" borderId="26" xfId="36" applyFont="1" applyFill="1" applyBorder="1" applyAlignment="1">
      <alignment horizontal="center" vertical="center"/>
    </xf>
    <xf numFmtId="9" fontId="31" fillId="0" borderId="25" xfId="36" applyFont="1" applyFill="1" applyBorder="1" applyAlignment="1">
      <alignment horizontal="center" vertical="center"/>
    </xf>
    <xf numFmtId="0" fontId="31" fillId="0" borderId="25" xfId="36" applyNumberFormat="1" applyFont="1" applyFill="1" applyBorder="1" applyAlignment="1">
      <alignment horizontal="center" vertical="center"/>
    </xf>
    <xf numFmtId="14" fontId="31" fillId="0" borderId="0" xfId="36" applyNumberFormat="1" applyFont="1" applyFill="1" applyBorder="1" applyAlignment="1">
      <alignment horizontal="center" vertical="center"/>
    </xf>
    <xf numFmtId="0" fontId="38" fillId="0" borderId="35" xfId="0" applyFont="1" applyFill="1" applyBorder="1" applyAlignment="1">
      <alignment vertical="center"/>
    </xf>
    <xf numFmtId="0" fontId="38" fillId="0" borderId="25" xfId="0" applyFont="1" applyFill="1" applyBorder="1" applyAlignment="1">
      <alignment vertical="center"/>
    </xf>
    <xf numFmtId="0" fontId="38" fillId="0" borderId="25" xfId="0" applyFont="1" applyFill="1" applyBorder="1" applyAlignment="1">
      <alignment horizontal="center" vertical="center" wrapText="1"/>
    </xf>
    <xf numFmtId="0" fontId="38" fillId="0" borderId="32" xfId="0" applyFont="1" applyFill="1" applyBorder="1" applyAlignment="1">
      <alignment vertical="center"/>
    </xf>
    <xf numFmtId="0" fontId="38" fillId="0" borderId="26" xfId="0" applyFont="1" applyFill="1" applyBorder="1" applyAlignment="1">
      <alignment vertical="center"/>
    </xf>
    <xf numFmtId="0" fontId="38" fillId="0" borderId="26"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6" xfId="0" applyFont="1" applyFill="1" applyBorder="1" applyAlignment="1">
      <alignment horizontal="center" vertical="center" wrapText="1"/>
    </xf>
    <xf numFmtId="14" fontId="31" fillId="0" borderId="25"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31" fillId="0" borderId="35" xfId="0" applyFont="1" applyFill="1" applyBorder="1" applyAlignment="1">
      <alignment vertical="center" wrapText="1"/>
    </xf>
    <xf numFmtId="0" fontId="31" fillId="0" borderId="25" xfId="36" applyNumberFormat="1"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36" applyNumberFormat="1" applyFont="1" applyFill="1" applyBorder="1" applyAlignment="1">
      <alignment horizontal="center" vertical="center" wrapText="1"/>
    </xf>
    <xf numFmtId="14" fontId="31" fillId="0" borderId="0" xfId="36" applyNumberFormat="1" applyFont="1" applyFill="1" applyBorder="1" applyAlignment="1">
      <alignment horizontal="center" vertical="center" wrapText="1"/>
    </xf>
    <xf numFmtId="42" fontId="31" fillId="0" borderId="0" xfId="0" applyNumberFormat="1" applyFont="1" applyFill="1" applyBorder="1" applyAlignment="1">
      <alignment horizontal="center" vertical="center" wrapText="1"/>
    </xf>
    <xf numFmtId="0" fontId="31" fillId="0" borderId="32" xfId="0" applyFont="1" applyFill="1" applyBorder="1" applyAlignment="1">
      <alignment vertical="center" wrapText="1"/>
    </xf>
    <xf numFmtId="0" fontId="31" fillId="0" borderId="26" xfId="36" applyNumberFormat="1" applyFont="1" applyFill="1" applyBorder="1" applyAlignment="1">
      <alignment horizontal="center" vertical="center" wrapText="1"/>
    </xf>
    <xf numFmtId="14" fontId="31" fillId="0" borderId="26" xfId="36" applyNumberFormat="1" applyFont="1" applyFill="1" applyBorder="1" applyAlignment="1">
      <alignment horizontal="center" vertical="center"/>
    </xf>
    <xf numFmtId="41" fontId="35" fillId="8" borderId="2" xfId="0" applyNumberFormat="1" applyFont="1" applyFill="1" applyBorder="1" applyAlignment="1">
      <alignment horizontal="center" vertical="center" wrapText="1"/>
    </xf>
    <xf numFmtId="0" fontId="35" fillId="8" borderId="2" xfId="0" applyNumberFormat="1" applyFont="1" applyFill="1" applyBorder="1" applyAlignment="1">
      <alignment horizontal="center" vertical="center" wrapText="1"/>
    </xf>
    <xf numFmtId="0" fontId="2" fillId="8" borderId="6" xfId="0" applyFont="1" applyFill="1" applyBorder="1" applyAlignment="1">
      <alignment horizontal="justify" vertical="center" wrapText="1"/>
    </xf>
    <xf numFmtId="0" fontId="2" fillId="0" borderId="6" xfId="0" applyFont="1" applyFill="1" applyBorder="1" applyAlignment="1">
      <alignment horizontal="left" vertical="top" wrapText="1"/>
    </xf>
    <xf numFmtId="1" fontId="34" fillId="8" borderId="2" xfId="0" applyNumberFormat="1" applyFont="1" applyFill="1" applyBorder="1" applyAlignment="1">
      <alignment horizontal="right" vertical="center" wrapText="1"/>
    </xf>
    <xf numFmtId="0" fontId="2" fillId="8" borderId="2" xfId="0" applyNumberFormat="1" applyFont="1" applyFill="1" applyBorder="1" applyAlignment="1">
      <alignment horizontal="center" vertical="center" wrapText="1"/>
    </xf>
    <xf numFmtId="169" fontId="2" fillId="8" borderId="2" xfId="0" applyNumberFormat="1" applyFont="1" applyFill="1" applyBorder="1" applyAlignment="1">
      <alignment horizontal="center" vertical="center" wrapText="1"/>
    </xf>
    <xf numFmtId="191" fontId="2" fillId="8" borderId="2" xfId="0" applyNumberFormat="1" applyFont="1" applyFill="1" applyBorder="1" applyAlignment="1">
      <alignment vertical="center"/>
    </xf>
    <xf numFmtId="3" fontId="31" fillId="8" borderId="1" xfId="0" applyNumberFormat="1" applyFont="1" applyFill="1" applyBorder="1" applyAlignment="1">
      <alignment horizontal="center" vertical="center" wrapText="1"/>
    </xf>
    <xf numFmtId="0" fontId="31" fillId="8" borderId="20" xfId="0" applyNumberFormat="1" applyFont="1" applyFill="1" applyBorder="1" applyAlignment="1">
      <alignment vertical="center" wrapText="1"/>
    </xf>
    <xf numFmtId="0" fontId="37" fillId="8" borderId="21" xfId="0" applyFont="1" applyFill="1" applyBorder="1" applyAlignment="1">
      <alignment vertical="center" wrapText="1"/>
    </xf>
    <xf numFmtId="0" fontId="31" fillId="8" borderId="4" xfId="0" applyFont="1" applyFill="1" applyBorder="1" applyAlignment="1">
      <alignment horizontal="center" vertical="center" wrapText="1"/>
    </xf>
    <xf numFmtId="0" fontId="31" fillId="8" borderId="21" xfId="0" applyFont="1" applyFill="1" applyBorder="1" applyAlignment="1">
      <alignment vertical="center" wrapText="1"/>
    </xf>
    <xf numFmtId="0" fontId="37"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8" borderId="1" xfId="0" applyFont="1" applyFill="1" applyBorder="1" applyAlignment="1">
      <alignment horizontal="center" vertical="center"/>
    </xf>
    <xf numFmtId="0" fontId="42" fillId="8" borderId="1" xfId="0" applyFont="1" applyFill="1" applyBorder="1" applyAlignment="1">
      <alignment horizontal="center" vertical="center"/>
    </xf>
    <xf numFmtId="0" fontId="31" fillId="8" borderId="1" xfId="0" applyFont="1" applyFill="1" applyBorder="1" applyAlignment="1">
      <alignment horizontal="left"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vertical="center" wrapText="1"/>
    </xf>
    <xf numFmtId="0" fontId="5" fillId="8" borderId="2" xfId="26" applyFont="1" applyFill="1" applyBorder="1" applyAlignment="1">
      <alignment horizontal="justify" vertical="center" wrapText="1"/>
    </xf>
    <xf numFmtId="0" fontId="1" fillId="8" borderId="2" xfId="26" applyFont="1" applyFill="1" applyBorder="1" applyAlignment="1">
      <alignment horizontal="center" vertical="center" wrapText="1"/>
    </xf>
    <xf numFmtId="0" fontId="1" fillId="8" borderId="2" xfId="26" applyFont="1" applyFill="1" applyBorder="1" applyAlignment="1">
      <alignment horizontal="center" vertical="center"/>
    </xf>
    <xf numFmtId="0" fontId="0" fillId="8" borderId="2" xfId="0" applyFill="1" applyBorder="1" applyAlignment="1">
      <alignment horizontal="center" vertical="center" wrapText="1"/>
    </xf>
    <xf numFmtId="0" fontId="28" fillId="8" borderId="2" xfId="0" applyFont="1" applyFill="1" applyBorder="1" applyAlignment="1">
      <alignment vertical="center" wrapText="1"/>
    </xf>
    <xf numFmtId="0" fontId="2" fillId="8" borderId="2" xfId="26" applyFont="1" applyFill="1" applyBorder="1" applyAlignment="1">
      <alignment horizontal="justify" vertical="center" wrapText="1"/>
    </xf>
    <xf numFmtId="0" fontId="31" fillId="8" borderId="2" xfId="0" applyFont="1" applyFill="1" applyBorder="1" applyAlignment="1">
      <alignment vertical="center"/>
    </xf>
    <xf numFmtId="1" fontId="31" fillId="8" borderId="4" xfId="0" applyNumberFormat="1" applyFont="1" applyFill="1" applyBorder="1" applyAlignment="1">
      <alignment horizontal="left" vertical="center" wrapText="1"/>
    </xf>
    <xf numFmtId="43" fontId="31" fillId="8" borderId="4" xfId="0" applyNumberFormat="1" applyFont="1" applyFill="1" applyBorder="1" applyAlignment="1">
      <alignment vertical="center" wrapText="1"/>
    </xf>
    <xf numFmtId="1" fontId="31" fillId="8" borderId="2" xfId="0" applyNumberFormat="1" applyFont="1" applyFill="1" applyBorder="1" applyAlignment="1">
      <alignment horizontal="left" vertical="center" wrapText="1"/>
    </xf>
    <xf numFmtId="43" fontId="31" fillId="8" borderId="2" xfId="0" applyNumberFormat="1" applyFont="1" applyFill="1" applyBorder="1" applyAlignment="1">
      <alignment vertical="center" wrapText="1"/>
    </xf>
    <xf numFmtId="1" fontId="31" fillId="8" borderId="7" xfId="0" applyNumberFormat="1" applyFont="1" applyFill="1" applyBorder="1" applyAlignment="1">
      <alignment horizontal="left" vertical="center" wrapText="1"/>
    </xf>
    <xf numFmtId="43" fontId="31" fillId="8" borderId="7" xfId="0" applyNumberFormat="1" applyFont="1" applyFill="1" applyBorder="1" applyAlignment="1">
      <alignment vertical="center" wrapText="1"/>
    </xf>
    <xf numFmtId="14" fontId="31" fillId="8" borderId="2" xfId="0" applyNumberFormat="1" applyFont="1" applyFill="1" applyBorder="1" applyAlignment="1">
      <alignment horizontal="center" vertical="center" wrapText="1"/>
    </xf>
    <xf numFmtId="43" fontId="31" fillId="8" borderId="4" xfId="0" applyNumberFormat="1" applyFont="1" applyFill="1" applyBorder="1" applyAlignment="1">
      <alignment horizontal="right" vertical="center" wrapText="1"/>
    </xf>
    <xf numFmtId="43" fontId="31" fillId="8" borderId="2" xfId="0" applyNumberFormat="1" applyFont="1" applyFill="1" applyBorder="1" applyAlignment="1">
      <alignment horizontal="right" vertical="center" wrapText="1"/>
    </xf>
    <xf numFmtId="43" fontId="31" fillId="8" borderId="7" xfId="0" applyNumberFormat="1" applyFont="1" applyFill="1" applyBorder="1" applyAlignment="1">
      <alignment horizontal="right" vertical="center" wrapText="1"/>
    </xf>
    <xf numFmtId="9" fontId="31" fillId="8" borderId="4" xfId="33" applyFont="1" applyFill="1" applyBorder="1" applyAlignment="1">
      <alignment horizontal="center" vertical="center"/>
    </xf>
    <xf numFmtId="14" fontId="31" fillId="8" borderId="4" xfId="34" applyNumberFormat="1" applyFont="1" applyFill="1" applyBorder="1" applyAlignment="1">
      <alignment horizontal="center" vertical="center"/>
    </xf>
    <xf numFmtId="14" fontId="31" fillId="8" borderId="4" xfId="0" applyNumberFormat="1" applyFont="1" applyFill="1" applyBorder="1" applyAlignment="1">
      <alignment horizontal="center" vertical="center"/>
    </xf>
    <xf numFmtId="0" fontId="31" fillId="8" borderId="4" xfId="0" applyNumberFormat="1" applyFont="1" applyFill="1" applyBorder="1" applyAlignment="1">
      <alignment horizontal="center" vertical="center"/>
    </xf>
    <xf numFmtId="43" fontId="31" fillId="8" borderId="4" xfId="0" applyNumberFormat="1" applyFont="1" applyFill="1" applyBorder="1" applyAlignment="1">
      <alignment horizontal="right" vertical="center"/>
    </xf>
    <xf numFmtId="14" fontId="31" fillId="8" borderId="2" xfId="34" applyNumberFormat="1" applyFont="1" applyFill="1" applyBorder="1" applyAlignment="1">
      <alignment horizontal="center" vertical="center"/>
    </xf>
    <xf numFmtId="14" fontId="31" fillId="8" borderId="2" xfId="0" applyNumberFormat="1" applyFont="1" applyFill="1" applyBorder="1" applyAlignment="1">
      <alignment horizontal="center" vertical="center"/>
    </xf>
    <xf numFmtId="0" fontId="31" fillId="8" borderId="2" xfId="0" applyNumberFormat="1" applyFont="1" applyFill="1" applyBorder="1" applyAlignment="1">
      <alignment horizontal="center" vertical="center"/>
    </xf>
    <xf numFmtId="43" fontId="31" fillId="8" borderId="2" xfId="0" applyNumberFormat="1" applyFont="1" applyFill="1" applyBorder="1" applyAlignment="1">
      <alignment horizontal="right" vertical="center"/>
    </xf>
    <xf numFmtId="9" fontId="31" fillId="8" borderId="7" xfId="33" applyFont="1" applyFill="1" applyBorder="1" applyAlignment="1">
      <alignment horizontal="center" vertical="center"/>
    </xf>
    <xf numFmtId="14" fontId="31" fillId="8" borderId="7" xfId="34" applyNumberFormat="1" applyFont="1" applyFill="1" applyBorder="1" applyAlignment="1">
      <alignment horizontal="center" vertical="center"/>
    </xf>
    <xf numFmtId="14" fontId="31" fillId="8" borderId="7" xfId="0" applyNumberFormat="1" applyFont="1" applyFill="1" applyBorder="1" applyAlignment="1">
      <alignment horizontal="center" vertical="center"/>
    </xf>
    <xf numFmtId="0" fontId="31" fillId="8" borderId="7" xfId="0" applyNumberFormat="1" applyFont="1" applyFill="1" applyBorder="1" applyAlignment="1">
      <alignment horizontal="center" vertical="center"/>
    </xf>
    <xf numFmtId="43" fontId="31" fillId="8" borderId="7" xfId="0" applyNumberFormat="1" applyFont="1" applyFill="1" applyBorder="1" applyAlignment="1">
      <alignment horizontal="right" vertical="center"/>
    </xf>
    <xf numFmtId="169" fontId="31" fillId="8" borderId="1" xfId="0" applyNumberFormat="1" applyFont="1" applyFill="1" applyBorder="1" applyAlignment="1">
      <alignment horizontal="center" vertical="center"/>
    </xf>
    <xf numFmtId="0" fontId="35" fillId="8" borderId="5" xfId="0" applyFont="1" applyFill="1" applyBorder="1" applyAlignment="1">
      <alignment horizontal="center" vertical="center" wrapText="1"/>
    </xf>
    <xf numFmtId="0" fontId="2" fillId="8" borderId="7" xfId="0" applyFont="1" applyFill="1" applyBorder="1" applyAlignment="1">
      <alignment horizontal="center" vertical="center"/>
    </xf>
    <xf numFmtId="0" fontId="3" fillId="8" borderId="7" xfId="0" applyFont="1" applyFill="1" applyBorder="1" applyAlignment="1">
      <alignment horizontal="center" vertical="center"/>
    </xf>
    <xf numFmtId="0" fontId="62" fillId="8" borderId="7" xfId="0" applyFont="1" applyFill="1" applyBorder="1" applyAlignment="1">
      <alignment vertical="center" wrapText="1"/>
    </xf>
    <xf numFmtId="0" fontId="2" fillId="8" borderId="7" xfId="0" applyFont="1" applyFill="1" applyBorder="1" applyAlignment="1">
      <alignment horizontal="left" vertical="center" wrapText="1"/>
    </xf>
    <xf numFmtId="1" fontId="31" fillId="7" borderId="4" xfId="0" applyNumberFormat="1" applyFont="1" applyFill="1" applyBorder="1" applyAlignment="1">
      <alignment horizontal="center" vertical="center" wrapText="1"/>
    </xf>
    <xf numFmtId="0" fontId="31" fillId="24" borderId="2" xfId="0" applyNumberFormat="1" applyFont="1" applyFill="1" applyBorder="1" applyAlignment="1">
      <alignment horizontal="center" vertical="center" wrapText="1"/>
    </xf>
    <xf numFmtId="4" fontId="31" fillId="0" borderId="2" xfId="0" applyNumberFormat="1" applyFont="1" applyFill="1" applyBorder="1" applyAlignment="1">
      <alignment horizontal="right" vertical="center"/>
    </xf>
    <xf numFmtId="192" fontId="31" fillId="0" borderId="2" xfId="0" applyNumberFormat="1" applyFont="1" applyFill="1" applyBorder="1" applyAlignment="1">
      <alignment horizontal="center" vertical="center"/>
    </xf>
    <xf numFmtId="0" fontId="38" fillId="24" borderId="6" xfId="0" applyFont="1" applyFill="1" applyBorder="1" applyAlignment="1">
      <alignment horizontal="left" vertical="center" wrapText="1"/>
    </xf>
    <xf numFmtId="4" fontId="2" fillId="0" borderId="2" xfId="0" applyNumberFormat="1" applyFont="1" applyFill="1" applyBorder="1" applyAlignment="1">
      <alignment horizontal="center" vertical="center" wrapText="1"/>
    </xf>
    <xf numFmtId="0" fontId="39" fillId="8" borderId="2" xfId="0" applyNumberFormat="1" applyFont="1" applyFill="1" applyBorder="1" applyAlignment="1">
      <alignment horizontal="center" vertical="center" wrapText="1"/>
    </xf>
    <xf numFmtId="0" fontId="39" fillId="0" borderId="10" xfId="0" applyFont="1" applyBorder="1" applyAlignment="1">
      <alignment horizontal="center" vertical="center" wrapText="1"/>
    </xf>
    <xf numFmtId="4" fontId="35" fillId="0" borderId="15" xfId="0" applyNumberFormat="1" applyFont="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5" fillId="24" borderId="10" xfId="0" applyFont="1" applyFill="1" applyBorder="1" applyAlignment="1">
      <alignment horizontal="center" vertical="center" wrapText="1"/>
    </xf>
    <xf numFmtId="0" fontId="35" fillId="0" borderId="23" xfId="0" applyFont="1" applyFill="1" applyBorder="1" applyAlignment="1">
      <alignment horizontal="center" vertical="center"/>
    </xf>
    <xf numFmtId="4" fontId="31" fillId="0" borderId="17" xfId="0" applyNumberFormat="1" applyFont="1" applyFill="1" applyBorder="1" applyAlignment="1">
      <alignment horizontal="center" vertical="center" wrapText="1"/>
    </xf>
    <xf numFmtId="0" fontId="31" fillId="6" borderId="3" xfId="0" applyFont="1" applyFill="1" applyBorder="1" applyAlignment="1">
      <alignment horizontal="left" vertical="center" wrapText="1"/>
    </xf>
    <xf numFmtId="0" fontId="31" fillId="6" borderId="18" xfId="0" applyFont="1" applyFill="1" applyBorder="1" applyAlignment="1">
      <alignment horizontal="left" vertical="center" wrapText="1"/>
    </xf>
    <xf numFmtId="0" fontId="35" fillId="24" borderId="2" xfId="0" applyNumberFormat="1" applyFont="1" applyFill="1" applyBorder="1" applyAlignment="1">
      <alignment horizontal="center" vertical="center" wrapText="1"/>
    </xf>
    <xf numFmtId="41" fontId="35" fillId="24" borderId="2" xfId="0" applyNumberFormat="1" applyFont="1" applyFill="1" applyBorder="1" applyAlignment="1">
      <alignment horizontal="center" vertical="center" wrapText="1"/>
    </xf>
    <xf numFmtId="0" fontId="31" fillId="8" borderId="5" xfId="0" applyFont="1" applyFill="1" applyBorder="1" applyAlignment="1">
      <alignment horizontal="center" vertical="center" wrapText="1"/>
    </xf>
    <xf numFmtId="0" fontId="39" fillId="0" borderId="1" xfId="0" applyNumberFormat="1" applyFont="1" applyFill="1" applyBorder="1" applyAlignment="1">
      <alignment horizontal="center" vertical="center"/>
    </xf>
    <xf numFmtId="0" fontId="35" fillId="24" borderId="10" xfId="0" applyFont="1" applyFill="1" applyBorder="1" applyAlignment="1">
      <alignment horizontal="left" vertical="center" wrapText="1"/>
    </xf>
    <xf numFmtId="0" fontId="31" fillId="24" borderId="0" xfId="0" applyFont="1" applyFill="1" applyAlignment="1">
      <alignment wrapText="1"/>
    </xf>
    <xf numFmtId="0" fontId="0" fillId="24" borderId="0" xfId="0" applyFill="1" applyAlignment="1">
      <alignment wrapText="1"/>
    </xf>
    <xf numFmtId="41" fontId="35" fillId="24" borderId="2" xfId="0" applyNumberFormat="1" applyFont="1" applyFill="1" applyBorder="1" applyAlignment="1">
      <alignment horizontal="center"/>
    </xf>
    <xf numFmtId="0" fontId="31" fillId="24" borderId="0" xfId="0" applyFont="1" applyFill="1"/>
    <xf numFmtId="0" fontId="0" fillId="24" borderId="0" xfId="0" applyFill="1"/>
    <xf numFmtId="0" fontId="70" fillId="8" borderId="2" xfId="0" applyNumberFormat="1" applyFont="1" applyFill="1" applyBorder="1" applyAlignment="1">
      <alignment horizontal="center" vertical="center" wrapText="1"/>
    </xf>
    <xf numFmtId="41" fontId="39" fillId="8" borderId="2" xfId="0" applyNumberFormat="1" applyFont="1" applyFill="1" applyBorder="1" applyAlignment="1">
      <alignment horizontal="center" vertical="center" wrapText="1"/>
    </xf>
    <xf numFmtId="41" fontId="70" fillId="24" borderId="2" xfId="0" applyNumberFormat="1" applyFont="1" applyFill="1" applyBorder="1" applyAlignment="1">
      <alignment horizontal="center" vertical="center" wrapText="1"/>
    </xf>
    <xf numFmtId="0" fontId="70" fillId="24" borderId="2" xfId="0" applyNumberFormat="1" applyFont="1" applyFill="1" applyBorder="1" applyAlignment="1">
      <alignment horizontal="center" vertical="center" wrapText="1"/>
    </xf>
    <xf numFmtId="1" fontId="70" fillId="8" borderId="2" xfId="0" applyNumberFormat="1" applyFont="1" applyFill="1" applyBorder="1" applyAlignment="1">
      <alignment horizontal="right" vertical="center" wrapText="1"/>
    </xf>
    <xf numFmtId="0" fontId="70" fillId="0" borderId="2" xfId="0" applyNumberFormat="1" applyFont="1" applyBorder="1" applyAlignment="1">
      <alignment horizontal="center" vertical="center" wrapText="1"/>
    </xf>
    <xf numFmtId="41" fontId="70" fillId="0" borderId="3" xfId="0" applyNumberFormat="1" applyFont="1" applyBorder="1" applyAlignment="1">
      <alignment horizontal="center" vertical="center" wrapText="1"/>
    </xf>
    <xf numFmtId="0" fontId="70" fillId="0" borderId="10" xfId="0" applyFont="1" applyBorder="1" applyAlignment="1">
      <alignment horizontal="center" vertical="center" wrapText="1"/>
    </xf>
    <xf numFmtId="0" fontId="70" fillId="0" borderId="2" xfId="0" applyFont="1" applyBorder="1" applyAlignment="1">
      <alignment horizontal="center" vertical="center" wrapText="1"/>
    </xf>
    <xf numFmtId="0" fontId="54" fillId="9" borderId="40" xfId="31" applyFont="1" applyFill="1" applyBorder="1" applyAlignment="1">
      <alignment horizontal="center" vertical="center"/>
    </xf>
    <xf numFmtId="0" fontId="54" fillId="9" borderId="7" xfId="31" applyFont="1" applyFill="1" applyBorder="1" applyAlignment="1">
      <alignment horizontal="center" vertical="center"/>
    </xf>
    <xf numFmtId="0" fontId="54" fillId="9" borderId="8" xfId="31" applyFont="1" applyFill="1" applyBorder="1" applyAlignment="1">
      <alignment horizontal="center" vertical="center"/>
    </xf>
    <xf numFmtId="167" fontId="36" fillId="4" borderId="10" xfId="1" applyNumberFormat="1" applyFont="1" applyFill="1" applyBorder="1" applyAlignment="1">
      <alignment horizontal="center" vertical="center" wrapText="1"/>
    </xf>
    <xf numFmtId="1" fontId="31" fillId="0" borderId="2" xfId="0" applyNumberFormat="1" applyFont="1" applyFill="1" applyBorder="1" applyAlignment="1">
      <alignment horizontal="center" vertical="center" wrapText="1"/>
    </xf>
    <xf numFmtId="0" fontId="31" fillId="0" borderId="21" xfId="0" applyNumberFormat="1" applyFont="1" applyFill="1" applyBorder="1" applyAlignment="1">
      <alignment horizontal="center" vertical="center" wrapText="1"/>
    </xf>
    <xf numFmtId="0" fontId="31" fillId="0" borderId="20" xfId="0" applyNumberFormat="1" applyFont="1" applyFill="1" applyBorder="1" applyAlignment="1">
      <alignment horizontal="center" vertical="center" wrapText="1"/>
    </xf>
    <xf numFmtId="0" fontId="31" fillId="0" borderId="23" xfId="0" applyNumberFormat="1" applyFont="1" applyFill="1" applyBorder="1" applyAlignment="1">
      <alignment horizontal="center" vertical="center" wrapText="1"/>
    </xf>
    <xf numFmtId="1" fontId="31" fillId="0" borderId="7"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31" fillId="0" borderId="17" xfId="0" applyNumberFormat="1" applyFont="1" applyFill="1" applyBorder="1" applyAlignment="1">
      <alignment horizontal="center" vertical="center" wrapText="1"/>
    </xf>
    <xf numFmtId="1" fontId="31" fillId="0" borderId="3" xfId="0" applyNumberFormat="1" applyFont="1" applyFill="1" applyBorder="1" applyAlignment="1">
      <alignment horizontal="center" vertical="center" wrapText="1"/>
    </xf>
    <xf numFmtId="1" fontId="31" fillId="8" borderId="4" xfId="0" applyNumberFormat="1" applyFont="1" applyFill="1" applyBorder="1" applyAlignment="1">
      <alignment horizontal="center" vertical="center" wrapText="1"/>
    </xf>
    <xf numFmtId="1" fontId="31" fillId="8" borderId="2" xfId="0" applyNumberFormat="1" applyFont="1" applyFill="1" applyBorder="1" applyAlignment="1">
      <alignment horizontal="center" vertical="center" wrapText="1"/>
    </xf>
    <xf numFmtId="1" fontId="31" fillId="8" borderId="7" xfId="0" applyNumberFormat="1" applyFont="1" applyFill="1" applyBorder="1" applyAlignment="1">
      <alignment horizontal="center" vertical="center" wrapText="1"/>
    </xf>
    <xf numFmtId="1" fontId="31" fillId="0" borderId="21" xfId="0" applyNumberFormat="1" applyFont="1" applyFill="1" applyBorder="1" applyAlignment="1">
      <alignment horizontal="center" vertical="center" wrapText="1"/>
    </xf>
    <xf numFmtId="1" fontId="31" fillId="0" borderId="20" xfId="0" applyNumberFormat="1"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1" fontId="31" fillId="0" borderId="19" xfId="0" applyNumberFormat="1" applyFont="1" applyFill="1" applyBorder="1" applyAlignment="1">
      <alignment horizontal="center" vertical="center" wrapText="1"/>
    </xf>
    <xf numFmtId="1" fontId="31" fillId="0" borderId="18" xfId="0" applyNumberFormat="1" applyFont="1" applyFill="1" applyBorder="1" applyAlignment="1">
      <alignment horizontal="center" vertical="center" wrapText="1"/>
    </xf>
    <xf numFmtId="1" fontId="31" fillId="0" borderId="16" xfId="0" applyNumberFormat="1" applyFont="1" applyFill="1" applyBorder="1" applyAlignment="1">
      <alignment horizontal="center" vertical="center" wrapText="1"/>
    </xf>
    <xf numFmtId="0" fontId="31" fillId="0" borderId="21" xfId="0" applyFont="1" applyFill="1" applyBorder="1" applyAlignment="1">
      <alignment horizontal="center" vertical="center" wrapText="1"/>
    </xf>
    <xf numFmtId="1" fontId="38" fillId="0" borderId="21" xfId="0" applyNumberFormat="1" applyFont="1" applyFill="1" applyBorder="1" applyAlignment="1">
      <alignment horizontal="center" vertical="center" wrapText="1"/>
    </xf>
    <xf numFmtId="1" fontId="38" fillId="0" borderId="20"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8" borderId="42" xfId="0"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7" xfId="0" applyFont="1" applyFill="1" applyBorder="1" applyAlignment="1">
      <alignment horizontal="center" vertical="center"/>
    </xf>
    <xf numFmtId="167" fontId="36" fillId="4" borderId="0" xfId="1" applyNumberFormat="1" applyFont="1" applyFill="1" applyBorder="1" applyAlignment="1">
      <alignment horizontal="center" vertical="center" wrapText="1"/>
    </xf>
    <xf numFmtId="167" fontId="36" fillId="4" borderId="24" xfId="1"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8" fillId="0" borderId="0" xfId="0" applyFont="1" applyFill="1" applyBorder="1" applyAlignment="1">
      <alignment horizontal="center" vertical="center"/>
    </xf>
    <xf numFmtId="1" fontId="31" fillId="0" borderId="10" xfId="0" applyNumberFormat="1" applyFont="1" applyFill="1" applyBorder="1" applyAlignment="1">
      <alignment horizontal="center" vertical="center" wrapText="1"/>
    </xf>
    <xf numFmtId="1" fontId="31" fillId="0" borderId="64" xfId="0" applyNumberFormat="1" applyFont="1" applyFill="1" applyBorder="1" applyAlignment="1">
      <alignment horizontal="center" vertical="center" wrapText="1"/>
    </xf>
    <xf numFmtId="1" fontId="47" fillId="0" borderId="4" xfId="0" applyNumberFormat="1" applyFont="1" applyFill="1" applyBorder="1" applyAlignment="1">
      <alignment horizontal="center" vertical="center" wrapText="1"/>
    </xf>
    <xf numFmtId="1" fontId="47" fillId="0" borderId="2" xfId="0" applyNumberFormat="1" applyFont="1" applyFill="1" applyBorder="1" applyAlignment="1">
      <alignment horizontal="center" vertical="center" wrapText="1"/>
    </xf>
    <xf numFmtId="1" fontId="38" fillId="0" borderId="21" xfId="0" applyNumberFormat="1" applyFont="1" applyFill="1" applyBorder="1" applyAlignment="1">
      <alignment horizontal="center" vertical="center" wrapText="1"/>
    </xf>
    <xf numFmtId="1" fontId="38" fillId="0" borderId="23" xfId="0" applyNumberFormat="1" applyFont="1" applyFill="1" applyBorder="1" applyAlignment="1">
      <alignment horizontal="center" vertical="center" wrapText="1"/>
    </xf>
    <xf numFmtId="1" fontId="31" fillId="0" borderId="64" xfId="0" applyNumberFormat="1" applyFont="1" applyFill="1" applyBorder="1" applyAlignment="1">
      <alignment horizontal="center" vertical="center" wrapText="1"/>
    </xf>
    <xf numFmtId="0" fontId="70" fillId="24" borderId="10" xfId="0" applyFont="1" applyFill="1" applyBorder="1" applyAlignment="1">
      <alignment horizontal="center" vertical="center" wrapText="1"/>
    </xf>
    <xf numFmtId="0" fontId="72" fillId="0" borderId="6" xfId="0" applyFont="1" applyFill="1" applyBorder="1" applyAlignment="1">
      <alignment horizontal="left" vertical="center" wrapText="1"/>
    </xf>
    <xf numFmtId="0" fontId="33" fillId="20" borderId="43" xfId="0" applyFont="1" applyFill="1" applyBorder="1" applyAlignment="1">
      <alignment horizontal="center" wrapText="1"/>
    </xf>
    <xf numFmtId="0" fontId="33" fillId="20" borderId="44" xfId="0" applyFont="1" applyFill="1" applyBorder="1" applyAlignment="1">
      <alignment horizontal="center" wrapText="1"/>
    </xf>
    <xf numFmtId="0" fontId="33" fillId="20" borderId="12" xfId="0" applyFont="1" applyFill="1" applyBorder="1" applyAlignment="1">
      <alignment horizontal="center" wrapText="1"/>
    </xf>
    <xf numFmtId="41" fontId="34" fillId="21" borderId="2" xfId="0" applyNumberFormat="1" applyFont="1" applyFill="1" applyBorder="1" applyAlignment="1">
      <alignment horizontal="center" vertical="center" wrapText="1"/>
    </xf>
    <xf numFmtId="0" fontId="54" fillId="10" borderId="35" xfId="31" applyFont="1" applyFill="1" applyBorder="1" applyAlignment="1">
      <alignment horizontal="center" vertical="center" wrapText="1"/>
    </xf>
    <xf numFmtId="0" fontId="54" fillId="10" borderId="36" xfId="31" applyFont="1" applyFill="1" applyBorder="1" applyAlignment="1">
      <alignment horizontal="center" vertical="center" wrapText="1"/>
    </xf>
    <xf numFmtId="0" fontId="54" fillId="10" borderId="0" xfId="31" applyFont="1" applyFill="1" applyBorder="1" applyAlignment="1">
      <alignment horizontal="center" vertical="center" wrapText="1"/>
    </xf>
    <xf numFmtId="0" fontId="54" fillId="10" borderId="30" xfId="31" applyFont="1" applyFill="1" applyBorder="1" applyAlignment="1">
      <alignment horizontal="center" vertical="center" wrapText="1"/>
    </xf>
    <xf numFmtId="0" fontId="54" fillId="9" borderId="42" xfId="31" applyFont="1" applyFill="1" applyBorder="1" applyAlignment="1">
      <alignment horizontal="center" vertical="center"/>
    </xf>
    <xf numFmtId="0" fontId="54" fillId="9" borderId="4" xfId="31" applyFont="1" applyFill="1" applyBorder="1" applyAlignment="1">
      <alignment horizontal="center" vertical="center"/>
    </xf>
    <xf numFmtId="0" fontId="54" fillId="9" borderId="5" xfId="31" applyFont="1" applyFill="1" applyBorder="1" applyAlignment="1">
      <alignment horizontal="center" vertical="center"/>
    </xf>
    <xf numFmtId="0" fontId="54" fillId="9" borderId="45" xfId="31" applyFont="1" applyFill="1" applyBorder="1" applyAlignment="1">
      <alignment horizontal="center" vertical="center"/>
    </xf>
    <xf numFmtId="0" fontId="54" fillId="9" borderId="46" xfId="31" applyFont="1" applyFill="1" applyBorder="1" applyAlignment="1">
      <alignment horizontal="center" vertical="center"/>
    </xf>
    <xf numFmtId="0" fontId="54" fillId="9" borderId="47" xfId="31" applyFont="1" applyFill="1" applyBorder="1" applyAlignment="1">
      <alignment horizontal="center" vertical="center"/>
    </xf>
    <xf numFmtId="0" fontId="54" fillId="9" borderId="6" xfId="31" applyFont="1" applyFill="1" applyBorder="1" applyAlignment="1">
      <alignment horizontal="center" vertical="center"/>
    </xf>
    <xf numFmtId="0" fontId="54" fillId="9" borderId="48" xfId="31" applyFont="1" applyFill="1" applyBorder="1" applyAlignment="1">
      <alignment horizontal="center" vertical="center"/>
    </xf>
    <xf numFmtId="0" fontId="54" fillId="9" borderId="49" xfId="31" applyFont="1" applyFill="1" applyBorder="1" applyAlignment="1">
      <alignment horizontal="center" vertical="center"/>
    </xf>
    <xf numFmtId="0" fontId="54" fillId="9" borderId="50" xfId="31" applyFont="1" applyFill="1" applyBorder="1" applyAlignment="1">
      <alignment horizontal="center" vertical="center"/>
    </xf>
    <xf numFmtId="0" fontId="54" fillId="9" borderId="56" xfId="31" applyFont="1" applyFill="1" applyBorder="1" applyAlignment="1">
      <alignment horizontal="center" vertical="center" wrapText="1"/>
    </xf>
    <xf numFmtId="0" fontId="54" fillId="9" borderId="21" xfId="31" applyFont="1" applyFill="1" applyBorder="1" applyAlignment="1">
      <alignment horizontal="center" vertical="center" wrapText="1"/>
    </xf>
    <xf numFmtId="0" fontId="54" fillId="9" borderId="27" xfId="31" applyFont="1" applyFill="1" applyBorder="1" applyAlignment="1">
      <alignment horizontal="center" vertical="center" wrapText="1"/>
    </xf>
    <xf numFmtId="0" fontId="54" fillId="9" borderId="2" xfId="31" applyFont="1" applyFill="1" applyBorder="1" applyAlignment="1">
      <alignment horizontal="center" vertical="center"/>
    </xf>
    <xf numFmtId="0" fontId="54" fillId="9" borderId="40" xfId="31" applyFont="1" applyFill="1" applyBorder="1" applyAlignment="1">
      <alignment horizontal="center" vertical="center"/>
    </xf>
    <xf numFmtId="0" fontId="54" fillId="9" borderId="7" xfId="31" applyFont="1" applyFill="1" applyBorder="1" applyAlignment="1">
      <alignment horizontal="center" vertical="center"/>
    </xf>
    <xf numFmtId="0" fontId="54" fillId="9" borderId="8" xfId="31" applyFont="1" applyFill="1" applyBorder="1" applyAlignment="1">
      <alignment horizontal="center" vertical="center"/>
    </xf>
    <xf numFmtId="0" fontId="54" fillId="9" borderId="51" xfId="31" applyFont="1" applyFill="1" applyBorder="1" applyAlignment="1">
      <alignment horizontal="center" vertical="center" wrapText="1"/>
    </xf>
    <xf numFmtId="0" fontId="54" fillId="9" borderId="52" xfId="31" applyFont="1" applyFill="1" applyBorder="1" applyAlignment="1">
      <alignment horizontal="center" vertical="center" wrapText="1"/>
    </xf>
    <xf numFmtId="0" fontId="54" fillId="9" borderId="53" xfId="31" applyFont="1" applyFill="1" applyBorder="1" applyAlignment="1">
      <alignment horizontal="center" vertical="center" wrapText="1"/>
    </xf>
    <xf numFmtId="0" fontId="54" fillId="9" borderId="48" xfId="31" applyFont="1" applyFill="1" applyBorder="1" applyAlignment="1">
      <alignment horizontal="center" vertical="center" wrapText="1"/>
    </xf>
    <xf numFmtId="0" fontId="54" fillId="9" borderId="49" xfId="31" applyFont="1" applyFill="1" applyBorder="1" applyAlignment="1">
      <alignment horizontal="center" vertical="center" wrapText="1"/>
    </xf>
    <xf numFmtId="0" fontId="54" fillId="9" borderId="50" xfId="31" applyFont="1" applyFill="1" applyBorder="1" applyAlignment="1">
      <alignment horizontal="center" vertical="center" wrapText="1"/>
    </xf>
    <xf numFmtId="0" fontId="54" fillId="9" borderId="54" xfId="31" applyFont="1" applyFill="1" applyBorder="1" applyAlignment="1">
      <alignment horizontal="center" vertical="center"/>
    </xf>
    <xf numFmtId="0" fontId="54" fillId="9" borderId="3" xfId="31" applyFont="1" applyFill="1" applyBorder="1" applyAlignment="1">
      <alignment horizontal="center" vertical="center"/>
    </xf>
    <xf numFmtId="0" fontId="54" fillId="9" borderId="17" xfId="31" applyFont="1" applyFill="1" applyBorder="1" applyAlignment="1">
      <alignment horizontal="center" vertical="center"/>
    </xf>
    <xf numFmtId="0" fontId="54" fillId="9" borderId="55" xfId="31" applyFont="1" applyFill="1" applyBorder="1" applyAlignment="1">
      <alignment horizontal="center" vertical="center"/>
    </xf>
    <xf numFmtId="14" fontId="54" fillId="9" borderId="42" xfId="31" applyNumberFormat="1" applyFont="1" applyFill="1" applyBorder="1" applyAlignment="1">
      <alignment horizontal="center" vertical="center" wrapText="1"/>
    </xf>
    <xf numFmtId="14" fontId="54" fillId="9" borderId="47" xfId="31" applyNumberFormat="1" applyFont="1" applyFill="1" applyBorder="1" applyAlignment="1">
      <alignment horizontal="center" vertical="center" wrapText="1"/>
    </xf>
    <xf numFmtId="14" fontId="54" fillId="9" borderId="40" xfId="31" applyNumberFormat="1" applyFont="1" applyFill="1" applyBorder="1" applyAlignment="1">
      <alignment horizontal="center" vertical="center" wrapText="1"/>
    </xf>
    <xf numFmtId="14" fontId="54" fillId="9" borderId="5" xfId="31" applyNumberFormat="1" applyFont="1" applyFill="1" applyBorder="1" applyAlignment="1">
      <alignment horizontal="center" vertical="center" wrapText="1"/>
    </xf>
    <xf numFmtId="14" fontId="54" fillId="9" borderId="6" xfId="31" applyNumberFormat="1" applyFont="1" applyFill="1" applyBorder="1" applyAlignment="1">
      <alignment horizontal="center" vertical="center" wrapText="1"/>
    </xf>
    <xf numFmtId="14" fontId="54" fillId="9" borderId="8" xfId="31" applyNumberFormat="1" applyFont="1" applyFill="1" applyBorder="1" applyAlignment="1">
      <alignment horizontal="center" vertical="center" wrapText="1"/>
    </xf>
    <xf numFmtId="0" fontId="54" fillId="9" borderId="42" xfId="31" applyFont="1" applyFill="1" applyBorder="1" applyAlignment="1">
      <alignment horizontal="center" vertical="center" wrapText="1"/>
    </xf>
    <xf numFmtId="0" fontId="54" fillId="9" borderId="47" xfId="31" applyFont="1" applyFill="1" applyBorder="1" applyAlignment="1">
      <alignment horizontal="center" vertical="center" wrapText="1"/>
    </xf>
    <xf numFmtId="0" fontId="54" fillId="9" borderId="40" xfId="31" applyFont="1" applyFill="1" applyBorder="1" applyAlignment="1">
      <alignment horizontal="center" vertical="center" wrapText="1"/>
    </xf>
    <xf numFmtId="0" fontId="54" fillId="9" borderId="4" xfId="31" applyFont="1" applyFill="1" applyBorder="1" applyAlignment="1">
      <alignment horizontal="center" vertical="center" wrapText="1"/>
    </xf>
    <xf numFmtId="0" fontId="54" fillId="9" borderId="2" xfId="31" applyFont="1" applyFill="1" applyBorder="1" applyAlignment="1">
      <alignment horizontal="center" vertical="center" wrapText="1"/>
    </xf>
    <xf numFmtId="0" fontId="54" fillId="9" borderId="7" xfId="31" applyFont="1" applyFill="1" applyBorder="1" applyAlignment="1">
      <alignment horizontal="center" vertical="center" wrapText="1"/>
    </xf>
    <xf numFmtId="177" fontId="54" fillId="9" borderId="4" xfId="31" applyNumberFormat="1" applyFont="1" applyFill="1" applyBorder="1" applyAlignment="1">
      <alignment horizontal="center" vertical="center" wrapText="1"/>
    </xf>
    <xf numFmtId="177" fontId="54" fillId="9" borderId="2" xfId="31" applyNumberFormat="1" applyFont="1" applyFill="1" applyBorder="1" applyAlignment="1">
      <alignment horizontal="center" vertical="center" wrapText="1"/>
    </xf>
    <xf numFmtId="177" fontId="54" fillId="9" borderId="7" xfId="31" applyNumberFormat="1" applyFont="1" applyFill="1" applyBorder="1" applyAlignment="1">
      <alignment horizontal="center" vertical="center" wrapText="1"/>
    </xf>
    <xf numFmtId="185" fontId="54" fillId="9" borderId="5" xfId="31" applyNumberFormat="1" applyFont="1" applyFill="1" applyBorder="1" applyAlignment="1">
      <alignment horizontal="center" vertical="center" wrapText="1"/>
    </xf>
    <xf numFmtId="185" fontId="54" fillId="9" borderId="6" xfId="31" applyNumberFormat="1" applyFont="1" applyFill="1" applyBorder="1" applyAlignment="1">
      <alignment horizontal="center" vertical="center" wrapText="1"/>
    </xf>
    <xf numFmtId="185" fontId="54" fillId="9" borderId="8" xfId="31" applyNumberFormat="1"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22"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2" xfId="0" applyNumberFormat="1" applyFont="1" applyFill="1" applyBorder="1" applyAlignment="1">
      <alignment horizontal="center" vertical="center" wrapText="1"/>
    </xf>
    <xf numFmtId="1" fontId="31" fillId="0" borderId="7" xfId="0" applyNumberFormat="1" applyFont="1" applyFill="1" applyBorder="1" applyAlignment="1">
      <alignment horizontal="center" vertical="center" wrapText="1"/>
    </xf>
    <xf numFmtId="0" fontId="31" fillId="0" borderId="21" xfId="0" applyNumberFormat="1" applyFont="1" applyFill="1" applyBorder="1" applyAlignment="1">
      <alignment horizontal="center" vertical="center" wrapText="1"/>
    </xf>
    <xf numFmtId="0" fontId="31" fillId="0" borderId="20" xfId="0" applyNumberFormat="1" applyFont="1" applyFill="1" applyBorder="1" applyAlignment="1">
      <alignment horizontal="center" vertical="center" wrapText="1"/>
    </xf>
    <xf numFmtId="0" fontId="31" fillId="0" borderId="23" xfId="0" applyNumberFormat="1"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23" xfId="0" applyFont="1" applyFill="1" applyBorder="1" applyAlignment="1">
      <alignment horizontal="center" vertical="center" wrapText="1"/>
    </xf>
    <xf numFmtId="1" fontId="31" fillId="0" borderId="19" xfId="0" applyNumberFormat="1" applyFont="1" applyFill="1" applyBorder="1" applyAlignment="1">
      <alignment horizontal="center" vertical="center" wrapText="1"/>
    </xf>
    <xf numFmtId="1" fontId="31" fillId="0" borderId="58" xfId="0" applyNumberFormat="1" applyFont="1" applyFill="1" applyBorder="1" applyAlignment="1">
      <alignment horizontal="center" vertical="center" wrapText="1"/>
    </xf>
    <xf numFmtId="1" fontId="31" fillId="0" borderId="18" xfId="0" applyNumberFormat="1" applyFont="1" applyFill="1" applyBorder="1" applyAlignment="1">
      <alignment horizontal="center" vertical="center" wrapText="1"/>
    </xf>
    <xf numFmtId="1" fontId="31" fillId="0" borderId="17" xfId="0" applyNumberFormat="1" applyFont="1" applyFill="1" applyBorder="1" applyAlignment="1">
      <alignment horizontal="center" vertical="center" wrapText="1"/>
    </xf>
    <xf numFmtId="1" fontId="31" fillId="0" borderId="57" xfId="0" applyNumberFormat="1" applyFont="1" applyFill="1" applyBorder="1" applyAlignment="1">
      <alignment horizontal="center" vertical="center" wrapText="1"/>
    </xf>
    <xf numFmtId="1" fontId="31" fillId="0" borderId="3" xfId="0" applyNumberFormat="1" applyFont="1" applyFill="1" applyBorder="1" applyAlignment="1">
      <alignment horizontal="center" vertical="center" wrapText="1"/>
    </xf>
    <xf numFmtId="1" fontId="31" fillId="0" borderId="15" xfId="0" applyNumberFormat="1" applyFont="1" applyFill="1" applyBorder="1" applyAlignment="1">
      <alignment horizontal="center" vertical="center" wrapText="1"/>
    </xf>
    <xf numFmtId="1" fontId="31" fillId="0" borderId="59" xfId="0" applyNumberFormat="1" applyFont="1" applyFill="1" applyBorder="1" applyAlignment="1">
      <alignment horizontal="center" vertical="center" wrapText="1"/>
    </xf>
    <xf numFmtId="1" fontId="31" fillId="0" borderId="16"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1" fontId="31" fillId="0" borderId="21" xfId="0" applyNumberFormat="1" applyFont="1" applyFill="1" applyBorder="1" applyAlignment="1">
      <alignment horizontal="center" vertical="center" wrapText="1"/>
    </xf>
    <xf numFmtId="1" fontId="31" fillId="0" borderId="20" xfId="0" applyNumberFormat="1" applyFont="1" applyFill="1" applyBorder="1" applyAlignment="1">
      <alignment horizontal="center" vertical="center" wrapText="1"/>
    </xf>
    <xf numFmtId="1" fontId="31" fillId="0" borderId="23"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40" xfId="0" applyFont="1" applyFill="1" applyBorder="1" applyAlignment="1">
      <alignment horizontal="center" vertical="center"/>
    </xf>
    <xf numFmtId="1" fontId="31" fillId="8" borderId="7" xfId="0" applyNumberFormat="1" applyFont="1" applyFill="1" applyBorder="1" applyAlignment="1">
      <alignment horizontal="center" vertical="center" wrapText="1"/>
    </xf>
    <xf numFmtId="1" fontId="31" fillId="8" borderId="4" xfId="0" applyNumberFormat="1" applyFont="1" applyFill="1" applyBorder="1" applyAlignment="1">
      <alignment horizontal="center" vertical="center" wrapText="1"/>
    </xf>
    <xf numFmtId="1" fontId="31" fillId="8" borderId="2" xfId="0" applyNumberFormat="1" applyFont="1" applyFill="1" applyBorder="1" applyAlignment="1">
      <alignment horizontal="center" vertical="center" wrapText="1"/>
    </xf>
    <xf numFmtId="1" fontId="2" fillId="8" borderId="2" xfId="0" applyNumberFormat="1" applyFont="1" applyFill="1" applyBorder="1" applyAlignment="1">
      <alignment horizontal="center" vertical="center" wrapText="1"/>
    </xf>
    <xf numFmtId="167" fontId="36" fillId="4" borderId="2" xfId="1" applyNumberFormat="1" applyFont="1" applyFill="1" applyBorder="1" applyAlignment="1">
      <alignment horizontal="center" vertical="center" wrapText="1"/>
    </xf>
    <xf numFmtId="167" fontId="36" fillId="4" borderId="10" xfId="1" applyNumberFormat="1" applyFont="1" applyFill="1" applyBorder="1" applyAlignment="1">
      <alignment horizontal="center" vertical="center" wrapText="1"/>
    </xf>
    <xf numFmtId="167" fontId="36" fillId="4" borderId="23" xfId="1" applyNumberFormat="1" applyFont="1" applyFill="1" applyBorder="1" applyAlignment="1">
      <alignment horizontal="center" vertical="center" wrapText="1"/>
    </xf>
    <xf numFmtId="167" fontId="36" fillId="20" borderId="2" xfId="1" applyNumberFormat="1" applyFont="1" applyFill="1" applyBorder="1" applyAlignment="1">
      <alignment horizontal="center" vertical="center" wrapText="1"/>
    </xf>
    <xf numFmtId="167" fontId="36" fillId="20" borderId="10" xfId="1" applyNumberFormat="1" applyFont="1" applyFill="1" applyBorder="1" applyAlignment="1">
      <alignment horizontal="center" vertical="center" wrapText="1"/>
    </xf>
    <xf numFmtId="9" fontId="36" fillId="4" borderId="2" xfId="33" applyFont="1" applyFill="1" applyBorder="1" applyAlignment="1">
      <alignment horizontal="center" vertical="center" wrapText="1"/>
    </xf>
    <xf numFmtId="9" fontId="36" fillId="4" borderId="10" xfId="33" applyFont="1" applyFill="1" applyBorder="1" applyAlignment="1">
      <alignment horizontal="center" vertical="center" wrapText="1"/>
    </xf>
    <xf numFmtId="14" fontId="36" fillId="4" borderId="2" xfId="1" applyNumberFormat="1" applyFont="1" applyFill="1" applyBorder="1" applyAlignment="1">
      <alignment horizontal="center" vertical="center" wrapText="1"/>
    </xf>
    <xf numFmtId="14" fontId="36" fillId="4" borderId="10" xfId="1" applyNumberFormat="1" applyFont="1" applyFill="1" applyBorder="1" applyAlignment="1">
      <alignment horizontal="center" vertical="center" wrapText="1"/>
    </xf>
    <xf numFmtId="0" fontId="36" fillId="4" borderId="2" xfId="1" applyNumberFormat="1" applyFont="1" applyFill="1" applyBorder="1" applyAlignment="1">
      <alignment horizontal="center" vertical="center" wrapText="1"/>
    </xf>
    <xf numFmtId="0" fontId="36" fillId="4" borderId="10" xfId="1" applyNumberFormat="1" applyFont="1" applyFill="1" applyBorder="1" applyAlignment="1">
      <alignment horizontal="center" vertical="center" wrapText="1"/>
    </xf>
    <xf numFmtId="0" fontId="36" fillId="20" borderId="10" xfId="1" applyNumberFormat="1" applyFont="1" applyFill="1" applyBorder="1" applyAlignment="1">
      <alignment horizontal="center" vertical="center" wrapText="1"/>
    </xf>
    <xf numFmtId="0" fontId="36" fillId="20" borderId="23" xfId="1" applyNumberFormat="1" applyFont="1" applyFill="1" applyBorder="1" applyAlignment="1">
      <alignment horizontal="center" vertical="center" wrapText="1"/>
    </xf>
    <xf numFmtId="167" fontId="63" fillId="4" borderId="2" xfId="1" applyNumberFormat="1" applyFont="1" applyFill="1" applyBorder="1" applyAlignment="1">
      <alignment horizontal="center" vertical="center" wrapText="1"/>
    </xf>
    <xf numFmtId="167" fontId="63" fillId="4" borderId="10" xfId="1" applyNumberFormat="1" applyFont="1" applyFill="1" applyBorder="1" applyAlignment="1">
      <alignment horizontal="center" vertical="center" wrapText="1"/>
    </xf>
    <xf numFmtId="167" fontId="64" fillId="4" borderId="2" xfId="1" applyNumberFormat="1" applyFont="1" applyFill="1" applyBorder="1" applyAlignment="1">
      <alignment horizontal="center" vertical="center" wrapText="1"/>
    </xf>
    <xf numFmtId="167" fontId="64" fillId="4" borderId="10" xfId="1" applyNumberFormat="1" applyFont="1" applyFill="1" applyBorder="1" applyAlignment="1">
      <alignment horizontal="center" vertical="center" wrapText="1"/>
    </xf>
    <xf numFmtId="167" fontId="64" fillId="20" borderId="2" xfId="1" applyNumberFormat="1" applyFont="1" applyFill="1" applyBorder="1" applyAlignment="1">
      <alignment horizontal="center" vertical="center" wrapText="1"/>
    </xf>
    <xf numFmtId="167" fontId="64" fillId="20" borderId="10" xfId="1" applyNumberFormat="1" applyFont="1" applyFill="1" applyBorder="1" applyAlignment="1">
      <alignment horizontal="center" vertical="center" wrapText="1"/>
    </xf>
    <xf numFmtId="167" fontId="64" fillId="22" borderId="10" xfId="1" applyNumberFormat="1" applyFont="1" applyFill="1" applyBorder="1" applyAlignment="1">
      <alignment horizontal="center" vertical="center" wrapText="1"/>
    </xf>
    <xf numFmtId="167" fontId="64" fillId="22" borderId="20" xfId="1" applyNumberFormat="1" applyFont="1" applyFill="1" applyBorder="1" applyAlignment="1">
      <alignment horizontal="center" vertical="center" wrapText="1"/>
    </xf>
    <xf numFmtId="1" fontId="38" fillId="0" borderId="21" xfId="0" applyNumberFormat="1" applyFont="1" applyFill="1" applyBorder="1" applyAlignment="1">
      <alignment horizontal="center" vertical="center" wrapText="1"/>
    </xf>
    <xf numFmtId="1" fontId="38" fillId="0" borderId="20" xfId="0" applyNumberFormat="1" applyFont="1" applyFill="1" applyBorder="1" applyAlignment="1">
      <alignment horizontal="center" vertical="center" wrapText="1"/>
    </xf>
    <xf numFmtId="1" fontId="38" fillId="0" borderId="23" xfId="0" applyNumberFormat="1" applyFont="1" applyFill="1" applyBorder="1" applyAlignment="1">
      <alignment horizontal="center" vertical="center" wrapText="1"/>
    </xf>
    <xf numFmtId="1" fontId="31" fillId="0" borderId="21" xfId="0" quotePrefix="1" applyNumberFormat="1" applyFont="1" applyFill="1" applyBorder="1" applyAlignment="1">
      <alignment horizontal="center" vertical="center" wrapText="1"/>
    </xf>
    <xf numFmtId="185" fontId="36" fillId="20" borderId="2" xfId="1" applyNumberFormat="1" applyFont="1" applyFill="1" applyBorder="1" applyAlignment="1">
      <alignment horizontal="right" vertical="center" wrapText="1"/>
    </xf>
    <xf numFmtId="185" fontId="36" fillId="20" borderId="10" xfId="1" applyNumberFormat="1" applyFont="1" applyFill="1" applyBorder="1" applyAlignment="1">
      <alignment horizontal="right" vertical="center" wrapText="1"/>
    </xf>
    <xf numFmtId="167" fontId="65" fillId="20" borderId="2" xfId="1" applyNumberFormat="1" applyFont="1" applyFill="1" applyBorder="1" applyAlignment="1">
      <alignment horizontal="center" vertical="center" wrapText="1"/>
    </xf>
    <xf numFmtId="167" fontId="65" fillId="20" borderId="10" xfId="1" applyNumberFormat="1" applyFont="1" applyFill="1" applyBorder="1" applyAlignment="1">
      <alignment horizontal="center" vertical="center" wrapText="1"/>
    </xf>
    <xf numFmtId="167" fontId="36" fillId="20" borderId="23" xfId="1" applyNumberFormat="1" applyFont="1" applyFill="1" applyBorder="1" applyAlignment="1">
      <alignment horizontal="center" vertical="center" wrapText="1"/>
    </xf>
    <xf numFmtId="1" fontId="71" fillId="0" borderId="21" xfId="0" applyNumberFormat="1" applyFont="1" applyFill="1" applyBorder="1" applyAlignment="1">
      <alignment horizontal="center" vertical="center" wrapText="1"/>
    </xf>
    <xf numFmtId="1" fontId="71" fillId="0" borderId="20" xfId="0" applyNumberFormat="1" applyFont="1" applyFill="1" applyBorder="1" applyAlignment="1">
      <alignment horizontal="center" vertical="center" wrapText="1"/>
    </xf>
    <xf numFmtId="1" fontId="71" fillId="0" borderId="23" xfId="0" applyNumberFormat="1" applyFont="1" applyFill="1" applyBorder="1" applyAlignment="1">
      <alignment horizontal="center" vertical="center" wrapText="1"/>
    </xf>
    <xf numFmtId="0" fontId="38" fillId="0" borderId="42" xfId="0" applyFont="1" applyFill="1" applyBorder="1" applyAlignment="1">
      <alignment horizontal="center" vertical="center"/>
    </xf>
    <xf numFmtId="0" fontId="38" fillId="0" borderId="47" xfId="0" applyFont="1" applyFill="1" applyBorder="1" applyAlignment="1">
      <alignment horizontal="center" vertical="center"/>
    </xf>
    <xf numFmtId="0" fontId="38" fillId="0" borderId="40" xfId="0" applyFont="1" applyFill="1" applyBorder="1" applyAlignment="1">
      <alignment horizontal="center" vertical="center"/>
    </xf>
    <xf numFmtId="1" fontId="31" fillId="0" borderId="20" xfId="0" quotePrefix="1" applyNumberFormat="1" applyFont="1" applyFill="1" applyBorder="1" applyAlignment="1">
      <alignment horizontal="center" vertical="center" wrapText="1"/>
    </xf>
    <xf numFmtId="0" fontId="31" fillId="0" borderId="60" xfId="0" applyFont="1" applyFill="1" applyBorder="1" applyAlignment="1">
      <alignment horizontal="center" vertical="center"/>
    </xf>
    <xf numFmtId="0" fontId="33" fillId="20" borderId="11" xfId="0" applyFont="1" applyFill="1" applyBorder="1" applyAlignment="1">
      <alignment horizontal="center" wrapText="1"/>
    </xf>
    <xf numFmtId="0" fontId="33" fillId="20" borderId="0" xfId="0" applyFont="1" applyFill="1" applyBorder="1" applyAlignment="1">
      <alignment horizontal="center" wrapText="1"/>
    </xf>
    <xf numFmtId="0" fontId="35" fillId="0" borderId="5"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41"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8" borderId="42" xfId="0" applyFont="1" applyFill="1" applyBorder="1" applyAlignment="1">
      <alignment horizontal="center" vertical="center" wrapText="1"/>
    </xf>
    <xf numFmtId="0" fontId="35" fillId="8" borderId="40" xfId="0" applyFont="1" applyFill="1" applyBorder="1" applyAlignment="1">
      <alignment horizontal="center" vertical="center" wrapText="1"/>
    </xf>
    <xf numFmtId="0" fontId="35" fillId="8" borderId="61"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7" xfId="0" applyFont="1" applyFill="1" applyBorder="1" applyAlignment="1">
      <alignment horizontal="center" vertical="center"/>
    </xf>
    <xf numFmtId="0" fontId="35" fillId="8" borderId="47"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8"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35" fillId="8" borderId="37"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0" fillId="0" borderId="0" xfId="32" applyAlignment="1">
      <alignment horizontal="left" vertical="top" wrapText="1"/>
    </xf>
    <xf numFmtId="0" fontId="66" fillId="0" borderId="0" xfId="32" applyFont="1" applyAlignment="1">
      <alignment horizontal="left" vertical="top" wrapText="1"/>
    </xf>
    <xf numFmtId="0" fontId="67" fillId="0" borderId="75" xfId="32" applyFont="1" applyBorder="1" applyAlignment="1">
      <alignment horizontal="left" vertical="top" wrapText="1"/>
    </xf>
    <xf numFmtId="0" fontId="68" fillId="0" borderId="0" xfId="32" applyFont="1" applyAlignment="1">
      <alignment horizontal="left" vertical="top" wrapText="1"/>
    </xf>
    <xf numFmtId="167" fontId="36" fillId="4" borderId="24" xfId="1" applyNumberFormat="1" applyFont="1" applyFill="1" applyBorder="1" applyAlignment="1">
      <alignment horizontal="center" vertical="center" wrapText="1"/>
    </xf>
    <xf numFmtId="167" fontId="36" fillId="20" borderId="20" xfId="1" applyNumberFormat="1" applyFont="1" applyFill="1" applyBorder="1" applyAlignment="1">
      <alignment horizontal="center" vertical="center" wrapText="1"/>
    </xf>
    <xf numFmtId="167" fontId="36" fillId="4" borderId="0" xfId="1" applyNumberFormat="1" applyFont="1" applyFill="1" applyBorder="1" applyAlignment="1">
      <alignment horizontal="center" vertical="center" wrapText="1"/>
    </xf>
    <xf numFmtId="167" fontId="36" fillId="20" borderId="24" xfId="1" applyNumberFormat="1" applyFont="1" applyFill="1" applyBorder="1" applyAlignment="1">
      <alignment horizontal="center" vertical="center" wrapText="1"/>
    </xf>
    <xf numFmtId="167" fontId="36" fillId="20" borderId="0" xfId="1" applyNumberFormat="1" applyFont="1" applyFill="1" applyBorder="1" applyAlignment="1">
      <alignment horizontal="center" vertical="center" wrapText="1"/>
    </xf>
    <xf numFmtId="0" fontId="36" fillId="4" borderId="0" xfId="1" applyNumberFormat="1" applyFont="1" applyFill="1" applyBorder="1" applyAlignment="1">
      <alignment horizontal="left" vertical="center" wrapText="1"/>
    </xf>
    <xf numFmtId="0" fontId="38" fillId="0" borderId="2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36"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3" xfId="0" applyFont="1" applyFill="1" applyBorder="1" applyAlignment="1">
      <alignment horizontal="center" vertical="center"/>
    </xf>
    <xf numFmtId="0" fontId="0" fillId="0" borderId="29" xfId="0" applyFill="1" applyBorder="1" applyAlignment="1">
      <alignment horizontal="left" vertical="top" wrapText="1"/>
    </xf>
    <xf numFmtId="0" fontId="0" fillId="0" borderId="29" xfId="0" applyFill="1" applyBorder="1" applyAlignment="1">
      <alignment horizontal="left" vertical="top"/>
    </xf>
    <xf numFmtId="0" fontId="36" fillId="4" borderId="0" xfId="1" applyFont="1" applyFill="1" applyBorder="1" applyAlignment="1">
      <alignment horizontal="center" vertical="center" wrapText="1"/>
    </xf>
    <xf numFmtId="0" fontId="31" fillId="0" borderId="63" xfId="0" applyFont="1" applyFill="1" applyBorder="1" applyAlignment="1">
      <alignment horizontal="center" vertical="center"/>
    </xf>
    <xf numFmtId="1" fontId="31" fillId="0" borderId="10" xfId="0" applyNumberFormat="1" applyFont="1" applyFill="1" applyBorder="1" applyAlignment="1">
      <alignment horizontal="center" vertical="center" wrapText="1"/>
    </xf>
    <xf numFmtId="0" fontId="31" fillId="0" borderId="62"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37" xfId="0" applyFont="1" applyFill="1" applyBorder="1" applyAlignment="1">
      <alignment horizontal="center" vertical="center"/>
    </xf>
    <xf numFmtId="167" fontId="64" fillId="20" borderId="20" xfId="1" applyNumberFormat="1" applyFont="1" applyFill="1" applyBorder="1" applyAlignment="1">
      <alignment horizontal="center" vertical="center" wrapText="1"/>
    </xf>
    <xf numFmtId="0" fontId="31" fillId="23" borderId="36" xfId="0" applyFont="1" applyFill="1" applyBorder="1" applyAlignment="1">
      <alignment horizontal="center" vertical="center"/>
    </xf>
    <xf numFmtId="0" fontId="31" fillId="23" borderId="30" xfId="0" applyFont="1" applyFill="1" applyBorder="1" applyAlignment="1">
      <alignment horizontal="center" vertical="center"/>
    </xf>
    <xf numFmtId="0" fontId="31" fillId="23" borderId="66" xfId="0" applyFont="1" applyFill="1" applyBorder="1" applyAlignment="1">
      <alignment horizontal="center" vertical="center"/>
    </xf>
    <xf numFmtId="0" fontId="0" fillId="7" borderId="14" xfId="0" applyFill="1" applyBorder="1" applyAlignment="1">
      <alignment horizontal="center" vertical="center"/>
    </xf>
    <xf numFmtId="0" fontId="0" fillId="7" borderId="41" xfId="0" applyFill="1" applyBorder="1" applyAlignment="1">
      <alignment horizontal="center" vertical="center"/>
    </xf>
    <xf numFmtId="0" fontId="0" fillId="7" borderId="9" xfId="0" applyFill="1" applyBorder="1" applyAlignment="1">
      <alignment horizontal="center" vertical="center"/>
    </xf>
    <xf numFmtId="167" fontId="69" fillId="4" borderId="2" xfId="1" applyNumberFormat="1" applyFont="1" applyFill="1" applyBorder="1" applyAlignment="1">
      <alignment horizontal="center" vertical="center" wrapText="1"/>
    </xf>
    <xf numFmtId="167" fontId="69" fillId="4" borderId="10" xfId="1" applyNumberFormat="1" applyFont="1" applyFill="1" applyBorder="1" applyAlignment="1">
      <alignment horizontal="center" vertical="center" wrapText="1"/>
    </xf>
    <xf numFmtId="1" fontId="47" fillId="0" borderId="2" xfId="0" applyNumberFormat="1" applyFont="1" applyFill="1" applyBorder="1" applyAlignment="1">
      <alignment horizontal="center" vertical="center" wrapText="1"/>
    </xf>
    <xf numFmtId="1" fontId="47" fillId="0" borderId="4" xfId="0" applyNumberFormat="1" applyFont="1" applyFill="1" applyBorder="1" applyAlignment="1">
      <alignment horizontal="center" vertical="center" wrapText="1"/>
    </xf>
    <xf numFmtId="1" fontId="31" fillId="0" borderId="64" xfId="0" applyNumberFormat="1" applyFont="1" applyFill="1" applyBorder="1" applyAlignment="1">
      <alignment horizontal="center" vertical="center" wrapText="1"/>
    </xf>
    <xf numFmtId="1" fontId="31" fillId="0" borderId="65" xfId="0" applyNumberFormat="1" applyFont="1" applyFill="1" applyBorder="1" applyAlignment="1">
      <alignment horizontal="center" vertical="center" wrapText="1"/>
    </xf>
    <xf numFmtId="1" fontId="31" fillId="0" borderId="13" xfId="0" applyNumberFormat="1" applyFont="1" applyFill="1" applyBorder="1" applyAlignment="1">
      <alignment horizontal="center" vertical="center" wrapText="1"/>
    </xf>
    <xf numFmtId="0" fontId="35" fillId="0" borderId="42"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63" xfId="0" applyFont="1" applyBorder="1" applyAlignment="1">
      <alignment horizontal="center" vertical="center" wrapText="1"/>
    </xf>
    <xf numFmtId="0" fontId="31" fillId="0" borderId="45"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67" xfId="0" applyFont="1" applyFill="1" applyBorder="1" applyAlignment="1">
      <alignment horizontal="center" vertical="center"/>
    </xf>
    <xf numFmtId="0" fontId="31" fillId="8" borderId="42"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40" xfId="0" applyFont="1" applyFill="1" applyBorder="1" applyAlignment="1">
      <alignment horizontal="center" vertical="center"/>
    </xf>
  </cellXfs>
  <cellStyles count="39">
    <cellStyle name="60% - Énfasis1" xfId="1" builtinId="32"/>
    <cellStyle name="60% - Énfasis1 2" xfId="2"/>
    <cellStyle name="60% - Énfasis3" xfId="3" builtinId="40"/>
    <cellStyle name="Comma 2" xfId="4"/>
    <cellStyle name="Hipervínculo 2" xfId="5"/>
    <cellStyle name="Millares" xfId="6" builtinId="3"/>
    <cellStyle name="Millares [0] 2" xfId="7"/>
    <cellStyle name="Millares 2" xfId="8"/>
    <cellStyle name="Millares 2 2" xfId="9"/>
    <cellStyle name="Millares 3" xfId="10"/>
    <cellStyle name="Moneda [0] 2" xfId="11"/>
    <cellStyle name="Moneda 10" xfId="12"/>
    <cellStyle name="Moneda 11" xfId="13"/>
    <cellStyle name="Moneda 12" xfId="14"/>
    <cellStyle name="Moneda 2" xfId="15"/>
    <cellStyle name="Moneda 2 12 2" xfId="16"/>
    <cellStyle name="Moneda 3" xfId="17"/>
    <cellStyle name="Moneda 4" xfId="18"/>
    <cellStyle name="Moneda 5" xfId="19"/>
    <cellStyle name="Moneda 6" xfId="20"/>
    <cellStyle name="Moneda 7" xfId="21"/>
    <cellStyle name="Moneda 8" xfId="22"/>
    <cellStyle name="Moneda 9" xfId="23"/>
    <cellStyle name="Normal" xfId="0" builtinId="0"/>
    <cellStyle name="Normal 11 45 9" xfId="24"/>
    <cellStyle name="Normal 11 45 9 2" xfId="25"/>
    <cellStyle name="Normal 2" xfId="26"/>
    <cellStyle name="Normal 3" xfId="27"/>
    <cellStyle name="Normal 3 2" xfId="28"/>
    <cellStyle name="Normal 4" xfId="29"/>
    <cellStyle name="Normal 5" xfId="30"/>
    <cellStyle name="Normal 6" xfId="31"/>
    <cellStyle name="Normal 7" xfId="32"/>
    <cellStyle name="Porcentaje" xfId="33" builtinId="5"/>
    <cellStyle name="Porcentual 2" xfId="34"/>
    <cellStyle name="Porcentual 2 2" xfId="35"/>
    <cellStyle name="Porcentual 2 2 2" xfId="36"/>
    <cellStyle name="Porcentual 2 3" xfId="37"/>
    <cellStyle name="Porcentual 3" xfId="38"/>
  </cellStyles>
  <dxfs count="2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toro\Desktop\2.%20Matriz%20T&#233;cnica%20VJ-VGC-003-2016_P.06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toro\Desktop\2.%20Matriz%20T&#233;cnica%20VJ-VGC-003-2016_P.21_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dominguez\Downloads\2.%20Matriz%20T&#233;cnica%20VJ-VGC-003-2016%20DEL%20P6%20AL%20P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Copia%20de%20MATRIZ%20TECNICA%20VJ-VGC-023-2015%20NUS%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20DEFINITIV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20DEFINITIVA%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9-02-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VA5_ANI\Downloads\MATRIZ%20TECNICA%20VJ-VGC-023-2015%20NUS9-0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200902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UARIO\Downloads\DA_PROCESO_15-15-4479332_124001001_186025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VA3_ANI\AppData\Local\Microsoft\Windows\Temporary%20Internet%20Files\Content.IE5\Q2I7BP33\EVALUACI&#211;N%20DE%20INTERVENTOR&#205;A%20-%20VIAS%20DE%20NUS\Copia%20de%20MATRIZ%20TECNICA%20VJ-VGC-023-2015%20NUS%20(Compilado)%20AND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VA5_ANI\Downloads\MATRIZ%20TECNICA%20VJ-VGC-023-2015%20NUS%20DEFINITI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20prop%2042-4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USUARIO\AppData\Local\Temp\Copia%20de%20MATRIZ%20TECNICA%20VJ-VGC-001-2016-AMC%2025-2-16%20JOYC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SUARIO\Downloads\MATRIZ%20TECNICA%20VJ-VGC-001-2016-AMC%20P6-1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SUARIO\Downloads\DA_PROCESO_16-15-4594582_124001001_1862395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ramirez\AppData\Local\Microsoft\Windows\Temporary%20Internet%20Files\Content.Outlook\Y2JWMDD0\MATRIZ%20TECNICA%20VJ-VGC-023-2015%20NUS%200902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ramirez\AppData\Local\Microsoft\Windows\Temporary%20Internet%20Files\Content.Outlook\Y2JWMDD0\MATRIZ%20TECNICA%20VJ-VGC-023-2015%20NUS9-02-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USUARIO\Downloads\MATRIZ%20TECNICA%20VJ-VGC-001-2016-AMC-20-2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UARIO\Downloads\MATRIZ%20TECNICA%20VJ-VGC-001-2016-AMC%2025-2-16%20ANDR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SUARIO\Downloads\MATRIZ%20TECNICA%20VJ-VGC-001-2016-AMC%20ANDR&#201;S%20PARRADO%20Y%20ANDRES%20BELTRAN%2034-40%2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USUARIO\Downloads\MATRIZ%20TECNICA%20VJ-VGC-023-2015%20NUS%20(Versi&#243;n%20&#250;ltim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EVA1_ANI\Downloads\MATRIZ%20TECNICA%20VJ-VGC-023-2015%20NUS9-02-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6-10"/>
      <sheetName val="EXP ESPEC 6-10"/>
      <sheetName val="DESEMPATE"/>
      <sheetName val="019 - Gen."/>
      <sheetName val="019 - Espc."/>
      <sheetName val="Concur - Exp. General"/>
      <sheetName val="Concur - Exp. Especifica"/>
      <sheetName val="SH TRM"/>
      <sheetName val="PROM TRM MES"/>
    </sheetNames>
    <sheetDataSet>
      <sheetData sheetId="0"/>
      <sheetData sheetId="1">
        <row r="5">
          <cell r="G5">
            <v>8680.9808333979981</v>
          </cell>
          <cell r="I5">
            <v>4427.3002250329791</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21-26"/>
      <sheetName val="EXP ESPEC 21-26"/>
      <sheetName val="DESEMPATE"/>
      <sheetName val="019 - Gen."/>
      <sheetName val="019 - Espc."/>
      <sheetName val="Concur - Exp. General"/>
      <sheetName val="Concur - Exp. Especifica"/>
      <sheetName val="SH TRM"/>
      <sheetName val="PROM TRM MES"/>
    </sheetNames>
    <sheetDataSet>
      <sheetData sheetId="0"/>
      <sheetData sheetId="1">
        <row r="5">
          <cell r="K5">
            <v>1736.1961666795996</v>
          </cell>
          <cell r="M5">
            <v>1736.1961666795996</v>
          </cell>
        </row>
        <row r="46">
          <cell r="A46">
            <v>1990</v>
          </cell>
          <cell r="B46">
            <v>41025</v>
          </cell>
        </row>
        <row r="47">
          <cell r="A47">
            <v>1991</v>
          </cell>
          <cell r="B47">
            <v>51716</v>
          </cell>
        </row>
        <row r="48">
          <cell r="A48">
            <v>1992</v>
          </cell>
          <cell r="B48">
            <v>65190</v>
          </cell>
        </row>
        <row r="49">
          <cell r="A49">
            <v>1993</v>
          </cell>
          <cell r="B49">
            <v>81510</v>
          </cell>
        </row>
        <row r="50">
          <cell r="A50">
            <v>1994</v>
          </cell>
          <cell r="B50">
            <v>98700</v>
          </cell>
        </row>
        <row r="51">
          <cell r="A51">
            <v>1995</v>
          </cell>
          <cell r="B51">
            <v>118933.5</v>
          </cell>
        </row>
        <row r="52">
          <cell r="A52">
            <v>1996</v>
          </cell>
          <cell r="B52">
            <v>142125</v>
          </cell>
        </row>
        <row r="53">
          <cell r="A53">
            <v>1997</v>
          </cell>
          <cell r="B53">
            <v>172005</v>
          </cell>
        </row>
        <row r="54">
          <cell r="A54">
            <v>1998</v>
          </cell>
          <cell r="B54">
            <v>203826</v>
          </cell>
        </row>
        <row r="55">
          <cell r="A55">
            <v>1999</v>
          </cell>
          <cell r="B55">
            <v>236460</v>
          </cell>
        </row>
        <row r="56">
          <cell r="A56">
            <v>2000</v>
          </cell>
          <cell r="B56">
            <v>260100</v>
          </cell>
        </row>
        <row r="57">
          <cell r="A57">
            <v>2001</v>
          </cell>
          <cell r="B57">
            <v>286000</v>
          </cell>
        </row>
        <row r="58">
          <cell r="A58">
            <v>2002</v>
          </cell>
          <cell r="B58">
            <v>309000</v>
          </cell>
        </row>
        <row r="59">
          <cell r="A59">
            <v>2003</v>
          </cell>
          <cell r="B59">
            <v>332000</v>
          </cell>
        </row>
        <row r="60">
          <cell r="A60">
            <v>2004</v>
          </cell>
          <cell r="B60">
            <v>358000</v>
          </cell>
        </row>
        <row r="61">
          <cell r="A61">
            <v>2005</v>
          </cell>
          <cell r="B61">
            <v>381500</v>
          </cell>
        </row>
        <row r="62">
          <cell r="A62">
            <v>2006</v>
          </cell>
          <cell r="B62">
            <v>408000</v>
          </cell>
        </row>
        <row r="63">
          <cell r="A63">
            <v>2007</v>
          </cell>
          <cell r="B63">
            <v>433700</v>
          </cell>
        </row>
        <row r="64">
          <cell r="A64">
            <v>2008</v>
          </cell>
          <cell r="B64">
            <v>461500</v>
          </cell>
        </row>
        <row r="65">
          <cell r="A65">
            <v>2009</v>
          </cell>
          <cell r="B65">
            <v>496900</v>
          </cell>
        </row>
        <row r="66">
          <cell r="A66">
            <v>2010</v>
          </cell>
          <cell r="B66">
            <v>515000</v>
          </cell>
        </row>
        <row r="67">
          <cell r="A67">
            <v>2011</v>
          </cell>
          <cell r="B67">
            <v>535600</v>
          </cell>
        </row>
        <row r="68">
          <cell r="A68">
            <v>2012</v>
          </cell>
          <cell r="B68">
            <v>566700</v>
          </cell>
        </row>
        <row r="69">
          <cell r="A69">
            <v>2013</v>
          </cell>
          <cell r="B69">
            <v>589500</v>
          </cell>
        </row>
        <row r="70">
          <cell r="A70">
            <v>2014</v>
          </cell>
          <cell r="B70">
            <v>616000</v>
          </cell>
        </row>
        <row r="71">
          <cell r="A71">
            <v>2015</v>
          </cell>
          <cell r="B71">
            <v>644350</v>
          </cell>
        </row>
        <row r="72">
          <cell r="A72">
            <v>2016</v>
          </cell>
          <cell r="B72">
            <v>689554</v>
          </cell>
        </row>
      </sheetData>
      <sheetData sheetId="2">
        <row r="3">
          <cell r="W3">
            <v>10698.705660665786</v>
          </cell>
        </row>
        <row r="4">
          <cell r="W4">
            <v>8613.7860823401952</v>
          </cell>
        </row>
        <row r="5">
          <cell r="W5">
            <v>3810.6134921475209</v>
          </cell>
        </row>
        <row r="6">
          <cell r="W6">
            <v>4585.8651688724194</v>
          </cell>
        </row>
        <row r="9">
          <cell r="W9">
            <v>9627.6124598689385</v>
          </cell>
        </row>
        <row r="10">
          <cell r="W10">
            <v>3762.5713631551084</v>
          </cell>
        </row>
        <row r="11">
          <cell r="W11">
            <v>10491.314174757281</v>
          </cell>
        </row>
        <row r="12">
          <cell r="W12">
            <v>3169.7082034909522</v>
          </cell>
        </row>
        <row r="15">
          <cell r="W15">
            <v>2481.564698429504</v>
          </cell>
        </row>
        <row r="16">
          <cell r="W16">
            <v>22699.712951245936</v>
          </cell>
        </row>
        <row r="17">
          <cell r="W17">
            <v>10134.532907821229</v>
          </cell>
        </row>
        <row r="18">
          <cell r="W18">
            <v>6583.8062294865003</v>
          </cell>
        </row>
        <row r="21">
          <cell r="W21">
            <v>8087.1180575278613</v>
          </cell>
        </row>
        <row r="22">
          <cell r="W22">
            <v>5851.0347643128698</v>
          </cell>
        </row>
        <row r="33">
          <cell r="W33">
            <v>25579.562840424642</v>
          </cell>
        </row>
        <row r="34">
          <cell r="W34">
            <v>4475.1987079910377</v>
          </cell>
        </row>
        <row r="35">
          <cell r="W35">
            <v>3017.490768072289</v>
          </cell>
        </row>
        <row r="36">
          <cell r="W36">
            <v>3236.0161812297733</v>
          </cell>
        </row>
        <row r="127">
          <cell r="B127">
            <v>0</v>
          </cell>
        </row>
        <row r="128">
          <cell r="B128">
            <v>0</v>
          </cell>
        </row>
        <row r="133">
          <cell r="B133">
            <v>0</v>
          </cell>
        </row>
        <row r="134">
          <cell r="B134">
            <v>0</v>
          </cell>
        </row>
        <row r="139">
          <cell r="B139">
            <v>0</v>
          </cell>
        </row>
        <row r="140">
          <cell r="B140">
            <v>0</v>
          </cell>
        </row>
        <row r="145">
          <cell r="B145">
            <v>0</v>
          </cell>
        </row>
        <row r="146">
          <cell r="B146">
            <v>0</v>
          </cell>
        </row>
        <row r="151">
          <cell r="B151">
            <v>0</v>
          </cell>
        </row>
        <row r="152">
          <cell r="B152">
            <v>0</v>
          </cell>
        </row>
        <row r="157">
          <cell r="B157">
            <v>0</v>
          </cell>
        </row>
        <row r="158">
          <cell r="B158">
            <v>0</v>
          </cell>
        </row>
      </sheetData>
      <sheetData sheetId="3">
        <row r="3">
          <cell r="Z3">
            <v>8613.7860823401952</v>
          </cell>
        </row>
        <row r="4">
          <cell r="Z4">
            <v>3810.6134921475209</v>
          </cell>
        </row>
        <row r="5">
          <cell r="Z5">
            <v>4200.7768740074116</v>
          </cell>
        </row>
        <row r="6">
          <cell r="Z6">
            <v>27552.495178777393</v>
          </cell>
        </row>
        <row r="7">
          <cell r="Z7">
            <v>9627.6124598689385</v>
          </cell>
        </row>
        <row r="8">
          <cell r="Z8">
            <v>3762.5713631551084</v>
          </cell>
        </row>
        <row r="9">
          <cell r="Z9">
            <v>10491.314174757281</v>
          </cell>
        </row>
        <row r="10">
          <cell r="Z10">
            <v>3169.7082034909522</v>
          </cell>
        </row>
        <row r="11">
          <cell r="Z11">
            <v>7344.3713912621361</v>
          </cell>
        </row>
        <row r="12">
          <cell r="Z12">
            <v>11623.813044644432</v>
          </cell>
        </row>
        <row r="13">
          <cell r="Z13">
            <v>9161.3060524475532</v>
          </cell>
        </row>
        <row r="14">
          <cell r="Z14">
            <v>5915.2164033880363</v>
          </cell>
        </row>
        <row r="15">
          <cell r="Z15">
            <v>8087.1180575278613</v>
          </cell>
        </row>
        <row r="16">
          <cell r="Z16">
            <v>5851.0347643128698</v>
          </cell>
        </row>
        <row r="17">
          <cell r="Z17">
            <v>4856.5604767719424</v>
          </cell>
        </row>
        <row r="18">
          <cell r="Z18">
            <v>4140.3726460571143</v>
          </cell>
        </row>
        <row r="23">
          <cell r="Z23">
            <v>30465.199019992331</v>
          </cell>
        </row>
        <row r="24">
          <cell r="Z24">
            <v>4475.1987079910377</v>
          </cell>
        </row>
        <row r="25">
          <cell r="Z25">
            <v>3017.490768072289</v>
          </cell>
        </row>
        <row r="26">
          <cell r="Z26">
            <v>3236.0161812297733</v>
          </cell>
        </row>
      </sheetData>
      <sheetData sheetId="4">
        <row r="3">
          <cell r="C3" t="str">
            <v>P01-01</v>
          </cell>
          <cell r="D3" t="str">
            <v>ICEACSA CONSULTORES SUCURSAL COLOMBIA</v>
          </cell>
        </row>
        <row r="4">
          <cell r="C4" t="str">
            <v>P01-02</v>
          </cell>
          <cell r="D4" t="str">
            <v>COPEBA LTDA</v>
          </cell>
        </row>
        <row r="5">
          <cell r="C5" t="str">
            <v>P01-03</v>
          </cell>
          <cell r="D5" t="str">
            <v>CONSULTORES UNIDOS S.A.</v>
          </cell>
        </row>
        <row r="6">
          <cell r="C6" t="str">
            <v>P02-01</v>
          </cell>
          <cell r="D6" t="str">
            <v>INTERVENTORÍAS Y DISEÑO S.A.</v>
          </cell>
        </row>
        <row r="7">
          <cell r="C7" t="str">
            <v>P02-02</v>
          </cell>
          <cell r="D7" t="str">
            <v>INGENOBRAS CONSTRUCCIÓN Y CONSULTORÍA S.A.S. - INGENOBRAS S.A.S.</v>
          </cell>
        </row>
        <row r="8">
          <cell r="C8" t="str">
            <v>P03-01</v>
          </cell>
          <cell r="D8" t="str">
            <v>INGEANDINA CONSULTORES DE INGENIERIA S.A.S.</v>
          </cell>
        </row>
        <row r="9">
          <cell r="C9" t="str">
            <v>P03-02</v>
          </cell>
          <cell r="D9" t="str">
            <v>GEOCONTROL S.A. SUCURSAL COLOMBIA</v>
          </cell>
        </row>
        <row r="10">
          <cell r="C10" t="str">
            <v>P04-01</v>
          </cell>
          <cell r="D10" t="str">
            <v>INZETT S.A.S.</v>
          </cell>
        </row>
        <row r="11">
          <cell r="C11" t="str">
            <v>P04-02</v>
          </cell>
          <cell r="D11" t="str">
            <v>CIVING INGENIEROS CONTRATISTAS S EN C</v>
          </cell>
        </row>
        <row r="12">
          <cell r="C12" t="str">
            <v>P04-03</v>
          </cell>
          <cell r="D12" t="str">
            <v>J. FELIPE ARDILA V &amp; CIA S.A.S.</v>
          </cell>
        </row>
        <row r="13">
          <cell r="C13" t="str">
            <v>P05-01</v>
          </cell>
          <cell r="D13" t="str">
            <v>MAB INGENIERÍA DE VALOR S.A.</v>
          </cell>
        </row>
        <row r="14">
          <cell r="C14" t="str">
            <v>P05-02</v>
          </cell>
          <cell r="D14" t="str">
            <v>OMC AMEPRO COLOMBIA</v>
          </cell>
        </row>
        <row r="15">
          <cell r="C15" t="str">
            <v>P06-01</v>
          </cell>
          <cell r="D15" t="str">
            <v>BAC ENGINEERING CONSULTANCY GROUP S.A.S.</v>
          </cell>
        </row>
        <row r="16">
          <cell r="C16" t="str">
            <v>P06-02</v>
          </cell>
          <cell r="D16" t="str">
            <v>SILVA CARREÑO Y ASOCIADOS S.A.S.</v>
          </cell>
        </row>
        <row r="17">
          <cell r="C17" t="str">
            <v>P06-03</v>
          </cell>
          <cell r="D17" t="str">
            <v>ARENAS DE LA HOZ CONSULTORES S.A.S.</v>
          </cell>
        </row>
        <row r="18">
          <cell r="C18" t="str">
            <v>P07-01</v>
          </cell>
          <cell r="D18" t="str">
            <v>PROYECTOS DESARROLLO E INFRAESTRUCTURA COLOMBIA S.A.S. - PRODEINCOL</v>
          </cell>
        </row>
        <row r="19">
          <cell r="C19" t="str">
            <v>P08-01</v>
          </cell>
          <cell r="D19" t="str">
            <v>3B PROYECTOS S.A.S.</v>
          </cell>
        </row>
        <row r="20">
          <cell r="C20" t="str">
            <v>P09-01</v>
          </cell>
          <cell r="D20" t="str">
            <v>TECNICA Y PROYECTOS S.A. TYPSA</v>
          </cell>
        </row>
        <row r="21">
          <cell r="C21" t="str">
            <v>P09-02</v>
          </cell>
          <cell r="D21" t="str">
            <v>CONSULTORES TÉCNICOS Y ECONÓMICOS S.A.</v>
          </cell>
        </row>
        <row r="22">
          <cell r="C22" t="str">
            <v>P10-01</v>
          </cell>
          <cell r="D22" t="str">
            <v>AFA CONSULTORES Y CONSTRUCTORES S.A.</v>
          </cell>
        </row>
        <row r="23">
          <cell r="C23" t="str">
            <v>P10-02</v>
          </cell>
          <cell r="D23" t="str">
            <v>INCGROUP S.A.S.</v>
          </cell>
        </row>
        <row r="24">
          <cell r="C24" t="str">
            <v>P11-01</v>
          </cell>
          <cell r="D24" t="str">
            <v>INGENIERIA Y CONSULTORIA INGECON S.A.S.</v>
          </cell>
        </row>
        <row r="25">
          <cell r="C25" t="str">
            <v>P11-02</v>
          </cell>
          <cell r="D25" t="str">
            <v>CONSULTORIA INTEGRAL EN INGENIERIA S.A. DE CV</v>
          </cell>
        </row>
        <row r="26">
          <cell r="C26" t="str">
            <v>P12-01</v>
          </cell>
          <cell r="D26" t="str">
            <v>GEOTECNIA Y CIMIENTOS INGEOCIM S.A.S.</v>
          </cell>
        </row>
        <row r="27">
          <cell r="C27" t="str">
            <v>P12-02</v>
          </cell>
          <cell r="D27" t="str">
            <v>CULMEN INTERNATIONAL CONSULTING S.A.S.</v>
          </cell>
        </row>
        <row r="28">
          <cell r="C28" t="str">
            <v>P13-01</v>
          </cell>
          <cell r="D28" t="str">
            <v>ESTUDIOS TÉCNICOS Y ASESORÍAS S.A. - ETA S.A.</v>
          </cell>
        </row>
        <row r="29">
          <cell r="C29" t="str">
            <v>P13-02</v>
          </cell>
          <cell r="D29" t="str">
            <v>INTECSA - INARASA COLOMBIA S.A.S.</v>
          </cell>
        </row>
        <row r="30">
          <cell r="C30" t="str">
            <v>P14-01</v>
          </cell>
          <cell r="D30" t="str">
            <v>CPS INGENIEROS OBRA CIVIL Y MEDIO AMBIENTE SUCURSAL COLOMBIA S.L.</v>
          </cell>
        </row>
        <row r="31">
          <cell r="C31" t="str">
            <v>P14-02</v>
          </cell>
          <cell r="D31" t="str">
            <v>SERTIC S.A.S.</v>
          </cell>
        </row>
        <row r="32">
          <cell r="C32" t="str">
            <v>P15-01</v>
          </cell>
          <cell r="D32" t="str">
            <v>ECOVIAS S.A.S.</v>
          </cell>
        </row>
        <row r="33">
          <cell r="C33" t="str">
            <v>P15-02</v>
          </cell>
          <cell r="D33" t="str">
            <v>ESTRUCTURADOR COLOMBIA S.A.S.</v>
          </cell>
        </row>
        <row r="34">
          <cell r="C34" t="str">
            <v>P15-03</v>
          </cell>
          <cell r="D34" t="str">
            <v>PROES CONSULTORES S.A. SUCURSAL COLOMBIA</v>
          </cell>
        </row>
        <row r="35">
          <cell r="C35" t="str">
            <v>P16-01</v>
          </cell>
          <cell r="D35" t="str">
            <v>IVICSA S.A.S.</v>
          </cell>
        </row>
        <row r="36">
          <cell r="C36" t="str">
            <v>P16-02</v>
          </cell>
          <cell r="D36" t="str">
            <v>C &amp; M CONSULTORES  S.A.</v>
          </cell>
        </row>
        <row r="37">
          <cell r="C37" t="str">
            <v>P17-01</v>
          </cell>
          <cell r="D37" t="str">
            <v>ESTEYCO SUCURSAL COLOMBIA</v>
          </cell>
        </row>
        <row r="38">
          <cell r="C38" t="str">
            <v>P17-02</v>
          </cell>
          <cell r="D38" t="str">
            <v>INGENIEROS CONSULTORES INCORPORADOS S.A.S.</v>
          </cell>
        </row>
        <row r="39">
          <cell r="C39" t="str">
            <v>P17-03</v>
          </cell>
          <cell r="D39" t="str">
            <v>LUIS EDUARDO POMBO RAMOS</v>
          </cell>
        </row>
        <row r="40">
          <cell r="C40" t="str">
            <v>P18-01</v>
          </cell>
          <cell r="D40" t="str">
            <v>SIGA INGENIERÍA Y CONSULTORÍA S.A. SUCURSAL COLOMBIA</v>
          </cell>
        </row>
        <row r="41">
          <cell r="C41" t="str">
            <v>P18-02</v>
          </cell>
          <cell r="D41" t="str">
            <v>JORGE PIDDO SEGUIDO DE LA EXPRESIÓN SUCURSAL COLOMBIA</v>
          </cell>
        </row>
        <row r="42">
          <cell r="C42" t="str">
            <v>P19-01</v>
          </cell>
          <cell r="D42" t="str">
            <v>EUROCONTROL S.A.</v>
          </cell>
        </row>
        <row r="43">
          <cell r="C43" t="str">
            <v>P19-02</v>
          </cell>
          <cell r="D43" t="str">
            <v>D&amp;B INGENIEROS CIVILES S.A.S.</v>
          </cell>
        </row>
        <row r="44">
          <cell r="C44" t="str">
            <v>P19-03</v>
          </cell>
          <cell r="D44" t="str">
            <v>GARPER INGENIERÍA CIA S.A.S.</v>
          </cell>
        </row>
        <row r="45">
          <cell r="C45" t="str">
            <v>P20-01</v>
          </cell>
          <cell r="D45" t="str">
            <v>PROGIN SPA</v>
          </cell>
        </row>
        <row r="46">
          <cell r="C46" t="str">
            <v>P20-02</v>
          </cell>
          <cell r="D46" t="str">
            <v>PLANES S.A.</v>
          </cell>
        </row>
        <row r="47">
          <cell r="C47" t="str">
            <v>P21-01</v>
          </cell>
          <cell r="D47" t="str">
            <v>SMA S.A.</v>
          </cell>
        </row>
        <row r="48">
          <cell r="C48" t="str">
            <v>P21-02</v>
          </cell>
          <cell r="D48" t="str">
            <v>WSP SERVICIOS S.A.S.</v>
          </cell>
        </row>
        <row r="49">
          <cell r="C49" t="str">
            <v>P22-01</v>
          </cell>
          <cell r="D49" t="str">
            <v>GC&amp;Q INGENIEROS CONSULTORES S.A.S.</v>
          </cell>
        </row>
        <row r="50">
          <cell r="C50" t="str">
            <v>P22-02</v>
          </cell>
          <cell r="D50" t="str">
            <v>SERVICIOS DE INGENIERÍA Y CONSTRUCCIÓN LIMITADA "SERVINC LTDA"</v>
          </cell>
        </row>
        <row r="51">
          <cell r="C51" t="str">
            <v>P23-01</v>
          </cell>
          <cell r="D51" t="str">
            <v>CONCOL INGENIERÍA S.A.S.</v>
          </cell>
        </row>
        <row r="52">
          <cell r="C52" t="str">
            <v>P24-01</v>
          </cell>
          <cell r="D52" t="str">
            <v>ARDANUY COLOMBIA S.A.S.</v>
          </cell>
        </row>
        <row r="53">
          <cell r="C53" t="str">
            <v>P25-01</v>
          </cell>
          <cell r="D53" t="str">
            <v>TECNOLOGÍAS Y CONSULTORIAS AMBIENTALES Y DE GESTIÓN S.A. - "TECNICONSULTA S.A."</v>
          </cell>
        </row>
        <row r="54">
          <cell r="C54" t="str">
            <v>P25-02</v>
          </cell>
          <cell r="D54" t="str">
            <v>PROYECTOS TECNICOS DE COLOMBIA S.A.S.</v>
          </cell>
        </row>
        <row r="55">
          <cell r="C55" t="str">
            <v>P25-03</v>
          </cell>
          <cell r="D55" t="str">
            <v>HORACIO FRANCISCO MENDOZA MARTINEZ</v>
          </cell>
        </row>
        <row r="56">
          <cell r="C56" t="str">
            <v>P26-01</v>
          </cell>
          <cell r="D56" t="str">
            <v>AYESA DE COLOMBIA INGENIERIA Y ARQUITECTURA S.A.S.</v>
          </cell>
        </row>
        <row r="57">
          <cell r="C57" t="str">
            <v>P26-02</v>
          </cell>
          <cell r="D57" t="str">
            <v>INTERSA S.A.</v>
          </cell>
        </row>
        <row r="58">
          <cell r="C58" t="str">
            <v>P27-01</v>
          </cell>
          <cell r="D58" t="str">
            <v>PEYCO COLOMBIA</v>
          </cell>
        </row>
        <row r="59">
          <cell r="C59" t="str">
            <v>P27-02</v>
          </cell>
          <cell r="D59" t="str">
            <v>SERINCO COLOMBIA</v>
          </cell>
        </row>
        <row r="60">
          <cell r="C60" t="str">
            <v>P28-01</v>
          </cell>
          <cell r="D60" t="str">
            <v>GIC GERENCIA INTERVENTORIA Y CONSULTORIA S.A.S.</v>
          </cell>
        </row>
        <row r="61">
          <cell r="C61" t="str">
            <v>P28-02</v>
          </cell>
          <cell r="D61" t="str">
            <v>GINPROSA COLOMBIA S.A.S.</v>
          </cell>
        </row>
        <row r="62">
          <cell r="C62" t="str">
            <v>P28-03</v>
          </cell>
          <cell r="D62" t="str">
            <v>CARTAGENERA DE INGENIERÍA S.A.S. CARINSA</v>
          </cell>
        </row>
        <row r="63">
          <cell r="C63" t="str">
            <v>P29-01</v>
          </cell>
          <cell r="D63" t="str">
            <v>SUPERVISIÓN E INGENIERÍA DE PROYECTOS S.A.S. - SUPERING S.A.S.</v>
          </cell>
        </row>
        <row r="64">
          <cell r="C64" t="str">
            <v>P30-01</v>
          </cell>
          <cell r="D64" t="str">
            <v>JOYCO S.A.S.</v>
          </cell>
        </row>
        <row r="65">
          <cell r="C65" t="str">
            <v>P30-02</v>
          </cell>
          <cell r="D65" t="str">
            <v>SAITEC S.A. SUCURSAL EN COLOMBIA</v>
          </cell>
        </row>
        <row r="66">
          <cell r="C66" t="str">
            <v>P31-01</v>
          </cell>
          <cell r="D66" t="str">
            <v>GPO COLOMBIA S.A.S.</v>
          </cell>
        </row>
        <row r="67">
          <cell r="C67" t="str">
            <v>P31-02</v>
          </cell>
          <cell r="D67" t="str">
            <v>CAYCO S.A.S.</v>
          </cell>
        </row>
        <row r="68">
          <cell r="C68" t="str">
            <v>P31-03</v>
          </cell>
          <cell r="D68" t="str">
            <v>PROYECTOS CONSTRUCCIONES CIVILES Y VIALES LIMITADA</v>
          </cell>
        </row>
        <row r="69">
          <cell r="C69" t="str">
            <v>P32-01</v>
          </cell>
          <cell r="D69" t="str">
            <v>INGENIERIA Y CONSULTORIA INGECON S.A.S.</v>
          </cell>
        </row>
        <row r="70">
          <cell r="C70" t="str">
            <v>P32-02</v>
          </cell>
          <cell r="D70" t="str">
            <v>CONSULTORIA INTEGRAL EN INGENIERIA S.A. DE CV</v>
          </cell>
        </row>
        <row r="71">
          <cell r="C71" t="str">
            <v>P32-03</v>
          </cell>
          <cell r="D71" t="str">
            <v>EGIS COLOMBIA S.A.S.</v>
          </cell>
        </row>
        <row r="72">
          <cell r="C72" t="str">
            <v>P33-01</v>
          </cell>
          <cell r="D72" t="str">
            <v>B&amp;C S.A.</v>
          </cell>
        </row>
        <row r="73">
          <cell r="C73" t="str">
            <v>P33-02</v>
          </cell>
          <cell r="D73" t="str">
            <v>DIEGO FERNANDO FONSECA CHAVES</v>
          </cell>
        </row>
        <row r="74">
          <cell r="C74" t="str">
            <v>P34-01</v>
          </cell>
          <cell r="D74" t="str">
            <v>CEMOSA (COLOMBIA)</v>
          </cell>
        </row>
        <row r="75">
          <cell r="C75" t="str">
            <v>P34-02</v>
          </cell>
          <cell r="D75" t="str">
            <v>INGENIERÍA Y DESARROLLO XIMA DE COLOMBIA S.A.S.</v>
          </cell>
        </row>
        <row r="76">
          <cell r="C76" t="str">
            <v>P35-01</v>
          </cell>
          <cell r="D76" t="str">
            <v>HMV CONSULTORÍA S.A.S.</v>
          </cell>
        </row>
        <row r="77">
          <cell r="C77" t="str">
            <v>P36-01</v>
          </cell>
          <cell r="D77" t="str">
            <v>CB INGENIEROS S.A.S.</v>
          </cell>
        </row>
        <row r="78">
          <cell r="C78" t="str">
            <v>P36-02</v>
          </cell>
          <cell r="D78" t="str">
            <v>TECNICAS TERRITORIALES Y URBANAS SL SUCURSAL COLOMBIA</v>
          </cell>
        </row>
        <row r="79">
          <cell r="C79" t="str">
            <v>P37-01</v>
          </cell>
          <cell r="D79" t="str">
            <v>SONDEOS ESTRUCTURAS Y GEOTECNIA  SUCURSAL COLOMBIA S.A.</v>
          </cell>
        </row>
        <row r="80">
          <cell r="C80" t="str">
            <v>P37-02</v>
          </cell>
          <cell r="D80" t="str">
            <v>INGENIERÍA CONSULTORÍA Y PLANEACIÓN S.A. INCOPLAN S.A.</v>
          </cell>
        </row>
        <row r="81">
          <cell r="C81" t="str">
            <v>P38-01</v>
          </cell>
          <cell r="D81" t="str">
            <v>TRIADA DISEÑO, GERENCIA Y CONSTRUCCION S.A. DE C.V.</v>
          </cell>
        </row>
        <row r="82">
          <cell r="C82" t="str">
            <v>P38-02</v>
          </cell>
          <cell r="D82" t="str">
            <v>ING INGENIERÍA S.A.</v>
          </cell>
        </row>
        <row r="83">
          <cell r="C83" t="str">
            <v>P38-03</v>
          </cell>
          <cell r="D83" t="str">
            <v>EPYPSA COLOMBIA</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6-10"/>
      <sheetName val="EXP ESPEC 6-10"/>
      <sheetName val="DESEMPATE"/>
      <sheetName val="019 - Gen."/>
      <sheetName val="019 - Espc."/>
      <sheetName val="Concur - Exp. General"/>
      <sheetName val="Concur - Exp. Especifica"/>
      <sheetName val="SH TRM"/>
      <sheetName val="PROM TRM MES"/>
    </sheetNames>
    <sheetDataSet>
      <sheetData sheetId="0" refreshError="1"/>
      <sheetData sheetId="1">
        <row r="46">
          <cell r="A46">
            <v>1990</v>
          </cell>
          <cell r="B46">
            <v>41025</v>
          </cell>
        </row>
        <row r="47">
          <cell r="A47">
            <v>1991</v>
          </cell>
          <cell r="B47">
            <v>51716</v>
          </cell>
        </row>
        <row r="48">
          <cell r="A48">
            <v>1992</v>
          </cell>
          <cell r="B48">
            <v>65190</v>
          </cell>
        </row>
        <row r="49">
          <cell r="A49">
            <v>1993</v>
          </cell>
          <cell r="B49">
            <v>81510</v>
          </cell>
        </row>
        <row r="50">
          <cell r="A50">
            <v>1994</v>
          </cell>
          <cell r="B50">
            <v>98700</v>
          </cell>
        </row>
        <row r="51">
          <cell r="A51">
            <v>1995</v>
          </cell>
          <cell r="B51">
            <v>118933.5</v>
          </cell>
        </row>
        <row r="52">
          <cell r="A52">
            <v>1996</v>
          </cell>
          <cell r="B52">
            <v>142125</v>
          </cell>
        </row>
        <row r="53">
          <cell r="A53">
            <v>1997</v>
          </cell>
          <cell r="B53">
            <v>172005</v>
          </cell>
        </row>
        <row r="54">
          <cell r="A54">
            <v>1998</v>
          </cell>
          <cell r="B54">
            <v>203826</v>
          </cell>
        </row>
        <row r="55">
          <cell r="A55">
            <v>1999</v>
          </cell>
          <cell r="B55">
            <v>236460</v>
          </cell>
        </row>
        <row r="56">
          <cell r="A56">
            <v>2000</v>
          </cell>
          <cell r="B56">
            <v>260100</v>
          </cell>
        </row>
        <row r="57">
          <cell r="A57">
            <v>2001</v>
          </cell>
          <cell r="B57">
            <v>286000</v>
          </cell>
        </row>
        <row r="58">
          <cell r="A58">
            <v>2002</v>
          </cell>
          <cell r="B58">
            <v>309000</v>
          </cell>
        </row>
        <row r="59">
          <cell r="A59">
            <v>2003</v>
          </cell>
          <cell r="B59">
            <v>332000</v>
          </cell>
        </row>
        <row r="60">
          <cell r="A60">
            <v>2004</v>
          </cell>
          <cell r="B60">
            <v>358000</v>
          </cell>
        </row>
        <row r="61">
          <cell r="A61">
            <v>2005</v>
          </cell>
          <cell r="B61">
            <v>381500</v>
          </cell>
        </row>
        <row r="62">
          <cell r="A62">
            <v>2006</v>
          </cell>
          <cell r="B62">
            <v>408000</v>
          </cell>
        </row>
        <row r="63">
          <cell r="A63">
            <v>2007</v>
          </cell>
          <cell r="B63">
            <v>433700</v>
          </cell>
        </row>
        <row r="64">
          <cell r="A64">
            <v>2008</v>
          </cell>
          <cell r="B64">
            <v>461500</v>
          </cell>
        </row>
        <row r="65">
          <cell r="A65">
            <v>2009</v>
          </cell>
          <cell r="B65">
            <v>496900</v>
          </cell>
        </row>
        <row r="66">
          <cell r="A66">
            <v>2010</v>
          </cell>
          <cell r="B66">
            <v>515000</v>
          </cell>
        </row>
        <row r="67">
          <cell r="A67">
            <v>2011</v>
          </cell>
          <cell r="B67">
            <v>535600</v>
          </cell>
        </row>
        <row r="68">
          <cell r="A68">
            <v>2012</v>
          </cell>
          <cell r="B68">
            <v>566700</v>
          </cell>
        </row>
        <row r="69">
          <cell r="A69">
            <v>2013</v>
          </cell>
          <cell r="B69">
            <v>589500</v>
          </cell>
        </row>
        <row r="70">
          <cell r="A70">
            <v>2014</v>
          </cell>
          <cell r="B70">
            <v>616000</v>
          </cell>
        </row>
        <row r="71">
          <cell r="A71">
            <v>2015</v>
          </cell>
          <cell r="B71">
            <v>644350</v>
          </cell>
        </row>
        <row r="72">
          <cell r="A72">
            <v>2016</v>
          </cell>
          <cell r="B72">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 1-8."/>
      <sheetName val="EXP E. 1-8."/>
      <sheetName val="EXP G. 9-16"/>
      <sheetName val="EXP G. 17-24"/>
      <sheetName val="EXP G. 25-32"/>
      <sheetName val="EXP G.41-50"/>
      <sheetName val="DESEMPATE"/>
    </sheetNames>
    <sheetDataSet>
      <sheetData sheetId="0" refreshError="1">
        <row r="4">
          <cell r="C4" t="str">
            <v>P01-01</v>
          </cell>
          <cell r="D4" t="str">
            <v>LKS COLOMBIA S.A.S.</v>
          </cell>
        </row>
        <row r="5">
          <cell r="C5" t="str">
            <v>P01-02</v>
          </cell>
          <cell r="D5" t="str">
            <v>NOGALL S.A.</v>
          </cell>
        </row>
        <row r="6">
          <cell r="C6" t="str">
            <v>P01-03</v>
          </cell>
          <cell r="D6" t="str">
            <v>CGR S.A.S.</v>
          </cell>
        </row>
        <row r="7">
          <cell r="C7" t="str">
            <v>P02-01</v>
          </cell>
          <cell r="D7" t="str">
            <v xml:space="preserve">AFA CONSULTORES Y CONSTRUCTORES S.A  E.S.P. </v>
          </cell>
        </row>
        <row r="8">
          <cell r="C8" t="str">
            <v>P02-02</v>
          </cell>
          <cell r="D8" t="str">
            <v xml:space="preserve">INCGROUP S.A.S </v>
          </cell>
        </row>
        <row r="9">
          <cell r="C9" t="str">
            <v>P03-01</v>
          </cell>
          <cell r="D9" t="str">
            <v>INGENIEROS CIVILES ESPECIALISTAS LTDA</v>
          </cell>
        </row>
        <row r="10">
          <cell r="C10" t="str">
            <v>P03-02</v>
          </cell>
          <cell r="D10" t="str">
            <v>INGENIERIA DE PROYECTOS S.A.S.</v>
          </cell>
        </row>
        <row r="11">
          <cell r="C11" t="str">
            <v>P04-01</v>
          </cell>
          <cell r="D11" t="str">
            <v>GOMEZ CAJIAO Y ASOCIADOS S.A.</v>
          </cell>
        </row>
        <row r="12">
          <cell r="C12" t="str">
            <v>P04-02</v>
          </cell>
          <cell r="D12" t="str">
            <v>CONSULTORIA INTOK DE COLOMBIA Y ASOCIADOS S.A.S.</v>
          </cell>
        </row>
        <row r="13">
          <cell r="C13" t="str">
            <v>P05-01</v>
          </cell>
          <cell r="D13" t="str">
            <v>ICEACSA CONSULTORES SUCURSAL COLOMBIA</v>
          </cell>
        </row>
        <row r="14">
          <cell r="C14" t="str">
            <v>P05-02</v>
          </cell>
          <cell r="D14" t="str">
            <v>GEOTECNIA Y CIMIENTOS INGEOCIM S.A.S.</v>
          </cell>
        </row>
        <row r="15">
          <cell r="C15" t="str">
            <v>P06-01</v>
          </cell>
          <cell r="D15" t="str">
            <v>VELNEC S.A.</v>
          </cell>
        </row>
        <row r="16">
          <cell r="C16" t="str">
            <v>P06-02</v>
          </cell>
          <cell r="D16" t="str">
            <v>CONSULTORES INTERVENTORES COLOMBIANOS S.A.S.  - CONCIC S.A.S.</v>
          </cell>
        </row>
        <row r="17">
          <cell r="C17" t="str">
            <v>P07-01</v>
          </cell>
          <cell r="D17" t="str">
            <v>SERTIC S.A.S.</v>
          </cell>
        </row>
        <row r="18">
          <cell r="C18" t="str">
            <v>P07-02</v>
          </cell>
          <cell r="D18" t="str">
            <v>CPS INGENIEROS OBRA CIVIL Y MEDIO AMBIENTE SUCURSAL COLOMBIA SL</v>
          </cell>
        </row>
        <row r="19">
          <cell r="C19" t="str">
            <v>P08-01</v>
          </cell>
          <cell r="D19" t="str">
            <v>INGENOBRAS CONSTRUCCIONES Y CONSULTORIA S.A.S. - INGENOBRAS S.A.S.</v>
          </cell>
        </row>
        <row r="20">
          <cell r="C20" t="str">
            <v>P08-02</v>
          </cell>
          <cell r="D20" t="str">
            <v>JOSE MANUEL GUARDO POLO</v>
          </cell>
        </row>
        <row r="21">
          <cell r="C21" t="str">
            <v>P09-01</v>
          </cell>
          <cell r="D21" t="str">
            <v>ARREDONDO MADRID INGENIEROS CIVILES (AIM ) LIMITADA</v>
          </cell>
        </row>
        <row r="22">
          <cell r="C22" t="str">
            <v>P09-02</v>
          </cell>
          <cell r="D22" t="str">
            <v>INGENIERIA INTEGRAL DE OBRAS INGEOBRAS S.A.S.</v>
          </cell>
        </row>
        <row r="23">
          <cell r="C23" t="str">
            <v>P10-01</v>
          </cell>
          <cell r="D23" t="str">
            <v xml:space="preserve">GETINSA INGENIERIA SL SUCURSAL COLOMBIA </v>
          </cell>
        </row>
        <row r="24">
          <cell r="C24" t="str">
            <v>P10-02</v>
          </cell>
          <cell r="D24" t="str">
            <v xml:space="preserve">EUROESTUDIOS INGENIEROS DE CONSULTA S.A.S. </v>
          </cell>
        </row>
        <row r="25">
          <cell r="C25" t="str">
            <v>P11-01</v>
          </cell>
          <cell r="D25" t="str">
            <v>INGENIERIA Y CONSULTORIA INGECON S.A.S.</v>
          </cell>
        </row>
        <row r="26">
          <cell r="C26" t="str">
            <v>P11-02</v>
          </cell>
          <cell r="D26" t="str">
            <v>CONSULTORIA INTEGRAL EN INGENIERIA S.A. DE CV</v>
          </cell>
        </row>
        <row r="27">
          <cell r="C27" t="str">
            <v>P12-01</v>
          </cell>
          <cell r="D27" t="str">
            <v>PROYECTOS E INTERVENTORIAS LIMITADA</v>
          </cell>
        </row>
        <row r="28">
          <cell r="C28" t="str">
            <v>P12-02</v>
          </cell>
          <cell r="D28" t="str">
            <v>INENIERA DE ESTUDIOS Y ASESORIAS S.A.S. INESAS</v>
          </cell>
        </row>
        <row r="29">
          <cell r="C29" t="str">
            <v>P13-01</v>
          </cell>
          <cell r="D29" t="str">
            <v>COMPAÑÍA COLOMBIANA DE CONSULTORES S.A.S. (CCC)</v>
          </cell>
        </row>
        <row r="30">
          <cell r="C30" t="str">
            <v>P13-02</v>
          </cell>
          <cell r="D30" t="str">
            <v>CONSULTORES EN INGENIERIA S.A.S.</v>
          </cell>
        </row>
        <row r="31">
          <cell r="C31" t="str">
            <v>P14-01</v>
          </cell>
          <cell r="D31" t="str">
            <v>SEDIC</v>
          </cell>
        </row>
        <row r="32">
          <cell r="C32" t="str">
            <v>P14-02</v>
          </cell>
          <cell r="D32" t="str">
            <v>CB INGENIEROS</v>
          </cell>
        </row>
        <row r="33">
          <cell r="C33" t="str">
            <v>P15-01</v>
          </cell>
          <cell r="D33" t="str">
            <v>CEMOSA (COLOMBIA)</v>
          </cell>
        </row>
        <row r="34">
          <cell r="C34" t="str">
            <v>P15-02</v>
          </cell>
          <cell r="D34" t="str">
            <v>INGENIERIA Y DESARROLLO XIMA DE COLOMBIA S.A.S.</v>
          </cell>
        </row>
        <row r="35">
          <cell r="C35" t="str">
            <v>P16-01</v>
          </cell>
          <cell r="D35" t="str">
            <v>SUPERING S.A.S.</v>
          </cell>
        </row>
        <row r="36">
          <cell r="C36" t="str">
            <v>P17-01</v>
          </cell>
          <cell r="D36" t="str">
            <v>INZETT S.A.S.</v>
          </cell>
        </row>
        <row r="37">
          <cell r="C37" t="str">
            <v>P17-02</v>
          </cell>
          <cell r="D37" t="str">
            <v>CIVING INGENIEROS CONTRATISTAS S EN C</v>
          </cell>
        </row>
        <row r="38">
          <cell r="C38" t="str">
            <v>P17-03</v>
          </cell>
          <cell r="D38" t="str">
            <v>J FELIPE ARDILA V &amp; CIA S.A.S.</v>
          </cell>
        </row>
        <row r="39">
          <cell r="C39" t="str">
            <v>P18-01</v>
          </cell>
          <cell r="D39" t="str">
            <v>GRUPO POSSO S.A.S.</v>
          </cell>
        </row>
        <row r="40">
          <cell r="C40" t="str">
            <v>P18-02</v>
          </cell>
          <cell r="D40" t="str">
            <v>GINPROSA COLOMBIA S.A.S.</v>
          </cell>
        </row>
        <row r="41">
          <cell r="C41" t="str">
            <v>P18-03</v>
          </cell>
          <cell r="D41" t="str">
            <v>C &amp; M CONSULTORES  S.A.</v>
          </cell>
        </row>
        <row r="42">
          <cell r="C42" t="str">
            <v>P19-01</v>
          </cell>
          <cell r="D42" t="str">
            <v>GRUPO METRO COLOMBIA (GMC INGENIEROS S.A.)</v>
          </cell>
        </row>
        <row r="43">
          <cell r="C43" t="str">
            <v>P19-02</v>
          </cell>
          <cell r="D43" t="str">
            <v>GC&amp;Q INGENIEROS CONSULTORES S.A.S.</v>
          </cell>
        </row>
        <row r="44">
          <cell r="C44" t="str">
            <v>P20-01</v>
          </cell>
          <cell r="D44" t="str">
            <v>IV INGENIEROS CONSULTORES E INTERVENTOR S.A.S.</v>
          </cell>
        </row>
        <row r="45">
          <cell r="C45" t="str">
            <v>P20-02</v>
          </cell>
          <cell r="D45" t="str">
            <v>CELQO S.A.S.</v>
          </cell>
        </row>
        <row r="46">
          <cell r="C46" t="str">
            <v>P21-01</v>
          </cell>
          <cell r="D46" t="str">
            <v>BAG ENGINEERING CONSULTANCY GROUP S.A.S.</v>
          </cell>
        </row>
        <row r="47">
          <cell r="C47" t="str">
            <v>P21-02</v>
          </cell>
          <cell r="D47" t="str">
            <v>INGENIEROS PROYECTOS CONSULTORIAS IPC S.A.S.</v>
          </cell>
        </row>
        <row r="48">
          <cell r="C48" t="str">
            <v>P22-01</v>
          </cell>
          <cell r="D48" t="str">
            <v>DIEGO FERNANDO FONSECA CHAVES</v>
          </cell>
        </row>
        <row r="49">
          <cell r="C49" t="str">
            <v>P22-02</v>
          </cell>
          <cell r="D49" t="str">
            <v>B&amp;C S.A.</v>
          </cell>
        </row>
        <row r="50">
          <cell r="C50" t="str">
            <v>P23-01</v>
          </cell>
          <cell r="D50" t="str">
            <v>INTERVENTORIAS Y DISEÑOS S.A.</v>
          </cell>
        </row>
        <row r="51">
          <cell r="C51" t="str">
            <v>P23-02</v>
          </cell>
          <cell r="D51" t="str">
            <v>ESTRUCTURADOR COLOMBIA S.A.S.</v>
          </cell>
        </row>
        <row r="52">
          <cell r="C52" t="str">
            <v>P24-01</v>
          </cell>
          <cell r="D52" t="str">
            <v>GRUSAMAR INGENIERIA Y CONSULTING SL SUCURSAL EN COLOMBIA</v>
          </cell>
        </row>
        <row r="53">
          <cell r="C53" t="str">
            <v>P24-02</v>
          </cell>
          <cell r="D53" t="str">
            <v>JUAN AMADO LIZARAZO</v>
          </cell>
        </row>
        <row r="54">
          <cell r="C54" t="str">
            <v>P25-01</v>
          </cell>
          <cell r="D54" t="str">
            <v>JOYCO</v>
          </cell>
        </row>
        <row r="55">
          <cell r="C55" t="str">
            <v>P26-01</v>
          </cell>
          <cell r="D55" t="str">
            <v>INGEANDINA CONSULTORES DE INGENIERIA S.A.S.</v>
          </cell>
        </row>
        <row r="56">
          <cell r="C56" t="str">
            <v>P26-02</v>
          </cell>
          <cell r="D56" t="str">
            <v>APPLUS NORCONTROL CONSULTORIA E INGENIERIA S.A.S.</v>
          </cell>
        </row>
        <row r="57">
          <cell r="C57" t="str">
            <v>P27-01</v>
          </cell>
          <cell r="D57" t="str">
            <v>CONSTRUCTORA A &amp; C SOCIEDAD ANONIMA</v>
          </cell>
        </row>
        <row r="58">
          <cell r="C58" t="str">
            <v>P27-02</v>
          </cell>
          <cell r="D58" t="str">
            <v>COPEBA LTDA</v>
          </cell>
        </row>
        <row r="59">
          <cell r="C59" t="str">
            <v>P27-03</v>
          </cell>
          <cell r="D59" t="str">
            <v>GERMAN BALLESTAS BERDEJO</v>
          </cell>
        </row>
        <row r="60">
          <cell r="C60" t="str">
            <v>P28-01</v>
          </cell>
          <cell r="D60" t="str">
            <v>AYESA COLOMBIA INGENIERIA Y ARQUITECTURA S.A.S.</v>
          </cell>
        </row>
        <row r="61">
          <cell r="C61" t="str">
            <v>P28-02</v>
          </cell>
          <cell r="D61">
            <v>0</v>
          </cell>
        </row>
        <row r="62">
          <cell r="C62" t="str">
            <v>P29-01</v>
          </cell>
          <cell r="D62" t="str">
            <v>PROYECTOS CONSTRUCCIONES CIVILES Y VIALES LIMITADA</v>
          </cell>
        </row>
        <row r="63">
          <cell r="C63" t="str">
            <v>P29-02</v>
          </cell>
          <cell r="D63" t="str">
            <v>CAYCO S.A.S.</v>
          </cell>
        </row>
        <row r="64">
          <cell r="C64" t="str">
            <v>P30-01</v>
          </cell>
          <cell r="D64" t="str">
            <v>PROGIN SPA</v>
          </cell>
        </row>
        <row r="65">
          <cell r="C65" t="str">
            <v>P30-02</v>
          </cell>
          <cell r="D65" t="str">
            <v>D &amp; B INGENIEROS CIVILES S.A.S.</v>
          </cell>
        </row>
        <row r="66">
          <cell r="C66" t="str">
            <v>P30-03</v>
          </cell>
          <cell r="D66" t="str">
            <v>INYPSA INFORMES Y PROYECTOS COLOMBIA S.A.S.</v>
          </cell>
        </row>
        <row r="67">
          <cell r="C67" t="str">
            <v>P31-01</v>
          </cell>
          <cell r="D67" t="str">
            <v>EUROCONTROL S.A.</v>
          </cell>
        </row>
        <row r="68">
          <cell r="C68" t="str">
            <v>P31-02</v>
          </cell>
          <cell r="D68" t="str">
            <v>TOP SUELOS INGENIERIA S.A.S.</v>
          </cell>
        </row>
        <row r="69">
          <cell r="C69" t="str">
            <v>P31-03</v>
          </cell>
          <cell r="D69" t="str">
            <v>GARPER INGENIERÍA CIA S.A.S.</v>
          </cell>
        </row>
        <row r="70">
          <cell r="C70" t="str">
            <v>P32-01</v>
          </cell>
          <cell r="D70" t="str">
            <v>SERVICIOS DE INGENIERIA Y CONSTRUCCION LIMITADA "SERVINC LTDA"</v>
          </cell>
        </row>
        <row r="71">
          <cell r="C71" t="str">
            <v>P32-02</v>
          </cell>
          <cell r="D71" t="str">
            <v>VQM S.A.S.</v>
          </cell>
        </row>
        <row r="72">
          <cell r="C72" t="str">
            <v>P33-01</v>
          </cell>
          <cell r="D72" t="str">
            <v>GIC GERENCIA INTERVENTORIA Y CONSULTORIA S.A.S.</v>
          </cell>
        </row>
        <row r="73">
          <cell r="C73" t="str">
            <v>P33-02</v>
          </cell>
          <cell r="D73" t="str">
            <v>CONSULTORES UNIDOS S.A.</v>
          </cell>
        </row>
        <row r="74">
          <cell r="C74" t="str">
            <v>P34-01</v>
          </cell>
          <cell r="D74" t="str">
            <v>MAB INGENIERIA DE VALOR S.A.</v>
          </cell>
        </row>
        <row r="75">
          <cell r="C75" t="str">
            <v>P34-02</v>
          </cell>
          <cell r="D75" t="str">
            <v>MAB SERVICIOS S.A.S.</v>
          </cell>
        </row>
        <row r="76">
          <cell r="C76" t="str">
            <v>P35-01</v>
          </cell>
          <cell r="D76" t="str">
            <v>PABLO EMILIO BRAVO CONSULTORES S.A.S</v>
          </cell>
        </row>
        <row r="77">
          <cell r="C77" t="str">
            <v>P35-02</v>
          </cell>
          <cell r="D77" t="str">
            <v>ESTUDIOS TECNICOS S.A.S.</v>
          </cell>
        </row>
        <row r="78">
          <cell r="C78" t="str">
            <v>P35-03</v>
          </cell>
          <cell r="D78" t="str">
            <v>SIGA INGENIERIA Y CONSULTORIA S.A. SUCURSAL COLOMBIA</v>
          </cell>
        </row>
        <row r="79">
          <cell r="C79" t="str">
            <v>P36-01</v>
          </cell>
          <cell r="D79" t="str">
            <v>CONSULTORES DE INGENIERIA UG 21 SL SUCURSAL</v>
          </cell>
        </row>
        <row r="80">
          <cell r="C80" t="str">
            <v>P36-02</v>
          </cell>
          <cell r="D80" t="str">
            <v>ARDANUY COLOMBIA S.A.S.</v>
          </cell>
        </row>
        <row r="81">
          <cell r="C81" t="str">
            <v>P36-03</v>
          </cell>
          <cell r="D81" t="str">
            <v>GNC INGENIERIA S.A.S.</v>
          </cell>
        </row>
        <row r="82">
          <cell r="C82" t="str">
            <v>P37-01</v>
          </cell>
          <cell r="D82" t="str">
            <v>ETA S.A.</v>
          </cell>
        </row>
        <row r="83">
          <cell r="C83" t="str">
            <v>P37-02</v>
          </cell>
          <cell r="D83" t="str">
            <v>INTERPRO S.A.S.</v>
          </cell>
        </row>
        <row r="84">
          <cell r="C84" t="str">
            <v>P38-01</v>
          </cell>
          <cell r="D84" t="str">
            <v>SERINCO COLOMBIA</v>
          </cell>
        </row>
        <row r="85">
          <cell r="C85" t="str">
            <v>P38-02</v>
          </cell>
          <cell r="D85" t="str">
            <v>DICONSULTORIA S.A.</v>
          </cell>
        </row>
        <row r="86">
          <cell r="C86" t="str">
            <v>P39-01</v>
          </cell>
          <cell r="D86" t="str">
            <v>SMA S.A.</v>
          </cell>
        </row>
        <row r="87">
          <cell r="C87" t="str">
            <v>P39-02</v>
          </cell>
          <cell r="D87" t="str">
            <v>WSP SERVICIOS S.A.S.</v>
          </cell>
        </row>
        <row r="88">
          <cell r="C88" t="str">
            <v>P40-01</v>
          </cell>
          <cell r="D88" t="str">
            <v>PLANES S.A.</v>
          </cell>
        </row>
        <row r="89">
          <cell r="C89" t="str">
            <v>P40-02</v>
          </cell>
          <cell r="D89" t="str">
            <v>HIDROCONSULTA S.A.S.</v>
          </cell>
        </row>
        <row r="90">
          <cell r="C90" t="str">
            <v>P41-01</v>
          </cell>
          <cell r="D90" t="str">
            <v>BATEMAN INGENIERIA S.A.</v>
          </cell>
        </row>
        <row r="91">
          <cell r="C91" t="str">
            <v>P41-02</v>
          </cell>
          <cell r="D91" t="str">
            <v>ECOVIAS S.A.S.</v>
          </cell>
        </row>
        <row r="92">
          <cell r="C92" t="str">
            <v>P42-01</v>
          </cell>
          <cell r="D92" t="str">
            <v>3 B PROYECTOS S.A.S.</v>
          </cell>
        </row>
        <row r="93">
          <cell r="C93" t="str">
            <v>P43-01</v>
          </cell>
          <cell r="D93" t="str">
            <v>INRAESTRUCTURA INTEGRAL S.A.S.</v>
          </cell>
        </row>
        <row r="94">
          <cell r="C94" t="str">
            <v>P43-02</v>
          </cell>
          <cell r="D94" t="str">
            <v>CANO JIMENEZ ESTUDIOS S.A.</v>
          </cell>
        </row>
        <row r="95">
          <cell r="C95" t="str">
            <v>P44-01</v>
          </cell>
          <cell r="D95" t="str">
            <v>CONSULTORES TECNICOS Y ECONOMICOS S.A.</v>
          </cell>
        </row>
        <row r="96">
          <cell r="C96" t="str">
            <v>P44-02</v>
          </cell>
          <cell r="D96" t="str">
            <v>CONSULTORES E INTERVENTORES TECNICOS S.A.S</v>
          </cell>
        </row>
        <row r="97">
          <cell r="C97" t="str">
            <v>P45-01</v>
          </cell>
          <cell r="D97" t="str">
            <v>INTEGRAL DISEÑOS E INTERVENTORIA S.A.S.</v>
          </cell>
        </row>
        <row r="98">
          <cell r="C98" t="str">
            <v>P46-01</v>
          </cell>
          <cell r="D98" t="str">
            <v>INGETEC G &amp; C</v>
          </cell>
        </row>
        <row r="99">
          <cell r="C99" t="str">
            <v>P46-02</v>
          </cell>
          <cell r="D99" t="str">
            <v>CEAS</v>
          </cell>
        </row>
        <row r="100">
          <cell r="C100" t="str">
            <v>P47-01</v>
          </cell>
          <cell r="D100" t="str">
            <v>INGENIERIA CONSULTORIA Y PLANEACION S.A. INCOPLAN S.A.</v>
          </cell>
        </row>
        <row r="101">
          <cell r="C101" t="str">
            <v>P47-02</v>
          </cell>
          <cell r="D101" t="str">
            <v>SONDEOS ESTRUCTURAS Y GEOTECNIA SUCURSAL S.A.</v>
          </cell>
        </row>
        <row r="102">
          <cell r="C102" t="str">
            <v>P48-01</v>
          </cell>
          <cell r="D102" t="str">
            <v>HMV CONSULTORIA</v>
          </cell>
        </row>
        <row r="103">
          <cell r="C103" t="str">
            <v>P49-01</v>
          </cell>
          <cell r="D103" t="str">
            <v>LA VIALIDAD LIMITADA</v>
          </cell>
        </row>
        <row r="104">
          <cell r="C104" t="str">
            <v>P49-02</v>
          </cell>
          <cell r="D104" t="str">
            <v>ARENAS DE LA HOZ CONSULTORES S.A.S.</v>
          </cell>
        </row>
        <row r="105">
          <cell r="C105" t="str">
            <v>P49-03</v>
          </cell>
          <cell r="D105" t="str">
            <v>SILVA CARREÑO Y ASOCIADOS S.A.S.</v>
          </cell>
        </row>
        <row r="106">
          <cell r="C106" t="str">
            <v>P50-01</v>
          </cell>
          <cell r="D106" t="str">
            <v>TECNOLOGIAS Y CONSULTORIAS AMBIENTALES Y GESTION S.A.</v>
          </cell>
        </row>
        <row r="107">
          <cell r="C107" t="str">
            <v>P50-02</v>
          </cell>
          <cell r="D107" t="str">
            <v>PROYECTOS TECNICOS DE COLOMBIA</v>
          </cell>
        </row>
        <row r="108">
          <cell r="C108" t="str">
            <v>P50-03</v>
          </cell>
          <cell r="D108" t="str">
            <v>HORACIO FRANCISCO MENDOZA MARTINEZ</v>
          </cell>
        </row>
      </sheetData>
      <sheetData sheetId="1" refreshError="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y 49"/>
      <sheetName val="EXP ESPEC. 9 - 16 y 49"/>
      <sheetName val="EXP G. 1-8"/>
      <sheetName val="EXP G. 9-16"/>
      <sheetName val="DESEMPATE"/>
      <sheetName val="EXP G. 17-24"/>
      <sheetName val="EXP G. 25-32"/>
      <sheetName val="EXP G.41-50"/>
    </sheetNames>
    <sheetDataSet>
      <sheetData sheetId="0">
        <row r="4">
          <cell r="C4" t="str">
            <v>P01-01</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y 49"/>
      <sheetName val="EXP ESPEC. 9 - 16 y 49"/>
      <sheetName val="EXP G. 1-8"/>
      <sheetName val="EXP G. 9-16"/>
      <sheetName val="DESEMPATE"/>
      <sheetName val="EXP G. 17-24"/>
      <sheetName val="EXP G. 25-32"/>
      <sheetName val="EXP G.41-50"/>
    </sheetNames>
    <sheetDataSet>
      <sheetData sheetId="0"/>
      <sheetData sheetId="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s>
    <sheetDataSet>
      <sheetData sheetId="0">
        <row r="4">
          <cell r="C4" t="str">
            <v>P01-01</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 val="EXP ESPEC. 41"/>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25-32"/>
      <sheetName val="EXP ESPEC. 25-32"/>
      <sheetName val="EXP G. 1-8"/>
      <sheetName val="EXP G. 9-16"/>
      <sheetName val="EXP G. 17-24"/>
      <sheetName val="EXP G.41-50"/>
      <sheetName val="DESEMPATE"/>
    </sheetNames>
    <sheetDataSet>
      <sheetData sheetId="0"/>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NENTES"/>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s>
    <sheetDataSet>
      <sheetData sheetId="0"/>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y 49"/>
      <sheetName val="EXP ESPEC. 9 - 16 y 49"/>
      <sheetName val="EXP GEN. 33-40"/>
      <sheetName val="EXP ESPEC. 33-40"/>
      <sheetName val="DESEMPATE"/>
    </sheetNames>
    <sheetDataSet>
      <sheetData sheetId="0"/>
      <sheetData sheetId="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9-16"/>
      <sheetName val="EXP ESPEC. 9 - 16 "/>
      <sheetName val="EXP G. 1-8"/>
      <sheetName val="EXP G. 9-16"/>
      <sheetName val="DESEMPATE"/>
      <sheetName val="EXP G. 17-24"/>
      <sheetName val="EXP G. 25-32"/>
      <sheetName val="EXP G.41-50"/>
    </sheetNames>
    <sheetDataSet>
      <sheetData sheetId="0"/>
      <sheetData sheetId="1">
        <row r="5">
          <cell r="F5">
            <v>9848.3185665343499</v>
          </cell>
          <cell r="H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42-48"/>
      <sheetName val="EXP ESPEC. 42-48"/>
      <sheetName val="DESEMPATE"/>
    </sheetNames>
    <sheetDataSet>
      <sheetData sheetId="0">
        <row r="4">
          <cell r="C4" t="str">
            <v>P01-01</v>
          </cell>
        </row>
      </sheetData>
      <sheetData sheetId="1">
        <row r="5">
          <cell r="D5">
            <v>1931.0428561832061</v>
          </cell>
          <cell r="F5">
            <v>9848.3185665343499</v>
          </cell>
          <cell r="H5">
            <v>19310.428561832061</v>
          </cell>
          <cell r="J5">
            <v>2413.8035702290076</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DESEMPATE"/>
      <sheetName val="EXP GEN. 41"/>
      <sheetName val="EXP ESPEC. 41"/>
      <sheetName val="CONSOLIDADO"/>
    </sheetNames>
    <sheetDataSet>
      <sheetData sheetId="0"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ow r="35">
          <cell r="R35">
            <v>1913.98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25-32"/>
      <sheetName val="EXP ESPEC. 25-32"/>
      <sheetName val="EXP G. 1-8"/>
      <sheetName val="EXP G. 9-16"/>
      <sheetName val="EXP G. 17-24"/>
      <sheetName val="EXP G.41-50"/>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efreshError="1"/>
      <sheetData sheetId="1"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6-12"/>
      <sheetName val="EXP ESPEC. 6-12"/>
      <sheetName val="EXP GEN. 13-19"/>
      <sheetName val="EXP ESPEC. 13-19"/>
      <sheetName val="EXP GEN. 20-26"/>
      <sheetName val="EXP ESPEC. 20-26"/>
      <sheetName val="EXP GEN. 27-33"/>
      <sheetName val="EXP GEN. 34-40"/>
      <sheetName val="EXP ESPEC. 34-40"/>
      <sheetName val="EXP ESPEC. 27-33"/>
      <sheetName val="DESEMPATE"/>
    </sheetNames>
    <sheetDataSet>
      <sheetData sheetId="0" refreshError="1"/>
      <sheetData sheetId="1"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8."/>
      <sheetName val="EXP ESPEC. 1-8."/>
      <sheetName val="EXP GEN. 9-16"/>
      <sheetName val="EXP ESPEC. 9 - 16"/>
      <sheetName val="EXP GEN. 17-24"/>
      <sheetName val="EXP ESPEC. 17-24"/>
      <sheetName val="EXP GEN. 25-32"/>
      <sheetName val="EXP ESPEC. 25-32"/>
      <sheetName val="EXP GEN. 33-40"/>
      <sheetName val="EXP ESPEC. 33-40"/>
      <sheetName val="EXP GEN. 41-50"/>
      <sheetName val="EXP ESPEC. 41-50"/>
      <sheetName val="DESEMPATE"/>
    </sheetNames>
    <sheetDataSet>
      <sheetData sheetId="0"/>
      <sheetData sheetId="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 val="EXP ESPEC. 41"/>
    </sheetNames>
    <sheetDataSet>
      <sheetData sheetId="0" refreshError="1"/>
      <sheetData sheetId="1" refreshError="1">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W41"/>
  <sheetViews>
    <sheetView tabSelected="1" zoomScaleNormal="100" zoomScalePageLayoutView="125" workbookViewId="0">
      <pane ySplit="3" topLeftCell="A22" activePane="bottomLeft" state="frozen"/>
      <selection activeCell="A3" sqref="A3"/>
      <selection pane="bottomLeft" activeCell="C41" sqref="C41"/>
    </sheetView>
  </sheetViews>
  <sheetFormatPr baseColWidth="10" defaultColWidth="11" defaultRowHeight="15.75"/>
  <cols>
    <col min="1" max="1" width="7.75" style="13" customWidth="1"/>
    <col min="2" max="2" width="27.625" style="828" customWidth="1"/>
    <col min="3" max="3" width="10.375" style="831" customWidth="1"/>
    <col min="4" max="4" width="10.875" style="832" customWidth="1"/>
    <col min="5" max="5" width="10.625" style="833" customWidth="1"/>
    <col min="6" max="6" width="8.625" style="14" customWidth="1"/>
    <col min="7" max="7" width="8.5" style="14" customWidth="1"/>
    <col min="8" max="8" width="6.5" style="14" customWidth="1"/>
    <col min="9" max="9" width="6.625" style="14" customWidth="1"/>
    <col min="10" max="11" width="5.75" style="14" hidden="1" customWidth="1"/>
    <col min="12" max="12" width="6.625" style="14" customWidth="1"/>
    <col min="13" max="13" width="20" style="3" customWidth="1"/>
    <col min="14" max="14" width="15.875" style="3" customWidth="1"/>
    <col min="15" max="16" width="14.875" style="3" customWidth="1"/>
    <col min="17" max="20" width="11.375" style="3" bestFit="1" customWidth="1"/>
    <col min="21" max="21" width="3.875" style="3" customWidth="1"/>
    <col min="22" max="22" width="10.5" style="3" customWidth="1"/>
    <col min="23" max="23" width="30.875" style="3" bestFit="1" customWidth="1"/>
    <col min="24" max="24" width="38.875" style="3" customWidth="1"/>
    <col min="25" max="25" width="15.875" style="3" customWidth="1"/>
    <col min="26" max="27" width="14.875" style="3" customWidth="1"/>
    <col min="28" max="31" width="11.375" style="3" bestFit="1" customWidth="1"/>
    <col min="32" max="32" width="3.5" style="3" customWidth="1"/>
    <col min="33" max="33" width="10.5" style="3" bestFit="1" customWidth="1"/>
    <col min="34" max="34" width="30.875" style="3" bestFit="1" customWidth="1"/>
    <col min="35" max="35" width="38.875" style="3" customWidth="1"/>
    <col min="36" max="36" width="15.875" style="3" customWidth="1"/>
    <col min="37" max="38" width="14.875" style="3" customWidth="1"/>
    <col min="39" max="42" width="11.375" style="3" bestFit="1" customWidth="1"/>
    <col min="43" max="43" width="4.625" style="3" customWidth="1"/>
    <col min="44" max="44" width="9.125" style="3" customWidth="1"/>
    <col min="45" max="45" width="30.875" style="3" bestFit="1" customWidth="1"/>
    <col min="46" max="46" width="38.875" style="3" customWidth="1"/>
    <col min="47" max="47" width="15.875" style="3" customWidth="1"/>
    <col min="48" max="48" width="14.875" style="3" customWidth="1"/>
    <col min="49" max="49" width="15" style="3" customWidth="1"/>
    <col min="50" max="53" width="11.375" style="3" bestFit="1" customWidth="1"/>
    <col min="54" max="54" width="4.125" style="3" customWidth="1"/>
    <col min="55" max="55" width="10.5" style="3" bestFit="1" customWidth="1"/>
    <col min="56" max="56" width="30.875" style="3" bestFit="1" customWidth="1"/>
    <col min="57" max="57" width="38.875" style="3" customWidth="1"/>
    <col min="58" max="58" width="15.875" style="3" customWidth="1"/>
    <col min="59" max="60" width="14.875" style="3" customWidth="1"/>
    <col min="61" max="64" width="11.375" style="3" bestFit="1" customWidth="1"/>
    <col min="65" max="65" width="3.875" style="3" customWidth="1"/>
    <col min="66" max="66" width="10.5" style="3" bestFit="1" customWidth="1"/>
    <col min="67" max="67" width="30.875" style="3" bestFit="1" customWidth="1"/>
    <col min="68" max="68" width="38.875" style="3" customWidth="1"/>
    <col min="69" max="69" width="15.875" style="3" customWidth="1"/>
    <col min="70" max="71" width="14.875" style="3" customWidth="1"/>
    <col min="72" max="75" width="11.375" style="3" bestFit="1" customWidth="1"/>
  </cols>
  <sheetData>
    <row r="1" spans="1:75" ht="15.75" customHeight="1">
      <c r="A1" s="1428" t="s">
        <v>0</v>
      </c>
      <c r="B1" s="1429"/>
      <c r="C1" s="1429"/>
      <c r="D1" s="1429"/>
      <c r="E1" s="1429"/>
      <c r="F1" s="1429"/>
      <c r="G1" s="1429"/>
      <c r="H1" s="1430"/>
      <c r="I1" s="1431" t="s">
        <v>1</v>
      </c>
      <c r="J1" s="1431"/>
      <c r="K1" s="1431"/>
      <c r="L1" s="1431"/>
      <c r="M1" s="2"/>
    </row>
    <row r="2" spans="1:75" s="4" customFormat="1" ht="15.75" customHeight="1">
      <c r="A2" s="1428" t="s">
        <v>2</v>
      </c>
      <c r="B2" s="1429"/>
      <c r="C2" s="1429"/>
      <c r="D2" s="1429"/>
      <c r="E2" s="1429"/>
      <c r="F2" s="1429"/>
      <c r="G2" s="1429"/>
      <c r="H2" s="1430"/>
      <c r="I2" s="1431"/>
      <c r="J2" s="1431"/>
      <c r="K2" s="1431"/>
      <c r="L2" s="1431"/>
      <c r="M2" s="2"/>
      <c r="U2" s="5"/>
      <c r="AF2" s="5"/>
      <c r="AQ2" s="5"/>
      <c r="BB2" s="5"/>
      <c r="BM2" s="5"/>
    </row>
    <row r="3" spans="1:75" ht="45">
      <c r="A3" s="6" t="s">
        <v>3</v>
      </c>
      <c r="B3" s="6" t="s">
        <v>4</v>
      </c>
      <c r="C3" s="7" t="s">
        <v>5</v>
      </c>
      <c r="D3" s="7" t="s">
        <v>6</v>
      </c>
      <c r="E3" s="824" t="s">
        <v>7</v>
      </c>
      <c r="F3" s="7" t="s">
        <v>8</v>
      </c>
      <c r="G3" s="7" t="s">
        <v>9</v>
      </c>
      <c r="H3" s="7" t="s">
        <v>10</v>
      </c>
      <c r="I3" s="8" t="s">
        <v>11</v>
      </c>
      <c r="J3" s="8" t="s">
        <v>12</v>
      </c>
      <c r="K3" s="8" t="s">
        <v>13</v>
      </c>
      <c r="L3" s="8" t="s">
        <v>14</v>
      </c>
    </row>
    <row r="4" spans="1:75" s="12" customFormat="1" ht="15.75" customHeight="1">
      <c r="A4" s="1382" t="s">
        <v>15</v>
      </c>
      <c r="B4" s="829" t="str">
        <f>+DESEMPATE!B3</f>
        <v>CONSORCIO FERROCARRIL DEL PACÍFICO</v>
      </c>
      <c r="C4" s="1375" t="s">
        <v>16</v>
      </c>
      <c r="D4" s="1375" t="s">
        <v>16</v>
      </c>
      <c r="E4" s="1375" t="s">
        <v>16</v>
      </c>
      <c r="F4" s="1366" t="s">
        <v>17</v>
      </c>
      <c r="G4" s="10" t="s">
        <v>18</v>
      </c>
      <c r="H4" s="10" t="s">
        <v>19</v>
      </c>
      <c r="I4" s="10" t="s">
        <v>19</v>
      </c>
      <c r="J4" s="10"/>
      <c r="K4" s="10"/>
      <c r="L4" s="10" t="s">
        <v>19</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row>
    <row r="5" spans="1:75" s="12" customFormat="1" ht="15.75" customHeight="1">
      <c r="A5" s="1060" t="s">
        <v>20</v>
      </c>
      <c r="B5" s="829" t="str">
        <f>+DESEMPATE!B6</f>
        <v>CONSORCIO FÉRREO DEL PACÍFICO</v>
      </c>
      <c r="C5" s="1355" t="s">
        <v>21</v>
      </c>
      <c r="D5" s="1355" t="s">
        <v>21</v>
      </c>
      <c r="E5" s="1355" t="s">
        <v>21</v>
      </c>
      <c r="F5" s="1376">
        <v>900</v>
      </c>
      <c r="G5" s="1291">
        <v>100</v>
      </c>
      <c r="H5" s="1291">
        <f>SUM(F5,G5)</f>
        <v>1000</v>
      </c>
      <c r="I5" s="10" t="s">
        <v>22</v>
      </c>
      <c r="J5" s="10"/>
      <c r="K5" s="10"/>
      <c r="L5" s="10" t="str">
        <f>+DESEMPATE!L6</f>
        <v>SI</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row>
    <row r="6" spans="1:75" s="12" customFormat="1" ht="22.5">
      <c r="A6" s="1060" t="s">
        <v>23</v>
      </c>
      <c r="B6" s="829" t="str">
        <f>+DESEMPATE!B8</f>
        <v>CONSORCIO INGEANDINA - GEOCONTROL 003-2016</v>
      </c>
      <c r="C6" s="1355" t="s">
        <v>21</v>
      </c>
      <c r="D6" s="1355" t="s">
        <v>21</v>
      </c>
      <c r="E6" s="1355" t="s">
        <v>21</v>
      </c>
      <c r="F6" s="1376">
        <v>900</v>
      </c>
      <c r="G6" s="1291">
        <v>100</v>
      </c>
      <c r="H6" s="1291">
        <f>SUM(F6,G6)</f>
        <v>1000</v>
      </c>
      <c r="I6" s="10" t="s">
        <v>22</v>
      </c>
      <c r="J6" s="10"/>
      <c r="K6" s="10"/>
      <c r="L6" s="10" t="str">
        <f>+DESEMPATE!L8</f>
        <v>SI</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row>
    <row r="7" spans="1:75" s="12" customFormat="1" ht="15.75" customHeight="1">
      <c r="A7" s="1382" t="s">
        <v>24</v>
      </c>
      <c r="B7" s="829" t="str">
        <f>+DESEMPATE!B10</f>
        <v>CONSORCIO RED FÉRREA DEL PACÍFICO</v>
      </c>
      <c r="C7" s="1375" t="s">
        <v>16</v>
      </c>
      <c r="D7" s="1375" t="s">
        <v>16</v>
      </c>
      <c r="E7" s="1375" t="s">
        <v>16</v>
      </c>
      <c r="F7" s="1366" t="s">
        <v>17</v>
      </c>
      <c r="G7" s="10" t="s">
        <v>18</v>
      </c>
      <c r="H7" s="10" t="s">
        <v>19</v>
      </c>
      <c r="I7" s="10" t="s">
        <v>19</v>
      </c>
      <c r="J7" s="10"/>
      <c r="K7" s="10"/>
      <c r="L7" s="10" t="s">
        <v>19</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row>
    <row r="8" spans="1:75" s="12" customFormat="1" ht="15.75" customHeight="1">
      <c r="A8" s="1060" t="s">
        <v>25</v>
      </c>
      <c r="B8" s="829" t="str">
        <f>+DESEMPATE!B13</f>
        <v xml:space="preserve">CONSORCIO REDES FERREAS </v>
      </c>
      <c r="C8" s="1355" t="s">
        <v>21</v>
      </c>
      <c r="D8" s="1355" t="s">
        <v>21</v>
      </c>
      <c r="E8" s="1355" t="s">
        <v>21</v>
      </c>
      <c r="F8" s="1376">
        <v>900</v>
      </c>
      <c r="G8" s="1291">
        <v>100</v>
      </c>
      <c r="H8" s="1291">
        <f>SUM(F8,G8)</f>
        <v>1000</v>
      </c>
      <c r="I8" s="10" t="s">
        <v>22</v>
      </c>
      <c r="J8" s="10"/>
      <c r="K8" s="10"/>
      <c r="L8" s="10" t="str">
        <f>+DESEMPATE!L13</f>
        <v>SI</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row>
    <row r="9" spans="1:75" s="12" customFormat="1" ht="15.75" customHeight="1">
      <c r="A9" s="1060" t="s">
        <v>26</v>
      </c>
      <c r="B9" s="829" t="str">
        <f>+DESEMPATE!B15</f>
        <v>CONSORCIO BAC-SILVA-ARENAS</v>
      </c>
      <c r="C9" s="1355" t="s">
        <v>21</v>
      </c>
      <c r="D9" s="1355" t="s">
        <v>21</v>
      </c>
      <c r="E9" s="1355" t="s">
        <v>21</v>
      </c>
      <c r="F9" s="1376">
        <v>900</v>
      </c>
      <c r="G9" s="1291">
        <v>100</v>
      </c>
      <c r="H9" s="1291">
        <f t="shared" ref="H9:H16" si="0">SUM(F9,G9)</f>
        <v>1000</v>
      </c>
      <c r="I9" s="10" t="s">
        <v>22</v>
      </c>
      <c r="J9" s="10"/>
      <c r="K9" s="10"/>
      <c r="L9" s="10" t="str">
        <f>+DESEMPATE!L15</f>
        <v>SI</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row>
    <row r="10" spans="1:75" s="12" customFormat="1" ht="15.75" customHeight="1">
      <c r="A10" s="1360" t="s">
        <v>27</v>
      </c>
      <c r="B10" s="829" t="str">
        <f>+DESEMPATE!B18</f>
        <v>PRODEINCOL S.A.S.</v>
      </c>
      <c r="C10" s="10" t="s">
        <v>21</v>
      </c>
      <c r="D10" s="1355" t="s">
        <v>21</v>
      </c>
      <c r="E10" s="1355" t="s">
        <v>21</v>
      </c>
      <c r="F10" s="1376">
        <v>900</v>
      </c>
      <c r="G10" s="1291">
        <v>100</v>
      </c>
      <c r="H10" s="1291">
        <f t="shared" si="0"/>
        <v>1000</v>
      </c>
      <c r="I10" s="10" t="s">
        <v>22</v>
      </c>
      <c r="J10" s="10"/>
      <c r="K10" s="10"/>
      <c r="L10" s="10" t="str">
        <f>+DESEMPATE!L18</f>
        <v>SI</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row>
    <row r="11" spans="1:75" s="12" customFormat="1" ht="15.75" customHeight="1">
      <c r="A11" s="1060" t="s">
        <v>28</v>
      </c>
      <c r="B11" s="829" t="str">
        <f>+DESEMPATE!B19</f>
        <v>3B PROYECTOS S.A.S.</v>
      </c>
      <c r="C11" s="10" t="s">
        <v>21</v>
      </c>
      <c r="D11" s="1355" t="s">
        <v>21</v>
      </c>
      <c r="E11" s="1355" t="s">
        <v>21</v>
      </c>
      <c r="F11" s="1376">
        <v>900</v>
      </c>
      <c r="G11" s="1291">
        <v>100</v>
      </c>
      <c r="H11" s="1291">
        <f t="shared" si="0"/>
        <v>1000</v>
      </c>
      <c r="I11" s="10" t="s">
        <v>22</v>
      </c>
      <c r="J11" s="10"/>
      <c r="K11" s="10"/>
      <c r="L11" s="10" t="str">
        <f>+DESEMPATE!L19</f>
        <v>SI</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spans="1:75" s="1374" customFormat="1" ht="15.75" customHeight="1">
      <c r="A12" s="1360" t="s">
        <v>29</v>
      </c>
      <c r="B12" s="1369" t="str">
        <f>+DESEMPATE!B20</f>
        <v xml:space="preserve">CONSORCIO LÍNEA FÉRREA </v>
      </c>
      <c r="C12" s="1366" t="s">
        <v>21</v>
      </c>
      <c r="D12" s="1355" t="s">
        <v>21</v>
      </c>
      <c r="E12" s="1355" t="s">
        <v>21</v>
      </c>
      <c r="F12" s="1376">
        <v>900</v>
      </c>
      <c r="G12" s="1291">
        <v>100</v>
      </c>
      <c r="H12" s="1291">
        <f t="shared" si="0"/>
        <v>1000</v>
      </c>
      <c r="I12" s="10" t="s">
        <v>22</v>
      </c>
      <c r="J12" s="1366"/>
      <c r="K12" s="1366"/>
      <c r="L12" s="1366" t="str">
        <f>+DESEMPATE!L20</f>
        <v>SI</v>
      </c>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c r="BG12" s="1373"/>
      <c r="BH12" s="1373"/>
      <c r="BI12" s="1373"/>
      <c r="BJ12" s="1373"/>
      <c r="BK12" s="1373"/>
      <c r="BL12" s="1373"/>
      <c r="BM12" s="1373"/>
      <c r="BN12" s="1373"/>
      <c r="BO12" s="1373"/>
      <c r="BP12" s="1373"/>
      <c r="BQ12" s="1373"/>
      <c r="BR12" s="1373"/>
      <c r="BS12" s="1373"/>
      <c r="BT12" s="1373"/>
      <c r="BU12" s="1373"/>
      <c r="BV12" s="1373"/>
      <c r="BW12" s="1373"/>
    </row>
    <row r="13" spans="1:75" ht="15.75" customHeight="1">
      <c r="A13" s="1060" t="s">
        <v>30</v>
      </c>
      <c r="B13" s="829" t="str">
        <f>+DESEMPATE!B22</f>
        <v>UNIÓN TEMPORAL RED PACÍFICO</v>
      </c>
      <c r="C13" s="10" t="s">
        <v>21</v>
      </c>
      <c r="D13" s="1355" t="s">
        <v>21</v>
      </c>
      <c r="E13" s="1355" t="s">
        <v>21</v>
      </c>
      <c r="F13" s="1376">
        <v>900</v>
      </c>
      <c r="G13" s="1291">
        <v>100</v>
      </c>
      <c r="H13" s="1291">
        <f t="shared" si="0"/>
        <v>1000</v>
      </c>
      <c r="I13" s="10" t="s">
        <v>22</v>
      </c>
      <c r="J13" s="10"/>
      <c r="K13" s="10"/>
      <c r="L13" s="10" t="str">
        <f>+DESEMPATE!L22</f>
        <v>SI</v>
      </c>
    </row>
    <row r="14" spans="1:75">
      <c r="A14" s="1360" t="s">
        <v>31</v>
      </c>
      <c r="B14" s="1116" t="str">
        <f>+DESEMPATE!B24</f>
        <v>CONSORCIO PACIFICO FERREO</v>
      </c>
      <c r="C14" s="10" t="s">
        <v>21</v>
      </c>
      <c r="D14" s="1355" t="s">
        <v>21</v>
      </c>
      <c r="E14" s="1292" t="s">
        <v>21</v>
      </c>
      <c r="F14" s="1291">
        <f>+'EXP ESPECIFICA '!AB43</f>
        <v>900</v>
      </c>
      <c r="G14" s="1291">
        <v>100</v>
      </c>
      <c r="H14" s="1291">
        <f t="shared" si="0"/>
        <v>1000</v>
      </c>
      <c r="I14" s="10" t="s">
        <v>22</v>
      </c>
      <c r="J14" s="10"/>
      <c r="K14" s="10"/>
      <c r="L14" s="10" t="str">
        <f>+DESEMPATE!L24</f>
        <v>SI</v>
      </c>
    </row>
    <row r="15" spans="1:75" ht="15.75" customHeight="1">
      <c r="A15" s="1360" t="s">
        <v>32</v>
      </c>
      <c r="B15" s="1116" t="str">
        <f>+DESEMPATE!B26</f>
        <v>CONSORCIO RED-PACÍFICIO</v>
      </c>
      <c r="C15" s="10" t="s">
        <v>21</v>
      </c>
      <c r="D15" s="1355" t="s">
        <v>21</v>
      </c>
      <c r="E15" s="1292" t="s">
        <v>21</v>
      </c>
      <c r="F15" s="1291">
        <f>+'EXP ESPECIFICA '!AB47</f>
        <v>900</v>
      </c>
      <c r="G15" s="1291">
        <v>100</v>
      </c>
      <c r="H15" s="1291">
        <f t="shared" si="0"/>
        <v>1000</v>
      </c>
      <c r="I15" s="10" t="s">
        <v>22</v>
      </c>
      <c r="J15" s="10"/>
      <c r="K15" s="10"/>
      <c r="L15" s="10" t="str">
        <f>+DESEMPATE!L26</f>
        <v>SI</v>
      </c>
    </row>
    <row r="16" spans="1:75" ht="15.75" customHeight="1">
      <c r="A16" s="1360" t="s">
        <v>33</v>
      </c>
      <c r="B16" s="1116" t="str">
        <f>+DESEMPATE!B28</f>
        <v>CONSORCIO INTER-FERREA</v>
      </c>
      <c r="C16" s="10" t="s">
        <v>21</v>
      </c>
      <c r="D16" s="1355" t="s">
        <v>21</v>
      </c>
      <c r="E16" s="1292" t="s">
        <v>21</v>
      </c>
      <c r="F16" s="1291">
        <f>+'EXP ESPECIFICA '!AB51</f>
        <v>900</v>
      </c>
      <c r="G16" s="1291">
        <v>100</v>
      </c>
      <c r="H16" s="1291">
        <f t="shared" si="0"/>
        <v>1000</v>
      </c>
      <c r="I16" s="10" t="s">
        <v>22</v>
      </c>
      <c r="J16" s="10"/>
      <c r="K16" s="10"/>
      <c r="L16" s="10" t="str">
        <f>+DESEMPATE!L28</f>
        <v>SI</v>
      </c>
    </row>
    <row r="17" spans="1:75" s="3" customFormat="1" ht="15.75" customHeight="1">
      <c r="A17" s="1360" t="s">
        <v>34</v>
      </c>
      <c r="B17" s="1116" t="str">
        <f>+DESEMPATE!B30</f>
        <v>CONSORCIO RED FÉRREA DEL PACÍFICO</v>
      </c>
      <c r="C17" s="10" t="s">
        <v>21</v>
      </c>
      <c r="D17" s="1355" t="s">
        <v>21</v>
      </c>
      <c r="E17" s="1292" t="s">
        <v>21</v>
      </c>
      <c r="F17" s="1291">
        <f>+'EXP ESPECIFICA '!AB55</f>
        <v>900</v>
      </c>
      <c r="G17" s="1291">
        <v>100</v>
      </c>
      <c r="H17" s="1291">
        <f t="shared" ref="H17:H26" si="1">SUM(F17,G17)</f>
        <v>1000</v>
      </c>
      <c r="I17" s="10" t="s">
        <v>22</v>
      </c>
      <c r="J17" s="10"/>
      <c r="K17" s="10"/>
      <c r="L17" s="10" t="str">
        <f>+DESEMPATE!L30</f>
        <v>SI</v>
      </c>
    </row>
    <row r="18" spans="1:75" s="3" customFormat="1" ht="15.75" customHeight="1">
      <c r="A18" s="1360" t="s">
        <v>35</v>
      </c>
      <c r="B18" s="1116" t="str">
        <f>+DESEMPATE!B32</f>
        <v>CONSORCIO ECOFER</v>
      </c>
      <c r="C18" s="10" t="s">
        <v>21</v>
      </c>
      <c r="D18" s="1355" t="s">
        <v>21</v>
      </c>
      <c r="E18" s="1292" t="s">
        <v>21</v>
      </c>
      <c r="F18" s="1291">
        <f>+'EXP ESPECIFICA '!AB59</f>
        <v>900</v>
      </c>
      <c r="G18" s="1291">
        <v>100</v>
      </c>
      <c r="H18" s="1291">
        <f t="shared" si="1"/>
        <v>1000</v>
      </c>
      <c r="I18" s="10" t="s">
        <v>22</v>
      </c>
      <c r="J18" s="10"/>
      <c r="K18" s="10"/>
      <c r="L18" s="10" t="str">
        <f>+DESEMPATE!L32</f>
        <v>SI</v>
      </c>
    </row>
    <row r="19" spans="1:75" s="3" customFormat="1" ht="15.75" customHeight="1">
      <c r="A19" s="1411" t="s">
        <v>36</v>
      </c>
      <c r="B19" s="829" t="str">
        <f>+DESEMPATE!B35</f>
        <v>CONSORCIO FERRODESARROLLO</v>
      </c>
      <c r="C19" s="10" t="s">
        <v>21</v>
      </c>
      <c r="D19" s="1355" t="s">
        <v>21</v>
      </c>
      <c r="E19" s="1292" t="s">
        <v>21</v>
      </c>
      <c r="F19" s="1291">
        <f>+'EXP ESPECIFICA '!AB63</f>
        <v>900</v>
      </c>
      <c r="G19" s="1291">
        <v>100</v>
      </c>
      <c r="H19" s="1291">
        <f t="shared" si="1"/>
        <v>1000</v>
      </c>
      <c r="I19" s="10" t="s">
        <v>22</v>
      </c>
      <c r="J19" s="10"/>
      <c r="K19" s="10"/>
      <c r="L19" s="10" t="str">
        <f>+DESEMPATE!L35</f>
        <v>SI</v>
      </c>
    </row>
    <row r="20" spans="1:75" s="3" customFormat="1" ht="15.75" customHeight="1">
      <c r="A20" s="1060" t="s">
        <v>37</v>
      </c>
      <c r="B20" s="829" t="str">
        <f>+DESEMPATE!B37</f>
        <v>CONSORCIO RED FÉRREA DEL PACÍFICO</v>
      </c>
      <c r="C20" s="10" t="s">
        <v>21</v>
      </c>
      <c r="D20" s="1355" t="s">
        <v>21</v>
      </c>
      <c r="E20" s="1292" t="s">
        <v>21</v>
      </c>
      <c r="F20" s="1291">
        <v>900</v>
      </c>
      <c r="G20" s="1291">
        <v>100</v>
      </c>
      <c r="H20" s="1291">
        <f t="shared" si="1"/>
        <v>1000</v>
      </c>
      <c r="I20" s="10" t="s">
        <v>22</v>
      </c>
      <c r="J20" s="10"/>
      <c r="K20" s="10"/>
      <c r="L20" s="10" t="str">
        <f>+DESEMPATE!L37</f>
        <v>SI</v>
      </c>
    </row>
    <row r="21" spans="1:75" s="3" customFormat="1" ht="15.75" customHeight="1">
      <c r="A21" s="1060" t="s">
        <v>38</v>
      </c>
      <c r="B21" s="829" t="str">
        <f>+DESEMPATE!B40</f>
        <v>CONSORCIO INTERCOL SP</v>
      </c>
      <c r="C21" s="10" t="s">
        <v>21</v>
      </c>
      <c r="D21" s="1355" t="s">
        <v>21</v>
      </c>
      <c r="E21" s="1292" t="s">
        <v>21</v>
      </c>
      <c r="F21" s="1291">
        <v>900</v>
      </c>
      <c r="G21" s="1291">
        <v>100</v>
      </c>
      <c r="H21" s="1291">
        <f t="shared" si="1"/>
        <v>1000</v>
      </c>
      <c r="I21" s="10" t="s">
        <v>22</v>
      </c>
      <c r="J21" s="10"/>
      <c r="K21" s="10"/>
      <c r="L21" s="10" t="str">
        <f>+DESEMPATE!L40</f>
        <v>SI</v>
      </c>
    </row>
    <row r="22" spans="1:75" s="3" customFormat="1" ht="15.75" customHeight="1">
      <c r="A22" s="1060" t="s">
        <v>39</v>
      </c>
      <c r="B22" s="829" t="str">
        <f>+DESEMPATE!B42</f>
        <v>CONCESION FERREA PACIFICO</v>
      </c>
      <c r="C22" s="10" t="s">
        <v>21</v>
      </c>
      <c r="D22" s="1355" t="s">
        <v>21</v>
      </c>
      <c r="E22" s="1292" t="s">
        <v>21</v>
      </c>
      <c r="F22" s="1291">
        <v>900</v>
      </c>
      <c r="G22" s="1291">
        <v>100</v>
      </c>
      <c r="H22" s="1291">
        <f t="shared" si="1"/>
        <v>1000</v>
      </c>
      <c r="I22" s="10" t="s">
        <v>22</v>
      </c>
      <c r="J22" s="10"/>
      <c r="K22" s="10"/>
      <c r="L22" s="10" t="str">
        <f>+DESEMPATE!L42</f>
        <v>SI</v>
      </c>
    </row>
    <row r="23" spans="1:75" s="3" customFormat="1" ht="15.75" customHeight="1">
      <c r="A23" s="1356" t="s">
        <v>40</v>
      </c>
      <c r="B23" s="829" t="str">
        <f>+DESEMPATE!B45</f>
        <v>CONSORCIO PROGIN-PLANES</v>
      </c>
      <c r="C23" s="10" t="s">
        <v>21</v>
      </c>
      <c r="D23" s="1355" t="s">
        <v>21</v>
      </c>
      <c r="E23" s="1292" t="s">
        <v>21</v>
      </c>
      <c r="F23" s="1291">
        <v>900</v>
      </c>
      <c r="G23" s="1291">
        <v>100</v>
      </c>
      <c r="H23" s="1291">
        <f t="shared" si="1"/>
        <v>1000</v>
      </c>
      <c r="I23" s="10" t="s">
        <v>22</v>
      </c>
      <c r="J23" s="10"/>
      <c r="K23" s="10"/>
      <c r="L23" s="10" t="str">
        <f>+DESEMPATE!L45</f>
        <v>SI</v>
      </c>
    </row>
    <row r="24" spans="1:75" s="3" customFormat="1" ht="15.75" customHeight="1">
      <c r="A24" s="1060" t="s">
        <v>41</v>
      </c>
      <c r="B24" s="829" t="str">
        <f>+DESEMPATE!B47</f>
        <v>CONSORCIO FERREO DEL PACIFICO</v>
      </c>
      <c r="C24" s="10" t="s">
        <v>21</v>
      </c>
      <c r="D24" s="1355" t="s">
        <v>21</v>
      </c>
      <c r="E24" s="1292" t="s">
        <v>21</v>
      </c>
      <c r="F24" s="1295">
        <v>900</v>
      </c>
      <c r="G24" s="1291">
        <v>100</v>
      </c>
      <c r="H24" s="1291">
        <f t="shared" si="1"/>
        <v>1000</v>
      </c>
      <c r="I24" s="10" t="s">
        <v>22</v>
      </c>
      <c r="J24" s="10"/>
      <c r="K24" s="10"/>
      <c r="L24" s="10" t="str">
        <f>+DESEMPATE!L47</f>
        <v>SI</v>
      </c>
    </row>
    <row r="25" spans="1:75" ht="15.75" customHeight="1">
      <c r="A25" s="1060" t="s">
        <v>42</v>
      </c>
      <c r="B25" s="829" t="str">
        <f>+DESEMPATE!B49</f>
        <v>CONSORCIO FERREO GC&amp;Q - SERVINC</v>
      </c>
      <c r="C25" s="10" t="s">
        <v>21</v>
      </c>
      <c r="D25" s="1355" t="s">
        <v>21</v>
      </c>
      <c r="E25" s="1292" t="s">
        <v>21</v>
      </c>
      <c r="F25" s="1295">
        <v>900</v>
      </c>
      <c r="G25" s="1291">
        <v>100</v>
      </c>
      <c r="H25" s="1291">
        <f t="shared" si="1"/>
        <v>1000</v>
      </c>
      <c r="I25" s="10" t="s">
        <v>22</v>
      </c>
      <c r="J25" s="10"/>
      <c r="K25" s="10"/>
      <c r="L25" s="10" t="str">
        <f>+DESEMPATE!L49</f>
        <v>SI</v>
      </c>
    </row>
    <row r="26" spans="1:75" ht="15.75" customHeight="1">
      <c r="A26" s="1060" t="s">
        <v>43</v>
      </c>
      <c r="B26" s="829" t="str">
        <f>+DESEMPATE!B51</f>
        <v>CONCOL INGENIERÍA S.A.S.</v>
      </c>
      <c r="C26" s="10" t="s">
        <v>21</v>
      </c>
      <c r="D26" s="1355" t="s">
        <v>21</v>
      </c>
      <c r="E26" s="1292" t="s">
        <v>21</v>
      </c>
      <c r="F26" s="1295">
        <v>900</v>
      </c>
      <c r="G26" s="1291">
        <v>100</v>
      </c>
      <c r="H26" s="1291">
        <f t="shared" si="1"/>
        <v>1000</v>
      </c>
      <c r="I26" s="10" t="s">
        <v>22</v>
      </c>
      <c r="J26" s="10"/>
      <c r="K26" s="10"/>
      <c r="L26" s="10" t="str">
        <f>+DESEMPATE!L51</f>
        <v>SI</v>
      </c>
    </row>
    <row r="27" spans="1:75" ht="15.75" customHeight="1">
      <c r="A27" s="1360" t="s">
        <v>44</v>
      </c>
      <c r="B27" s="9" t="str">
        <f>+DESEMPATE!B52</f>
        <v>ARDANUY COLOMBIA S.A.S.</v>
      </c>
      <c r="C27" s="10" t="s">
        <v>21</v>
      </c>
      <c r="D27" s="1355" t="s">
        <v>21</v>
      </c>
      <c r="E27" s="1292" t="s">
        <v>45</v>
      </c>
      <c r="F27" s="1295">
        <v>900</v>
      </c>
      <c r="G27" s="1291">
        <v>100</v>
      </c>
      <c r="H27" s="1291">
        <f t="shared" ref="H27" si="2">SUM(F27,G27)</f>
        <v>1000</v>
      </c>
      <c r="I27" s="10" t="s">
        <v>22</v>
      </c>
      <c r="J27" s="10"/>
      <c r="K27" s="10"/>
      <c r="L27" s="10" t="str">
        <f>+DESEMPATE!L52</f>
        <v>SI</v>
      </c>
    </row>
    <row r="28" spans="1:75" s="12" customFormat="1" ht="15.75" customHeight="1">
      <c r="A28" s="1426" t="s">
        <v>46</v>
      </c>
      <c r="B28" s="829" t="str">
        <f>+DESEMPATE!B53</f>
        <v>CONSORCIO CONPACIFICO-2016</v>
      </c>
      <c r="C28" s="10" t="s">
        <v>21</v>
      </c>
      <c r="D28" s="1355" t="s">
        <v>21</v>
      </c>
      <c r="E28" s="1292" t="s">
        <v>21</v>
      </c>
      <c r="F28" s="1379" t="s">
        <v>47</v>
      </c>
      <c r="G28" s="1291" t="s">
        <v>17</v>
      </c>
      <c r="H28" s="1291" t="s">
        <v>48</v>
      </c>
      <c r="I28" s="10" t="s">
        <v>48</v>
      </c>
      <c r="J28" s="10"/>
      <c r="K28" s="10"/>
      <c r="L28" s="10" t="s">
        <v>48</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row>
    <row r="29" spans="1:75" s="12" customFormat="1" ht="15.75" customHeight="1">
      <c r="A29" s="1060" t="s">
        <v>49</v>
      </c>
      <c r="B29" s="829" t="str">
        <f>+DESEMPATE!B56</f>
        <v>CONSORCIO A&amp;I PACIFICO 2016</v>
      </c>
      <c r="C29" s="10" t="s">
        <v>21</v>
      </c>
      <c r="D29" s="1355" t="s">
        <v>21</v>
      </c>
      <c r="E29" s="1292" t="s">
        <v>21</v>
      </c>
      <c r="F29" s="1295">
        <v>900</v>
      </c>
      <c r="G29" s="1291">
        <v>100</v>
      </c>
      <c r="H29" s="1291">
        <f t="shared" ref="H29:H31" si="3">SUM(F29,G29)</f>
        <v>1000</v>
      </c>
      <c r="I29" s="10" t="s">
        <v>22</v>
      </c>
      <c r="J29" s="10"/>
      <c r="K29" s="10"/>
      <c r="L29" s="10">
        <f>+DESEMPATE!L54</f>
        <v>0</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row>
    <row r="30" spans="1:75" s="12" customFormat="1" ht="22.5">
      <c r="A30" s="1411" t="s">
        <v>50</v>
      </c>
      <c r="B30" s="829" t="str">
        <f>+DESEMPATE!B58</f>
        <v>CONSORCIO PEYCO - SERINCO RED FÉRREA DEL PACÍFICO</v>
      </c>
      <c r="C30" s="10" t="s">
        <v>21</v>
      </c>
      <c r="D30" s="1355" t="s">
        <v>21</v>
      </c>
      <c r="E30" s="1292" t="s">
        <v>21</v>
      </c>
      <c r="F30" s="1291">
        <f>+'EXP ESPECIFICA '!AB107</f>
        <v>900</v>
      </c>
      <c r="G30" s="1291">
        <v>100</v>
      </c>
      <c r="H30" s="1291">
        <f t="shared" si="3"/>
        <v>1000</v>
      </c>
      <c r="I30" s="10" t="s">
        <v>22</v>
      </c>
      <c r="J30" s="10"/>
      <c r="K30" s="10"/>
      <c r="L30" s="10" t="s">
        <v>22</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row>
    <row r="31" spans="1:75" s="12" customFormat="1" ht="15.75" customHeight="1">
      <c r="A31" s="1060" t="s">
        <v>51</v>
      </c>
      <c r="B31" s="829" t="str">
        <f>+DESEMPATE!B60</f>
        <v>CONSORCIO TRENES DEL PACIFICO</v>
      </c>
      <c r="C31" s="10" t="s">
        <v>21</v>
      </c>
      <c r="D31" s="1355" t="s">
        <v>21</v>
      </c>
      <c r="E31" s="1365" t="s">
        <v>21</v>
      </c>
      <c r="F31" s="1366">
        <v>900</v>
      </c>
      <c r="G31" s="1291">
        <v>100</v>
      </c>
      <c r="H31" s="1291">
        <f t="shared" si="3"/>
        <v>1000</v>
      </c>
      <c r="I31" s="10" t="s">
        <v>22</v>
      </c>
      <c r="J31" s="10"/>
      <c r="K31" s="10"/>
      <c r="L31" s="10" t="s">
        <v>22</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row>
    <row r="32" spans="1:75" s="1371" customFormat="1" ht="33" customHeight="1">
      <c r="A32" s="1360" t="s">
        <v>52</v>
      </c>
      <c r="B32" s="1369" t="str">
        <f>+DESEMPATE!B63</f>
        <v>SUPERVISIÓN E INGENIERÍA DE PROYECTOS S.A.S. - SUPERING S.A.S.</v>
      </c>
      <c r="C32" s="1366" t="s">
        <v>21</v>
      </c>
      <c r="D32" s="1355" t="s">
        <v>21</v>
      </c>
      <c r="E32" s="1365" t="s">
        <v>21</v>
      </c>
      <c r="F32" s="1366">
        <v>900</v>
      </c>
      <c r="G32" s="1366">
        <v>100</v>
      </c>
      <c r="H32" s="1366">
        <f>+F32+G32</f>
        <v>1000</v>
      </c>
      <c r="I32" s="1366" t="s">
        <v>22</v>
      </c>
      <c r="J32" s="1366"/>
      <c r="K32" s="1366"/>
      <c r="L32" s="1366" t="str">
        <f>+DESEMPATE!L63</f>
        <v>SI</v>
      </c>
      <c r="M32" s="1370"/>
      <c r="N32" s="1370"/>
      <c r="O32" s="1370"/>
      <c r="P32" s="1370"/>
      <c r="Q32" s="1370"/>
      <c r="R32" s="1370"/>
      <c r="S32" s="1370"/>
      <c r="T32" s="1370"/>
      <c r="U32" s="1370"/>
      <c r="V32" s="1370"/>
      <c r="W32" s="1370"/>
      <c r="X32" s="1370"/>
      <c r="Y32" s="1370"/>
      <c r="Z32" s="1370"/>
      <c r="AA32" s="1370"/>
      <c r="AB32" s="1370"/>
      <c r="AC32" s="1370"/>
      <c r="AD32" s="1370"/>
      <c r="AE32" s="1370"/>
      <c r="AF32" s="1370"/>
      <c r="AG32" s="1370"/>
      <c r="AH32" s="1370"/>
      <c r="AI32" s="1370"/>
      <c r="AJ32" s="1370"/>
      <c r="AK32" s="1370"/>
      <c r="AL32" s="1370"/>
      <c r="AM32" s="1370"/>
      <c r="AN32" s="1370"/>
      <c r="AO32" s="1370"/>
      <c r="AP32" s="1370"/>
      <c r="AQ32" s="1370"/>
      <c r="AR32" s="1370"/>
      <c r="AS32" s="1370"/>
      <c r="AT32" s="1370"/>
      <c r="AU32" s="1370"/>
      <c r="AV32" s="1370"/>
      <c r="AW32" s="1370"/>
      <c r="AX32" s="1370"/>
      <c r="AY32" s="1370"/>
      <c r="AZ32" s="1370"/>
      <c r="BA32" s="1370"/>
      <c r="BB32" s="1370"/>
      <c r="BC32" s="1370"/>
      <c r="BD32" s="1370"/>
      <c r="BE32" s="1370"/>
      <c r="BF32" s="1370"/>
      <c r="BG32" s="1370"/>
      <c r="BH32" s="1370"/>
      <c r="BI32" s="1370"/>
      <c r="BJ32" s="1370"/>
      <c r="BK32" s="1370"/>
      <c r="BL32" s="1370"/>
      <c r="BM32" s="1370"/>
      <c r="BN32" s="1370"/>
      <c r="BO32" s="1370"/>
      <c r="BP32" s="1370"/>
      <c r="BQ32" s="1370"/>
      <c r="BR32" s="1370"/>
      <c r="BS32" s="1370"/>
      <c r="BT32" s="1370"/>
      <c r="BU32" s="1370"/>
      <c r="BV32" s="1370"/>
      <c r="BW32" s="1370"/>
    </row>
    <row r="33" spans="1:75" s="12" customFormat="1" ht="15.75" customHeight="1">
      <c r="A33" s="1060" t="s">
        <v>53</v>
      </c>
      <c r="B33" s="829" t="str">
        <f>+DESEMPATE!B64</f>
        <v>CONSORCIO SAITEC JOYCO</v>
      </c>
      <c r="C33" s="10" t="s">
        <v>21</v>
      </c>
      <c r="D33" s="1355" t="s">
        <v>21</v>
      </c>
      <c r="E33" s="1365" t="s">
        <v>21</v>
      </c>
      <c r="F33" s="1366">
        <v>900</v>
      </c>
      <c r="G33" s="1291">
        <v>100</v>
      </c>
      <c r="H33" s="1291">
        <f t="shared" ref="H33:H34" si="4">SUM(F33,G33)</f>
        <v>1000</v>
      </c>
      <c r="I33" s="10" t="s">
        <v>22</v>
      </c>
      <c r="J33" s="10"/>
      <c r="K33" s="10"/>
      <c r="L33" s="10" t="str">
        <f>+DESEMPATE!L64</f>
        <v>SI</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row>
    <row r="34" spans="1:75" s="12" customFormat="1" ht="15.75" customHeight="1">
      <c r="A34" s="1060" t="s">
        <v>54</v>
      </c>
      <c r="B34" s="829" t="str">
        <f>+DESEMPATE!B66</f>
        <v>CONSORCIO FERREPACÍFICO 2016</v>
      </c>
      <c r="C34" s="10" t="s">
        <v>21</v>
      </c>
      <c r="D34" s="1355" t="s">
        <v>21</v>
      </c>
      <c r="E34" s="1365" t="s">
        <v>21</v>
      </c>
      <c r="F34" s="1366">
        <v>900</v>
      </c>
      <c r="G34" s="1291">
        <v>100</v>
      </c>
      <c r="H34" s="1291">
        <f t="shared" si="4"/>
        <v>1000</v>
      </c>
      <c r="I34" s="10" t="s">
        <v>22</v>
      </c>
      <c r="J34" s="10"/>
      <c r="K34" s="10"/>
      <c r="L34" s="10" t="str">
        <f>+DESEMPATE!L66</f>
        <v>SI</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row>
    <row r="35" spans="1:75" s="12" customFormat="1" ht="15.75" customHeight="1">
      <c r="A35" s="1382" t="s">
        <v>55</v>
      </c>
      <c r="B35" s="829" t="str">
        <f>+DESEMPATE!B69</f>
        <v>EL CONSORCIO ESPERANZA 003</v>
      </c>
      <c r="C35" s="1377" t="s">
        <v>56</v>
      </c>
      <c r="D35" s="1377" t="s">
        <v>56</v>
      </c>
      <c r="E35" s="1378" t="s">
        <v>16</v>
      </c>
      <c r="F35" s="1366" t="s">
        <v>17</v>
      </c>
      <c r="G35" s="10" t="s">
        <v>18</v>
      </c>
      <c r="H35" s="10" t="s">
        <v>19</v>
      </c>
      <c r="I35" s="10" t="s">
        <v>19</v>
      </c>
      <c r="J35" s="10"/>
      <c r="K35" s="10"/>
      <c r="L35" s="10" t="s">
        <v>19</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row>
    <row r="36" spans="1:75" s="12" customFormat="1" ht="15.75" customHeight="1">
      <c r="A36" s="1060" t="s">
        <v>57</v>
      </c>
      <c r="B36" s="829" t="str">
        <f>+DESEMPATE!B72</f>
        <v>CONSORCIO GERENCIAR 2016</v>
      </c>
      <c r="C36" s="10" t="s">
        <v>21</v>
      </c>
      <c r="D36" s="1355" t="s">
        <v>21</v>
      </c>
      <c r="E36" s="825" t="s">
        <v>21</v>
      </c>
      <c r="F36" s="10">
        <v>900</v>
      </c>
      <c r="G36" s="1291">
        <v>100</v>
      </c>
      <c r="H36" s="1291">
        <f t="shared" ref="H36" si="5">SUM(F36,G36)</f>
        <v>1000</v>
      </c>
      <c r="I36" s="10" t="s">
        <v>22</v>
      </c>
      <c r="J36" s="10"/>
      <c r="K36" s="10"/>
      <c r="L36" s="10" t="str">
        <f>+DESEMPATE!L72</f>
        <v>SI</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row>
    <row r="37" spans="1:75" s="12" customFormat="1" ht="15.75" customHeight="1">
      <c r="A37" s="1382" t="s">
        <v>58</v>
      </c>
      <c r="B37" s="829" t="str">
        <f>+DESEMPATE!B74</f>
        <v xml:space="preserve">CONSORCIO CEMOSAS </v>
      </c>
      <c r="C37" s="1381" t="s">
        <v>56</v>
      </c>
      <c r="D37" s="1381" t="s">
        <v>56</v>
      </c>
      <c r="E37" s="1380" t="s">
        <v>16</v>
      </c>
      <c r="F37" s="1366" t="s">
        <v>17</v>
      </c>
      <c r="G37" s="10" t="s">
        <v>18</v>
      </c>
      <c r="H37" s="10" t="s">
        <v>19</v>
      </c>
      <c r="I37" s="10" t="s">
        <v>19</v>
      </c>
      <c r="J37" s="10"/>
      <c r="K37" s="10"/>
      <c r="L37" s="10" t="s">
        <v>19</v>
      </c>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row>
    <row r="38" spans="1:75" s="1374" customFormat="1" ht="15.75" customHeight="1">
      <c r="A38" s="1360" t="s">
        <v>59</v>
      </c>
      <c r="B38" s="1369" t="str">
        <f>+DESEMPATE!B76</f>
        <v>HMV CONSULTORÍA S.A.S.</v>
      </c>
      <c r="C38" s="1366" t="s">
        <v>60</v>
      </c>
      <c r="D38" s="1355" t="s">
        <v>21</v>
      </c>
      <c r="E38" s="1365" t="s">
        <v>21</v>
      </c>
      <c r="F38" s="1372">
        <v>900</v>
      </c>
      <c r="G38" s="1291">
        <v>100</v>
      </c>
      <c r="H38" s="1291">
        <f t="shared" ref="H38:H40" si="6">SUM(F38,G38)</f>
        <v>1000</v>
      </c>
      <c r="I38" s="10" t="s">
        <v>22</v>
      </c>
      <c r="J38" s="1372"/>
      <c r="K38" s="1372"/>
      <c r="L38" s="1366" t="str">
        <f>+DESEMPATE!L76</f>
        <v>SI</v>
      </c>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c r="AI38" s="1373"/>
      <c r="AJ38" s="1373"/>
      <c r="AK38" s="1373"/>
      <c r="AL38" s="1373"/>
      <c r="AM38" s="1373"/>
      <c r="AN38" s="1373"/>
      <c r="AO38" s="1373"/>
      <c r="AP38" s="1373"/>
      <c r="AQ38" s="1373"/>
      <c r="AR38" s="1373"/>
      <c r="AS38" s="1373"/>
      <c r="AT38" s="1373"/>
      <c r="AU38" s="1373"/>
      <c r="AV38" s="1373"/>
      <c r="AW38" s="1373"/>
      <c r="AX38" s="1373"/>
      <c r="AY38" s="1373"/>
      <c r="AZ38" s="1373"/>
      <c r="BA38" s="1373"/>
      <c r="BB38" s="1373"/>
      <c r="BC38" s="1373"/>
      <c r="BD38" s="1373"/>
      <c r="BE38" s="1373"/>
      <c r="BF38" s="1373"/>
      <c r="BG38" s="1373"/>
      <c r="BH38" s="1373"/>
      <c r="BI38" s="1373"/>
      <c r="BJ38" s="1373"/>
      <c r="BK38" s="1373"/>
      <c r="BL38" s="1373"/>
      <c r="BM38" s="1373"/>
      <c r="BN38" s="1373"/>
      <c r="BO38" s="1373"/>
      <c r="BP38" s="1373"/>
      <c r="BQ38" s="1373"/>
      <c r="BR38" s="1373"/>
      <c r="BS38" s="1373"/>
      <c r="BT38" s="1373"/>
      <c r="BU38" s="1373"/>
      <c r="BV38" s="1373"/>
      <c r="BW38" s="1373"/>
    </row>
    <row r="39" spans="1:75" s="3" customFormat="1" ht="15.75" customHeight="1">
      <c r="A39" s="1060" t="s">
        <v>61</v>
      </c>
      <c r="B39" s="829" t="str">
        <f>+DESEMPATE!B77</f>
        <v>CONSORCIO CB - TTU</v>
      </c>
      <c r="C39" s="1366" t="s">
        <v>60</v>
      </c>
      <c r="D39" s="1355" t="s">
        <v>21</v>
      </c>
      <c r="E39" s="825" t="s">
        <v>45</v>
      </c>
      <c r="F39" s="15">
        <v>900</v>
      </c>
      <c r="G39" s="1291">
        <v>100</v>
      </c>
      <c r="H39" s="1291">
        <f t="shared" si="6"/>
        <v>1000</v>
      </c>
      <c r="I39" s="10" t="s">
        <v>22</v>
      </c>
      <c r="J39" s="15"/>
      <c r="K39" s="15"/>
      <c r="L39" s="10" t="str">
        <f>+DESEMPATE!L77</f>
        <v>SI</v>
      </c>
    </row>
    <row r="40" spans="1:75" s="3" customFormat="1" ht="15.75" customHeight="1">
      <c r="A40" s="1060" t="s">
        <v>62</v>
      </c>
      <c r="B40" s="829" t="str">
        <f>+DESEMPATE!B79</f>
        <v>CONSORCIO RED FÉRREA INSEG</v>
      </c>
      <c r="C40" s="1366" t="s">
        <v>60</v>
      </c>
      <c r="D40" s="1355" t="s">
        <v>21</v>
      </c>
      <c r="E40" s="825" t="s">
        <v>45</v>
      </c>
      <c r="F40" s="15">
        <v>900</v>
      </c>
      <c r="G40" s="1291">
        <v>100</v>
      </c>
      <c r="H40" s="1291">
        <f t="shared" si="6"/>
        <v>1000</v>
      </c>
      <c r="I40" s="10" t="s">
        <v>22</v>
      </c>
      <c r="J40" s="15"/>
      <c r="K40" s="15"/>
      <c r="L40" s="10" t="str">
        <f>+DESEMPATE!L79</f>
        <v>SI</v>
      </c>
    </row>
    <row r="41" spans="1:75" s="3" customFormat="1" ht="27" customHeight="1">
      <c r="A41" s="1383" t="s">
        <v>63</v>
      </c>
      <c r="B41" s="9" t="str">
        <f>+DESEMPATE!B81</f>
        <v>CONSORCIO INTERVENTORÍA RED FERREA DEL PACÍFICO 2016</v>
      </c>
      <c r="C41" s="1381" t="s">
        <v>56</v>
      </c>
      <c r="D41" s="1381" t="s">
        <v>56</v>
      </c>
      <c r="E41" s="1380" t="s">
        <v>16</v>
      </c>
      <c r="F41" s="1366" t="s">
        <v>17</v>
      </c>
      <c r="G41" s="10" t="s">
        <v>18</v>
      </c>
      <c r="H41" s="10" t="s">
        <v>19</v>
      </c>
      <c r="I41" s="10" t="s">
        <v>19</v>
      </c>
      <c r="J41" s="10"/>
      <c r="K41" s="10"/>
      <c r="L41" s="10" t="s">
        <v>19</v>
      </c>
    </row>
  </sheetData>
  <mergeCells count="3">
    <mergeCell ref="A1:H1"/>
    <mergeCell ref="I1:L2"/>
    <mergeCell ref="A2:H2"/>
  </mergeCells>
  <conditionalFormatting sqref="F20:F23 G28:L28 F5:L6 F8:F17 J8:L27 F32:L32 J29:L31 F31 F35:L35 F33:F34 J33:L34 F36 J36:L36 L38:L40">
    <cfRule type="containsText" dxfId="278" priority="33" operator="containsText" text="N/A">
      <formula>NOT(ISERROR(SEARCH("N/A",F5)))</formula>
    </cfRule>
  </conditionalFormatting>
  <conditionalFormatting sqref="E39:E40 E18 C18:D29 C30:C37 E31:E37 C4:E17 D30:D40">
    <cfRule type="containsText" dxfId="277" priority="32" operator="containsText" text="NO SE PRESENTO">
      <formula>NOT(ISERROR(SEARCH("NO SE PRESENTO",C4)))</formula>
    </cfRule>
  </conditionalFormatting>
  <conditionalFormatting sqref="E24:F29">
    <cfRule type="containsText" dxfId="276" priority="31" operator="containsText" text="NO SE PRESENTO">
      <formula>NOT(ISERROR(SEARCH("NO SE PRESENTO",E24)))</formula>
    </cfRule>
  </conditionalFormatting>
  <conditionalFormatting sqref="F19">
    <cfRule type="containsText" dxfId="275" priority="30" operator="containsText" text="N/A">
      <formula>NOT(ISERROR(SEARCH("N/A",F19)))</formula>
    </cfRule>
  </conditionalFormatting>
  <conditionalFormatting sqref="E38 C38:C40">
    <cfRule type="containsText" dxfId="274" priority="28" operator="containsText" text="NO SE PRESENTO">
      <formula>NOT(ISERROR(SEARCH("NO SE PRESENTO",C38)))</formula>
    </cfRule>
  </conditionalFormatting>
  <conditionalFormatting sqref="F30">
    <cfRule type="containsText" dxfId="273" priority="27" operator="containsText" text="N/A">
      <formula>NOT(ISERROR(SEARCH("N/A",F30)))</formula>
    </cfRule>
  </conditionalFormatting>
  <conditionalFormatting sqref="E30">
    <cfRule type="containsText" dxfId="272" priority="26" operator="containsText" text="NO SE PRESENTO">
      <formula>NOT(ISERROR(SEARCH("NO SE PRESENTO",E30)))</formula>
    </cfRule>
  </conditionalFormatting>
  <conditionalFormatting sqref="F18">
    <cfRule type="containsText" dxfId="271" priority="25" operator="containsText" text="N/A">
      <formula>NOT(ISERROR(SEARCH("N/A",F18)))</formula>
    </cfRule>
  </conditionalFormatting>
  <conditionalFormatting sqref="E19">
    <cfRule type="containsText" dxfId="270" priority="24" operator="containsText" text="NO SE PRESENTO">
      <formula>NOT(ISERROR(SEARCH("NO SE PRESENTO",E19)))</formula>
    </cfRule>
  </conditionalFormatting>
  <conditionalFormatting sqref="E20">
    <cfRule type="containsText" dxfId="269" priority="23" operator="containsText" text="NO SE PRESENTO">
      <formula>NOT(ISERROR(SEARCH("NO SE PRESENTO",E20)))</formula>
    </cfRule>
  </conditionalFormatting>
  <conditionalFormatting sqref="E21">
    <cfRule type="containsText" dxfId="268" priority="20" operator="containsText" text="NO SE PRESENTO">
      <formula>NOT(ISERROR(SEARCH("NO SE PRESENTO",E21)))</formula>
    </cfRule>
  </conditionalFormatting>
  <conditionalFormatting sqref="E22">
    <cfRule type="containsText" dxfId="267" priority="19" operator="containsText" text="NO SE PRESENTO">
      <formula>NOT(ISERROR(SEARCH("NO SE PRESENTO",E22)))</formula>
    </cfRule>
  </conditionalFormatting>
  <conditionalFormatting sqref="E23">
    <cfRule type="containsText" dxfId="266" priority="18" operator="containsText" text="NO SE PRESENTO">
      <formula>NOT(ISERROR(SEARCH("NO SE PRESENTO",E23)))</formula>
    </cfRule>
  </conditionalFormatting>
  <conditionalFormatting sqref="F37:L37">
    <cfRule type="containsText" dxfId="265" priority="16" operator="containsText" text="N/A">
      <formula>NOT(ISERROR(SEARCH("N/A",F37)))</formula>
    </cfRule>
  </conditionalFormatting>
  <conditionalFormatting sqref="F7:L7">
    <cfRule type="containsText" dxfId="264" priority="15" operator="containsText" text="N/A">
      <formula>NOT(ISERROR(SEARCH("N/A",F7)))</formula>
    </cfRule>
  </conditionalFormatting>
  <conditionalFormatting sqref="F4:L4">
    <cfRule type="containsText" dxfId="263" priority="14" operator="containsText" text="N/A">
      <formula>NOT(ISERROR(SEARCH("N/A",F4)))</formula>
    </cfRule>
  </conditionalFormatting>
  <conditionalFormatting sqref="G8:I26">
    <cfRule type="containsText" dxfId="262" priority="12" operator="containsText" text="N/A">
      <formula>NOT(ISERROR(SEARCH("N/A",G8)))</formula>
    </cfRule>
  </conditionalFormatting>
  <conditionalFormatting sqref="G27:I27">
    <cfRule type="containsText" dxfId="261" priority="11" operator="containsText" text="N/A">
      <formula>NOT(ISERROR(SEARCH("N/A",G27)))</formula>
    </cfRule>
  </conditionalFormatting>
  <conditionalFormatting sqref="G29:I29">
    <cfRule type="containsText" dxfId="260" priority="10" operator="containsText" text="N/A">
      <formula>NOT(ISERROR(SEARCH("N/A",G29)))</formula>
    </cfRule>
  </conditionalFormatting>
  <conditionalFormatting sqref="G30:I31">
    <cfRule type="containsText" dxfId="259" priority="9" operator="containsText" text="N/A">
      <formula>NOT(ISERROR(SEARCH("N/A",G30)))</formula>
    </cfRule>
  </conditionalFormatting>
  <conditionalFormatting sqref="G33:I33">
    <cfRule type="containsText" dxfId="258" priority="8" operator="containsText" text="N/A">
      <formula>NOT(ISERROR(SEARCH("N/A",G33)))</formula>
    </cfRule>
  </conditionalFormatting>
  <conditionalFormatting sqref="G34:I34">
    <cfRule type="containsText" dxfId="257" priority="7" operator="containsText" text="N/A">
      <formula>NOT(ISERROR(SEARCH("N/A",G34)))</formula>
    </cfRule>
  </conditionalFormatting>
  <conditionalFormatting sqref="G36:I36">
    <cfRule type="containsText" dxfId="256" priority="6" operator="containsText" text="N/A">
      <formula>NOT(ISERROR(SEARCH("N/A",G36)))</formula>
    </cfRule>
  </conditionalFormatting>
  <conditionalFormatting sqref="G38:I38">
    <cfRule type="containsText" dxfId="255" priority="5" operator="containsText" text="N/A">
      <formula>NOT(ISERROR(SEARCH("N/A",G38)))</formula>
    </cfRule>
  </conditionalFormatting>
  <conditionalFormatting sqref="G39:I40">
    <cfRule type="containsText" dxfId="254" priority="4" operator="containsText" text="N/A">
      <formula>NOT(ISERROR(SEARCH("N/A",G39)))</formula>
    </cfRule>
  </conditionalFormatting>
  <conditionalFormatting sqref="C41:E41">
    <cfRule type="containsText" dxfId="253" priority="2" operator="containsText" text="NO SE PRESENTO">
      <formula>NOT(ISERROR(SEARCH("NO SE PRESENTO",C41)))</formula>
    </cfRule>
  </conditionalFormatting>
  <conditionalFormatting sqref="F41:L41">
    <cfRule type="containsText" dxfId="252" priority="1" operator="containsText" text="N/A">
      <formula>NOT(ISERROR(SEARCH("N/A",F41)))</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2"/>
  <sheetViews>
    <sheetView workbookViewId="0">
      <pane xSplit="2" ySplit="4" topLeftCell="C5" activePane="bottomRight" state="frozen"/>
      <selection pane="topRight" activeCell="C1" sqref="C1"/>
      <selection pane="bottomLeft" activeCell="A5" sqref="A5"/>
      <selection pane="bottomRight" activeCell="K5" sqref="K5"/>
    </sheetView>
  </sheetViews>
  <sheetFormatPr baseColWidth="10" defaultColWidth="11" defaultRowHeight="15"/>
  <cols>
    <col min="1" max="1" width="29.25" style="732" customWidth="1"/>
    <col min="2" max="2" width="17.125" style="743" bestFit="1" customWidth="1"/>
    <col min="3" max="3" width="16.875" style="761" bestFit="1" customWidth="1"/>
    <col min="4" max="4" width="4.5" style="743" customWidth="1"/>
    <col min="5" max="5" width="11" style="762" customWidth="1"/>
    <col min="6" max="6" width="11.125" style="838" bestFit="1" customWidth="1"/>
    <col min="7" max="7" width="10.125" style="763" bestFit="1" customWidth="1"/>
    <col min="8" max="8" width="11.125" style="838" bestFit="1" customWidth="1"/>
    <col min="9" max="9" width="9.25" style="762" bestFit="1" customWidth="1"/>
    <col min="10" max="10" width="11.125" style="838" bestFit="1" customWidth="1"/>
    <col min="11" max="11" width="8.5" style="763" customWidth="1"/>
    <col min="12" max="12" width="11.125" style="838" bestFit="1" customWidth="1"/>
    <col min="13" max="13" width="8.5" style="763" customWidth="1"/>
    <col min="14" max="14" width="11.125" style="838" bestFit="1" customWidth="1"/>
    <col min="15" max="15" width="8.5" style="763" customWidth="1"/>
    <col min="16" max="16" width="10.25" style="764" customWidth="1"/>
    <col min="17" max="17" width="11.25" style="764" customWidth="1"/>
    <col min="18" max="18" width="10.375" style="727" customWidth="1"/>
    <col min="19" max="19" width="8.125" style="727" customWidth="1"/>
    <col min="20" max="20" width="8.875" style="727" customWidth="1"/>
    <col min="21" max="21" width="9.375" style="727" customWidth="1"/>
    <col min="22" max="24" width="5.875" style="727" customWidth="1"/>
    <col min="25" max="25" width="11.5" style="727" customWidth="1"/>
    <col min="26" max="26" width="8.125" style="727" bestFit="1" customWidth="1"/>
    <col min="27" max="27" width="26.25" style="765" customWidth="1"/>
    <col min="28" max="16384" width="11" style="743"/>
  </cols>
  <sheetData>
    <row r="1" spans="1:28" s="726" customFormat="1" ht="29.25" customHeight="1" thickBot="1">
      <c r="A1" s="1469" t="s">
        <v>64</v>
      </c>
      <c r="B1" s="1472" t="s">
        <v>65</v>
      </c>
      <c r="C1" s="1475" t="s">
        <v>66</v>
      </c>
      <c r="D1" s="1472" t="s">
        <v>67</v>
      </c>
      <c r="E1" s="1478" t="s">
        <v>68</v>
      </c>
      <c r="F1" s="1453" t="s">
        <v>69</v>
      </c>
      <c r="G1" s="1454"/>
      <c r="H1" s="1454"/>
      <c r="I1" s="1454"/>
      <c r="J1" s="1454"/>
      <c r="K1" s="1454"/>
      <c r="L1" s="1454"/>
      <c r="M1" s="1454"/>
      <c r="N1" s="1454"/>
      <c r="O1" s="1455"/>
      <c r="P1" s="1463" t="s">
        <v>70</v>
      </c>
      <c r="Q1" s="1466" t="s">
        <v>71</v>
      </c>
      <c r="R1" s="1446" t="s">
        <v>72</v>
      </c>
      <c r="S1" s="1447"/>
      <c r="T1" s="1447"/>
      <c r="U1" s="1447"/>
      <c r="V1" s="1447"/>
      <c r="W1" s="1447"/>
      <c r="X1" s="1447"/>
      <c r="Y1" s="1448"/>
      <c r="Z1" s="1432" t="s">
        <v>73</v>
      </c>
      <c r="AA1" s="1433"/>
    </row>
    <row r="2" spans="1:28" s="727" customFormat="1" ht="15" customHeight="1">
      <c r="A2" s="1470"/>
      <c r="B2" s="1473"/>
      <c r="C2" s="1476"/>
      <c r="D2" s="1473"/>
      <c r="E2" s="1479"/>
      <c r="F2" s="1436" t="s">
        <v>74</v>
      </c>
      <c r="G2" s="1437"/>
      <c r="H2" s="1437"/>
      <c r="I2" s="1437"/>
      <c r="J2" s="1437"/>
      <c r="K2" s="1438"/>
      <c r="L2" s="1439" t="s">
        <v>75</v>
      </c>
      <c r="M2" s="1440"/>
      <c r="N2" s="1436" t="s">
        <v>76</v>
      </c>
      <c r="O2" s="1438"/>
      <c r="P2" s="1464"/>
      <c r="Q2" s="1467"/>
      <c r="R2" s="1443" t="s">
        <v>77</v>
      </c>
      <c r="S2" s="1436" t="s">
        <v>78</v>
      </c>
      <c r="T2" s="1437"/>
      <c r="U2" s="1438"/>
      <c r="V2" s="1436" t="s">
        <v>79</v>
      </c>
      <c r="W2" s="1437"/>
      <c r="X2" s="1438"/>
      <c r="Y2" s="1456" t="s">
        <v>80</v>
      </c>
      <c r="Z2" s="1434"/>
      <c r="AA2" s="1435"/>
      <c r="AB2" s="726"/>
    </row>
    <row r="3" spans="1:28" s="727" customFormat="1" ht="15.75" thickBot="1">
      <c r="A3" s="1470"/>
      <c r="B3" s="1473"/>
      <c r="C3" s="1476"/>
      <c r="D3" s="1473"/>
      <c r="E3" s="1479"/>
      <c r="F3" s="1459" t="s">
        <v>81</v>
      </c>
      <c r="G3" s="1460"/>
      <c r="H3" s="1461" t="s">
        <v>82</v>
      </c>
      <c r="I3" s="1460"/>
      <c r="J3" s="1461" t="s">
        <v>83</v>
      </c>
      <c r="K3" s="1462"/>
      <c r="L3" s="1459" t="s">
        <v>83</v>
      </c>
      <c r="M3" s="1462"/>
      <c r="N3" s="1441"/>
      <c r="O3" s="1442"/>
      <c r="P3" s="1464"/>
      <c r="Q3" s="1467"/>
      <c r="R3" s="1444"/>
      <c r="S3" s="1441"/>
      <c r="T3" s="1449"/>
      <c r="U3" s="1442"/>
      <c r="V3" s="1450"/>
      <c r="W3" s="1451"/>
      <c r="X3" s="1452"/>
      <c r="Y3" s="1457"/>
      <c r="Z3" s="1434"/>
      <c r="AA3" s="1435"/>
      <c r="AB3" s="726"/>
    </row>
    <row r="4" spans="1:28" s="727" customFormat="1" ht="15.75" thickBot="1">
      <c r="A4" s="1471"/>
      <c r="B4" s="1474"/>
      <c r="C4" s="1477"/>
      <c r="D4" s="1474"/>
      <c r="E4" s="1480"/>
      <c r="F4" s="834" t="s">
        <v>84</v>
      </c>
      <c r="G4" s="774" t="s">
        <v>85</v>
      </c>
      <c r="H4" s="839" t="s">
        <v>84</v>
      </c>
      <c r="I4" s="774" t="s">
        <v>85</v>
      </c>
      <c r="J4" s="839" t="s">
        <v>84</v>
      </c>
      <c r="K4" s="775" t="s">
        <v>85</v>
      </c>
      <c r="L4" s="834" t="s">
        <v>84</v>
      </c>
      <c r="M4" s="775" t="s">
        <v>85</v>
      </c>
      <c r="N4" s="834" t="s">
        <v>84</v>
      </c>
      <c r="O4" s="775" t="s">
        <v>85</v>
      </c>
      <c r="P4" s="1465"/>
      <c r="Q4" s="1468"/>
      <c r="R4" s="1445"/>
      <c r="S4" s="1384" t="s">
        <v>86</v>
      </c>
      <c r="T4" s="1385" t="s">
        <v>87</v>
      </c>
      <c r="U4" s="1386" t="s">
        <v>88</v>
      </c>
      <c r="V4" s="776">
        <v>900</v>
      </c>
      <c r="W4" s="777">
        <v>700</v>
      </c>
      <c r="X4" s="778">
        <v>600</v>
      </c>
      <c r="Y4" s="1458"/>
      <c r="Z4" s="779" t="s">
        <v>89</v>
      </c>
      <c r="AA4" s="780" t="s">
        <v>90</v>
      </c>
      <c r="AB4" s="726"/>
    </row>
    <row r="5" spans="1:28">
      <c r="A5" s="728" t="s">
        <v>91</v>
      </c>
      <c r="B5" s="1127" t="s">
        <v>92</v>
      </c>
      <c r="C5" s="744">
        <v>5593590000</v>
      </c>
      <c r="D5" s="733">
        <v>2015</v>
      </c>
      <c r="E5" s="745">
        <f>+C5/(IFERROR(INDEX(PARAMETROS!$B$46:$B$72,MATCH(D5,PARAMETROS!$A$46:$A$72,0)),""))</f>
        <v>8680.9808333979981</v>
      </c>
      <c r="F5" s="836">
        <v>1</v>
      </c>
      <c r="G5" s="729">
        <f>F5*E5</f>
        <v>8680.9808333979981</v>
      </c>
      <c r="H5" s="840">
        <v>0.51</v>
      </c>
      <c r="I5" s="730">
        <f>H5*E5</f>
        <v>4427.3002250329791</v>
      </c>
      <c r="J5" s="841">
        <v>0.2</v>
      </c>
      <c r="K5" s="731">
        <f>J5*E5</f>
        <v>1736.1961666795996</v>
      </c>
      <c r="L5" s="836">
        <v>0.2</v>
      </c>
      <c r="M5" s="731">
        <f>L5*E5</f>
        <v>1736.1961666795996</v>
      </c>
      <c r="N5" s="835">
        <v>0.45</v>
      </c>
      <c r="O5" s="731">
        <f>N5*E5</f>
        <v>3906.4413750290992</v>
      </c>
      <c r="P5" s="739">
        <v>42473</v>
      </c>
      <c r="Q5" s="740">
        <v>42495</v>
      </c>
      <c r="R5" s="741">
        <v>38</v>
      </c>
      <c r="S5" s="734"/>
      <c r="T5" s="736"/>
      <c r="U5" s="742"/>
      <c r="V5" s="734"/>
      <c r="W5" s="736"/>
      <c r="X5" s="742"/>
      <c r="Y5" s="741"/>
      <c r="Z5" s="734"/>
      <c r="AA5" s="746"/>
    </row>
    <row r="6" spans="1:28">
      <c r="A6" s="728"/>
      <c r="B6" s="733"/>
      <c r="C6" s="744"/>
      <c r="D6" s="733"/>
      <c r="E6" s="745"/>
      <c r="F6" s="836"/>
      <c r="G6" s="735"/>
      <c r="H6" s="841"/>
      <c r="I6" s="737"/>
      <c r="J6" s="841"/>
      <c r="K6" s="738"/>
      <c r="L6" s="836"/>
      <c r="M6" s="738"/>
      <c r="N6" s="836"/>
      <c r="O6" s="738"/>
      <c r="P6" s="739"/>
      <c r="Q6" s="740"/>
      <c r="R6" s="741"/>
      <c r="S6" s="734"/>
      <c r="T6" s="736"/>
      <c r="U6" s="742"/>
      <c r="V6" s="734"/>
      <c r="W6" s="736"/>
      <c r="X6" s="742"/>
      <c r="Y6" s="741"/>
      <c r="Z6" s="734"/>
      <c r="AA6" s="746"/>
    </row>
    <row r="7" spans="1:28" hidden="1">
      <c r="A7" s="728"/>
      <c r="B7" s="733"/>
      <c r="C7" s="744"/>
      <c r="D7" s="733"/>
      <c r="E7" s="745"/>
      <c r="F7" s="836"/>
      <c r="G7" s="735"/>
      <c r="H7" s="841"/>
      <c r="I7" s="737"/>
      <c r="J7" s="841"/>
      <c r="K7" s="738"/>
      <c r="L7" s="836"/>
      <c r="M7" s="738"/>
      <c r="N7" s="836"/>
      <c r="O7" s="738"/>
      <c r="P7" s="739"/>
      <c r="Q7" s="740"/>
      <c r="R7" s="741"/>
      <c r="S7" s="734"/>
      <c r="T7" s="736"/>
      <c r="U7" s="742"/>
      <c r="V7" s="734"/>
      <c r="W7" s="736"/>
      <c r="X7" s="742"/>
      <c r="Y7" s="741"/>
      <c r="Z7" s="734"/>
      <c r="AA7" s="746"/>
    </row>
    <row r="8" spans="1:28" hidden="1">
      <c r="A8" s="728"/>
      <c r="B8" s="733"/>
      <c r="C8" s="744"/>
      <c r="D8" s="733"/>
      <c r="E8" s="745"/>
      <c r="F8" s="836"/>
      <c r="G8" s="735"/>
      <c r="H8" s="841"/>
      <c r="I8" s="737"/>
      <c r="J8" s="841"/>
      <c r="K8" s="738"/>
      <c r="L8" s="836"/>
      <c r="M8" s="738"/>
      <c r="N8" s="836"/>
      <c r="O8" s="738"/>
      <c r="P8" s="739"/>
      <c r="Q8" s="740"/>
      <c r="R8" s="741"/>
      <c r="S8" s="734"/>
      <c r="T8" s="736"/>
      <c r="U8" s="742"/>
      <c r="V8" s="734"/>
      <c r="W8" s="736"/>
      <c r="X8" s="742"/>
      <c r="Y8" s="741"/>
      <c r="Z8" s="734"/>
      <c r="AA8" s="746"/>
    </row>
    <row r="9" spans="1:28" hidden="1">
      <c r="A9" s="728"/>
      <c r="B9" s="733"/>
      <c r="C9" s="744"/>
      <c r="D9" s="733"/>
      <c r="E9" s="745"/>
      <c r="F9" s="836"/>
      <c r="G9" s="735"/>
      <c r="H9" s="841"/>
      <c r="I9" s="737"/>
      <c r="J9" s="841"/>
      <c r="K9" s="738"/>
      <c r="L9" s="836"/>
      <c r="M9" s="738"/>
      <c r="N9" s="836"/>
      <c r="O9" s="738"/>
      <c r="P9" s="739"/>
      <c r="Q9" s="740"/>
      <c r="R9" s="741"/>
      <c r="S9" s="734"/>
      <c r="T9" s="736"/>
      <c r="U9" s="742"/>
      <c r="V9" s="734"/>
      <c r="W9" s="736"/>
      <c r="X9" s="742"/>
      <c r="Y9" s="741"/>
      <c r="Z9" s="734"/>
      <c r="AA9" s="746"/>
    </row>
    <row r="10" spans="1:28" hidden="1">
      <c r="A10" s="728"/>
      <c r="B10" s="733"/>
      <c r="C10" s="744"/>
      <c r="D10" s="733"/>
      <c r="E10" s="745"/>
      <c r="F10" s="836"/>
      <c r="G10" s="735"/>
      <c r="H10" s="841"/>
      <c r="I10" s="737"/>
      <c r="J10" s="841"/>
      <c r="K10" s="738"/>
      <c r="L10" s="836"/>
      <c r="M10" s="738"/>
      <c r="N10" s="836"/>
      <c r="O10" s="738"/>
      <c r="P10" s="739"/>
      <c r="Q10" s="740"/>
      <c r="R10" s="741"/>
      <c r="S10" s="734"/>
      <c r="T10" s="736"/>
      <c r="U10" s="742"/>
      <c r="V10" s="734"/>
      <c r="W10" s="736"/>
      <c r="X10" s="742"/>
      <c r="Y10" s="741"/>
      <c r="Z10" s="734"/>
      <c r="AA10" s="746"/>
    </row>
    <row r="11" spans="1:28" hidden="1">
      <c r="A11" s="728"/>
      <c r="B11" s="733"/>
      <c r="C11" s="744"/>
      <c r="D11" s="733"/>
      <c r="E11" s="745"/>
      <c r="F11" s="836"/>
      <c r="G11" s="735"/>
      <c r="H11" s="841"/>
      <c r="I11" s="737"/>
      <c r="J11" s="841"/>
      <c r="K11" s="738"/>
      <c r="L11" s="836"/>
      <c r="M11" s="738"/>
      <c r="N11" s="836"/>
      <c r="O11" s="738"/>
      <c r="P11" s="739"/>
      <c r="Q11" s="740"/>
      <c r="R11" s="741"/>
      <c r="S11" s="734"/>
      <c r="T11" s="736"/>
      <c r="U11" s="742"/>
      <c r="V11" s="734"/>
      <c r="W11" s="736"/>
      <c r="X11" s="742"/>
      <c r="Y11" s="741"/>
      <c r="Z11" s="734"/>
      <c r="AA11" s="746"/>
    </row>
    <row r="12" spans="1:28" hidden="1">
      <c r="A12" s="728"/>
      <c r="B12" s="733"/>
      <c r="C12" s="744"/>
      <c r="D12" s="733"/>
      <c r="E12" s="745"/>
      <c r="F12" s="836"/>
      <c r="G12" s="735"/>
      <c r="H12" s="841"/>
      <c r="I12" s="737"/>
      <c r="J12" s="841"/>
      <c r="K12" s="738"/>
      <c r="L12" s="836"/>
      <c r="M12" s="738"/>
      <c r="N12" s="836"/>
      <c r="O12" s="738"/>
      <c r="P12" s="739"/>
      <c r="Q12" s="740"/>
      <c r="R12" s="741"/>
      <c r="S12" s="734"/>
      <c r="T12" s="736"/>
      <c r="U12" s="742"/>
      <c r="V12" s="734"/>
      <c r="W12" s="736"/>
      <c r="X12" s="742"/>
      <c r="Y12" s="741"/>
      <c r="Z12" s="734"/>
      <c r="AA12" s="746"/>
    </row>
    <row r="13" spans="1:28" hidden="1">
      <c r="A13" s="728"/>
      <c r="B13" s="733"/>
      <c r="C13" s="744"/>
      <c r="D13" s="733"/>
      <c r="E13" s="745"/>
      <c r="F13" s="836"/>
      <c r="G13" s="735"/>
      <c r="H13" s="841"/>
      <c r="I13" s="737"/>
      <c r="J13" s="841"/>
      <c r="K13" s="738"/>
      <c r="L13" s="836"/>
      <c r="M13" s="738"/>
      <c r="N13" s="836"/>
      <c r="O13" s="738"/>
      <c r="P13" s="739"/>
      <c r="Q13" s="740"/>
      <c r="R13" s="741"/>
      <c r="S13" s="734"/>
      <c r="T13" s="736"/>
      <c r="U13" s="742"/>
      <c r="V13" s="734"/>
      <c r="W13" s="736"/>
      <c r="X13" s="742"/>
      <c r="Y13" s="741"/>
      <c r="Z13" s="734"/>
      <c r="AA13" s="746"/>
    </row>
    <row r="14" spans="1:28" hidden="1">
      <c r="A14" s="728"/>
      <c r="B14" s="733"/>
      <c r="C14" s="744"/>
      <c r="D14" s="733"/>
      <c r="E14" s="745"/>
      <c r="F14" s="836"/>
      <c r="G14" s="735"/>
      <c r="H14" s="841"/>
      <c r="I14" s="737"/>
      <c r="J14" s="841"/>
      <c r="K14" s="738"/>
      <c r="L14" s="836"/>
      <c r="M14" s="738"/>
      <c r="N14" s="836"/>
      <c r="O14" s="738"/>
      <c r="P14" s="739"/>
      <c r="Q14" s="740"/>
      <c r="R14" s="741"/>
      <c r="S14" s="734"/>
      <c r="T14" s="736"/>
      <c r="U14" s="742"/>
      <c r="V14" s="734"/>
      <c r="W14" s="736"/>
      <c r="X14" s="742"/>
      <c r="Y14" s="741"/>
      <c r="Z14" s="734"/>
      <c r="AA14" s="746"/>
    </row>
    <row r="15" spans="1:28" hidden="1">
      <c r="A15" s="728"/>
      <c r="B15" s="733"/>
      <c r="C15" s="744"/>
      <c r="D15" s="733"/>
      <c r="E15" s="745"/>
      <c r="F15" s="836"/>
      <c r="G15" s="735"/>
      <c r="H15" s="841"/>
      <c r="I15" s="737"/>
      <c r="J15" s="841"/>
      <c r="K15" s="738"/>
      <c r="L15" s="836"/>
      <c r="M15" s="738"/>
      <c r="N15" s="836"/>
      <c r="O15" s="738"/>
      <c r="P15" s="739"/>
      <c r="Q15" s="740"/>
      <c r="R15" s="741"/>
      <c r="S15" s="734"/>
      <c r="T15" s="736"/>
      <c r="U15" s="742"/>
      <c r="V15" s="734"/>
      <c r="W15" s="736"/>
      <c r="X15" s="742"/>
      <c r="Y15" s="741"/>
      <c r="Z15" s="734"/>
      <c r="AA15" s="746"/>
    </row>
    <row r="16" spans="1:28" hidden="1">
      <c r="A16" s="728"/>
      <c r="B16" s="733"/>
      <c r="C16" s="744"/>
      <c r="D16" s="733"/>
      <c r="E16" s="745"/>
      <c r="F16" s="836"/>
      <c r="G16" s="735"/>
      <c r="H16" s="841"/>
      <c r="I16" s="737"/>
      <c r="J16" s="841"/>
      <c r="K16" s="738"/>
      <c r="L16" s="836"/>
      <c r="M16" s="738"/>
      <c r="N16" s="836"/>
      <c r="O16" s="738"/>
      <c r="P16" s="739"/>
      <c r="Q16" s="740"/>
      <c r="R16" s="741"/>
      <c r="S16" s="734"/>
      <c r="T16" s="736"/>
      <c r="U16" s="742"/>
      <c r="V16" s="734"/>
      <c r="W16" s="736"/>
      <c r="X16" s="742"/>
      <c r="Y16" s="741"/>
      <c r="Z16" s="734"/>
      <c r="AA16" s="746"/>
    </row>
    <row r="17" spans="1:27" hidden="1">
      <c r="A17" s="728"/>
      <c r="B17" s="733"/>
      <c r="C17" s="744"/>
      <c r="D17" s="733"/>
      <c r="E17" s="745"/>
      <c r="F17" s="836"/>
      <c r="G17" s="735"/>
      <c r="H17" s="841"/>
      <c r="I17" s="737"/>
      <c r="J17" s="841"/>
      <c r="K17" s="738"/>
      <c r="L17" s="836"/>
      <c r="M17" s="738"/>
      <c r="N17" s="836"/>
      <c r="O17" s="738"/>
      <c r="P17" s="739"/>
      <c r="Q17" s="740"/>
      <c r="R17" s="741"/>
      <c r="S17" s="734"/>
      <c r="T17" s="736"/>
      <c r="U17" s="742"/>
      <c r="V17" s="734"/>
      <c r="W17" s="736"/>
      <c r="X17" s="742"/>
      <c r="Y17" s="741"/>
      <c r="Z17" s="734"/>
      <c r="AA17" s="746"/>
    </row>
    <row r="18" spans="1:27" hidden="1">
      <c r="A18" s="728"/>
      <c r="B18" s="733"/>
      <c r="C18" s="744"/>
      <c r="D18" s="733"/>
      <c r="E18" s="745"/>
      <c r="F18" s="836"/>
      <c r="G18" s="735"/>
      <c r="H18" s="841"/>
      <c r="I18" s="737"/>
      <c r="J18" s="841"/>
      <c r="K18" s="738"/>
      <c r="L18" s="836"/>
      <c r="M18" s="738"/>
      <c r="N18" s="836"/>
      <c r="O18" s="738"/>
      <c r="P18" s="739"/>
      <c r="Q18" s="740"/>
      <c r="R18" s="741"/>
      <c r="S18" s="734"/>
      <c r="T18" s="736"/>
      <c r="U18" s="742"/>
      <c r="V18" s="734"/>
      <c r="W18" s="736"/>
      <c r="X18" s="742"/>
      <c r="Y18" s="741"/>
      <c r="Z18" s="734"/>
      <c r="AA18" s="746"/>
    </row>
    <row r="19" spans="1:27" hidden="1">
      <c r="A19" s="728"/>
      <c r="B19" s="733"/>
      <c r="C19" s="744"/>
      <c r="D19" s="733"/>
      <c r="E19" s="745"/>
      <c r="F19" s="836"/>
      <c r="G19" s="735"/>
      <c r="H19" s="841"/>
      <c r="I19" s="737"/>
      <c r="J19" s="841"/>
      <c r="K19" s="738"/>
      <c r="L19" s="836"/>
      <c r="M19" s="738"/>
      <c r="N19" s="836"/>
      <c r="O19" s="738"/>
      <c r="P19" s="739"/>
      <c r="Q19" s="740"/>
      <c r="R19" s="741"/>
      <c r="S19" s="734"/>
      <c r="T19" s="736"/>
      <c r="U19" s="742"/>
      <c r="V19" s="734"/>
      <c r="W19" s="736"/>
      <c r="X19" s="742"/>
      <c r="Y19" s="741"/>
      <c r="Z19" s="734"/>
      <c r="AA19" s="746"/>
    </row>
    <row r="20" spans="1:27" hidden="1">
      <c r="A20" s="728"/>
      <c r="B20" s="733"/>
      <c r="C20" s="744"/>
      <c r="D20" s="733"/>
      <c r="E20" s="745"/>
      <c r="F20" s="836"/>
      <c r="G20" s="735"/>
      <c r="H20" s="841"/>
      <c r="I20" s="737"/>
      <c r="J20" s="841"/>
      <c r="K20" s="738"/>
      <c r="L20" s="836"/>
      <c r="M20" s="738"/>
      <c r="N20" s="836"/>
      <c r="O20" s="738"/>
      <c r="P20" s="739"/>
      <c r="Q20" s="740"/>
      <c r="R20" s="741"/>
      <c r="S20" s="734"/>
      <c r="T20" s="736"/>
      <c r="U20" s="742"/>
      <c r="V20" s="734"/>
      <c r="W20" s="736"/>
      <c r="X20" s="742"/>
      <c r="Y20" s="741"/>
      <c r="Z20" s="734"/>
      <c r="AA20" s="746"/>
    </row>
    <row r="21" spans="1:27" hidden="1">
      <c r="A21" s="728"/>
      <c r="B21" s="733"/>
      <c r="C21" s="744"/>
      <c r="D21" s="733"/>
      <c r="E21" s="745"/>
      <c r="F21" s="836"/>
      <c r="G21" s="735"/>
      <c r="H21" s="841"/>
      <c r="I21" s="737"/>
      <c r="J21" s="841"/>
      <c r="K21" s="738"/>
      <c r="L21" s="836"/>
      <c r="M21" s="738"/>
      <c r="N21" s="836"/>
      <c r="O21" s="738"/>
      <c r="P21" s="739"/>
      <c r="Q21" s="740"/>
      <c r="R21" s="741"/>
      <c r="S21" s="734"/>
      <c r="T21" s="736"/>
      <c r="U21" s="742"/>
      <c r="V21" s="734"/>
      <c r="W21" s="736"/>
      <c r="X21" s="742"/>
      <c r="Y21" s="741"/>
      <c r="Z21" s="734"/>
      <c r="AA21" s="746"/>
    </row>
    <row r="22" spans="1:27" hidden="1">
      <c r="A22" s="728"/>
      <c r="B22" s="733"/>
      <c r="C22" s="744"/>
      <c r="D22" s="733"/>
      <c r="E22" s="745"/>
      <c r="F22" s="836"/>
      <c r="G22" s="735"/>
      <c r="H22" s="841"/>
      <c r="I22" s="737"/>
      <c r="J22" s="841"/>
      <c r="K22" s="738"/>
      <c r="L22" s="836"/>
      <c r="M22" s="738"/>
      <c r="N22" s="836"/>
      <c r="O22" s="738"/>
      <c r="P22" s="739"/>
      <c r="Q22" s="740"/>
      <c r="R22" s="741"/>
      <c r="S22" s="734"/>
      <c r="T22" s="736"/>
      <c r="U22" s="742"/>
      <c r="V22" s="734"/>
      <c r="W22" s="736"/>
      <c r="X22" s="742"/>
      <c r="Y22" s="741"/>
      <c r="Z22" s="734"/>
      <c r="AA22" s="746"/>
    </row>
    <row r="23" spans="1:27" hidden="1">
      <c r="A23" s="728"/>
      <c r="B23" s="733"/>
      <c r="C23" s="744"/>
      <c r="D23" s="733"/>
      <c r="E23" s="745"/>
      <c r="F23" s="836"/>
      <c r="G23" s="735"/>
      <c r="H23" s="841"/>
      <c r="I23" s="737"/>
      <c r="J23" s="841"/>
      <c r="K23" s="738"/>
      <c r="L23" s="836"/>
      <c r="M23" s="738"/>
      <c r="N23" s="836"/>
      <c r="O23" s="738"/>
      <c r="P23" s="739"/>
      <c r="Q23" s="740"/>
      <c r="R23" s="741"/>
      <c r="S23" s="734"/>
      <c r="T23" s="736"/>
      <c r="U23" s="742"/>
      <c r="V23" s="734"/>
      <c r="W23" s="736"/>
      <c r="X23" s="742"/>
      <c r="Y23" s="741"/>
      <c r="Z23" s="734"/>
      <c r="AA23" s="746"/>
    </row>
    <row r="24" spans="1:27" hidden="1">
      <c r="A24" s="728"/>
      <c r="B24" s="733"/>
      <c r="C24" s="744"/>
      <c r="D24" s="733"/>
      <c r="E24" s="745"/>
      <c r="F24" s="836"/>
      <c r="G24" s="735"/>
      <c r="H24" s="841"/>
      <c r="I24" s="737"/>
      <c r="J24" s="841"/>
      <c r="K24" s="738"/>
      <c r="L24" s="836"/>
      <c r="M24" s="738"/>
      <c r="N24" s="836"/>
      <c r="O24" s="738"/>
      <c r="P24" s="739"/>
      <c r="Q24" s="740"/>
      <c r="R24" s="741"/>
      <c r="S24" s="734"/>
      <c r="T24" s="736"/>
      <c r="U24" s="742"/>
      <c r="V24" s="734"/>
      <c r="W24" s="736"/>
      <c r="X24" s="742"/>
      <c r="Y24" s="741"/>
      <c r="Z24" s="734"/>
      <c r="AA24" s="746"/>
    </row>
    <row r="25" spans="1:27" hidden="1">
      <c r="A25" s="728"/>
      <c r="B25" s="733"/>
      <c r="C25" s="744"/>
      <c r="D25" s="733"/>
      <c r="E25" s="745"/>
      <c r="F25" s="836"/>
      <c r="G25" s="735"/>
      <c r="H25" s="841"/>
      <c r="I25" s="737"/>
      <c r="J25" s="841"/>
      <c r="K25" s="738"/>
      <c r="L25" s="836"/>
      <c r="M25" s="738"/>
      <c r="N25" s="836"/>
      <c r="O25" s="738"/>
      <c r="P25" s="739"/>
      <c r="Q25" s="740"/>
      <c r="R25" s="741"/>
      <c r="S25" s="734"/>
      <c r="T25" s="736"/>
      <c r="U25" s="742"/>
      <c r="V25" s="734"/>
      <c r="W25" s="736"/>
      <c r="X25" s="742"/>
      <c r="Y25" s="741"/>
      <c r="Z25" s="734"/>
      <c r="AA25" s="746"/>
    </row>
    <row r="26" spans="1:27" hidden="1">
      <c r="A26" s="728"/>
      <c r="B26" s="733"/>
      <c r="C26" s="744"/>
      <c r="D26" s="733"/>
      <c r="E26" s="745"/>
      <c r="F26" s="836"/>
      <c r="G26" s="735"/>
      <c r="H26" s="841"/>
      <c r="I26" s="737"/>
      <c r="J26" s="841"/>
      <c r="K26" s="738"/>
      <c r="L26" s="836"/>
      <c r="M26" s="738"/>
      <c r="N26" s="836"/>
      <c r="O26" s="738"/>
      <c r="P26" s="739"/>
      <c r="Q26" s="740"/>
      <c r="R26" s="741"/>
      <c r="S26" s="734"/>
      <c r="T26" s="736"/>
      <c r="U26" s="742"/>
      <c r="V26" s="734"/>
      <c r="W26" s="736"/>
      <c r="X26" s="742"/>
      <c r="Y26" s="741"/>
      <c r="Z26" s="734"/>
      <c r="AA26" s="746"/>
    </row>
    <row r="27" spans="1:27" hidden="1">
      <c r="A27" s="728"/>
      <c r="B27" s="733"/>
      <c r="C27" s="744"/>
      <c r="D27" s="733"/>
      <c r="E27" s="745"/>
      <c r="F27" s="836"/>
      <c r="G27" s="735"/>
      <c r="H27" s="841"/>
      <c r="I27" s="737"/>
      <c r="J27" s="841"/>
      <c r="K27" s="738"/>
      <c r="L27" s="836"/>
      <c r="M27" s="738"/>
      <c r="N27" s="836"/>
      <c r="O27" s="738"/>
      <c r="P27" s="739"/>
      <c r="Q27" s="740"/>
      <c r="R27" s="741"/>
      <c r="S27" s="734"/>
      <c r="T27" s="736"/>
      <c r="U27" s="742"/>
      <c r="V27" s="734"/>
      <c r="W27" s="736"/>
      <c r="X27" s="742"/>
      <c r="Y27" s="741"/>
      <c r="Z27" s="734"/>
      <c r="AA27" s="746"/>
    </row>
    <row r="28" spans="1:27" hidden="1">
      <c r="A28" s="728"/>
      <c r="B28" s="733"/>
      <c r="C28" s="744"/>
      <c r="D28" s="733"/>
      <c r="E28" s="745"/>
      <c r="F28" s="836"/>
      <c r="G28" s="735"/>
      <c r="H28" s="841"/>
      <c r="I28" s="737"/>
      <c r="J28" s="841"/>
      <c r="K28" s="738"/>
      <c r="L28" s="836"/>
      <c r="M28" s="738"/>
      <c r="N28" s="836"/>
      <c r="O28" s="738"/>
      <c r="P28" s="739"/>
      <c r="Q28" s="740"/>
      <c r="R28" s="741"/>
      <c r="S28" s="734"/>
      <c r="T28" s="736"/>
      <c r="U28" s="742"/>
      <c r="V28" s="734"/>
      <c r="W28" s="736"/>
      <c r="X28" s="742"/>
      <c r="Y28" s="741"/>
      <c r="Z28" s="734"/>
      <c r="AA28" s="746"/>
    </row>
    <row r="29" spans="1:27" hidden="1">
      <c r="A29" s="728"/>
      <c r="B29" s="733"/>
      <c r="C29" s="744"/>
      <c r="D29" s="733"/>
      <c r="E29" s="745"/>
      <c r="F29" s="836"/>
      <c r="G29" s="735"/>
      <c r="H29" s="841"/>
      <c r="I29" s="737"/>
      <c r="J29" s="841"/>
      <c r="K29" s="738"/>
      <c r="L29" s="836"/>
      <c r="M29" s="738"/>
      <c r="N29" s="836"/>
      <c r="O29" s="738"/>
      <c r="P29" s="739"/>
      <c r="Q29" s="740"/>
      <c r="R29" s="741"/>
      <c r="S29" s="734"/>
      <c r="T29" s="736"/>
      <c r="U29" s="742"/>
      <c r="V29" s="734"/>
      <c r="W29" s="736"/>
      <c r="X29" s="742"/>
      <c r="Y29" s="741"/>
      <c r="Z29" s="734"/>
      <c r="AA29" s="746"/>
    </row>
    <row r="30" spans="1:27" hidden="1">
      <c r="A30" s="728"/>
      <c r="B30" s="733"/>
      <c r="C30" s="744"/>
      <c r="D30" s="733"/>
      <c r="E30" s="745"/>
      <c r="F30" s="836"/>
      <c r="G30" s="735"/>
      <c r="H30" s="841"/>
      <c r="I30" s="737"/>
      <c r="J30" s="841"/>
      <c r="K30" s="738"/>
      <c r="L30" s="836"/>
      <c r="M30" s="738"/>
      <c r="N30" s="836"/>
      <c r="O30" s="738"/>
      <c r="P30" s="739"/>
      <c r="Q30" s="740"/>
      <c r="R30" s="741"/>
      <c r="S30" s="734"/>
      <c r="T30" s="736"/>
      <c r="U30" s="742"/>
      <c r="V30" s="734"/>
      <c r="W30" s="736"/>
      <c r="X30" s="742"/>
      <c r="Y30" s="741"/>
      <c r="Z30" s="734"/>
      <c r="AA30" s="746"/>
    </row>
    <row r="31" spans="1:27" hidden="1">
      <c r="A31" s="728"/>
      <c r="B31" s="733"/>
      <c r="C31" s="744"/>
      <c r="D31" s="733"/>
      <c r="E31" s="745"/>
      <c r="F31" s="836"/>
      <c r="G31" s="735"/>
      <c r="H31" s="841"/>
      <c r="I31" s="737"/>
      <c r="J31" s="841"/>
      <c r="K31" s="738"/>
      <c r="L31" s="836"/>
      <c r="M31" s="738"/>
      <c r="N31" s="836"/>
      <c r="O31" s="738"/>
      <c r="P31" s="739"/>
      <c r="Q31" s="740"/>
      <c r="R31" s="741"/>
      <c r="S31" s="734"/>
      <c r="T31" s="736"/>
      <c r="U31" s="742"/>
      <c r="V31" s="734"/>
      <c r="W31" s="736"/>
      <c r="X31" s="742"/>
      <c r="Y31" s="741"/>
      <c r="Z31" s="734"/>
      <c r="AA31" s="746"/>
    </row>
    <row r="32" spans="1:27" hidden="1">
      <c r="A32" s="728"/>
      <c r="B32" s="733"/>
      <c r="C32" s="744"/>
      <c r="D32" s="733"/>
      <c r="E32" s="745"/>
      <c r="F32" s="836"/>
      <c r="G32" s="735"/>
      <c r="H32" s="841"/>
      <c r="I32" s="737"/>
      <c r="J32" s="841"/>
      <c r="K32" s="738"/>
      <c r="L32" s="836"/>
      <c r="M32" s="738"/>
      <c r="N32" s="836"/>
      <c r="O32" s="738"/>
      <c r="P32" s="739"/>
      <c r="Q32" s="740"/>
      <c r="R32" s="741"/>
      <c r="S32" s="734"/>
      <c r="T32" s="736"/>
      <c r="U32" s="742"/>
      <c r="V32" s="734"/>
      <c r="W32" s="736"/>
      <c r="X32" s="742"/>
      <c r="Y32" s="741"/>
      <c r="Z32" s="734"/>
      <c r="AA32" s="746"/>
    </row>
    <row r="33" spans="1:27" hidden="1">
      <c r="A33" s="728"/>
      <c r="B33" s="733"/>
      <c r="C33" s="744"/>
      <c r="D33" s="733"/>
      <c r="E33" s="745"/>
      <c r="F33" s="836"/>
      <c r="G33" s="735"/>
      <c r="H33" s="841"/>
      <c r="I33" s="737"/>
      <c r="J33" s="841"/>
      <c r="K33" s="738"/>
      <c r="L33" s="836"/>
      <c r="M33" s="738"/>
      <c r="N33" s="836"/>
      <c r="O33" s="738"/>
      <c r="P33" s="739"/>
      <c r="Q33" s="740"/>
      <c r="R33" s="741"/>
      <c r="S33" s="734"/>
      <c r="T33" s="736"/>
      <c r="U33" s="742"/>
      <c r="V33" s="734"/>
      <c r="W33" s="736"/>
      <c r="X33" s="742"/>
      <c r="Y33" s="741"/>
      <c r="Z33" s="734"/>
      <c r="AA33" s="746"/>
    </row>
    <row r="34" spans="1:27" hidden="1">
      <c r="A34" s="728"/>
      <c r="B34" s="733"/>
      <c r="C34" s="744"/>
      <c r="D34" s="733"/>
      <c r="E34" s="745"/>
      <c r="F34" s="836"/>
      <c r="G34" s="735"/>
      <c r="H34" s="841"/>
      <c r="I34" s="737"/>
      <c r="J34" s="841"/>
      <c r="K34" s="738"/>
      <c r="L34" s="836"/>
      <c r="M34" s="738"/>
      <c r="N34" s="836"/>
      <c r="O34" s="738"/>
      <c r="P34" s="739"/>
      <c r="Q34" s="740"/>
      <c r="R34" s="741"/>
      <c r="S34" s="734"/>
      <c r="T34" s="736"/>
      <c r="U34" s="742"/>
      <c r="V34" s="734"/>
      <c r="W34" s="736"/>
      <c r="X34" s="742"/>
      <c r="Y34" s="741"/>
      <c r="Z34" s="734"/>
      <c r="AA34" s="746"/>
    </row>
    <row r="35" spans="1:27" hidden="1">
      <c r="A35" s="728"/>
      <c r="B35" s="733"/>
      <c r="C35" s="744"/>
      <c r="D35" s="733"/>
      <c r="E35" s="745"/>
      <c r="F35" s="836"/>
      <c r="G35" s="735"/>
      <c r="H35" s="841"/>
      <c r="I35" s="737"/>
      <c r="J35" s="841"/>
      <c r="K35" s="738"/>
      <c r="L35" s="836"/>
      <c r="M35" s="738"/>
      <c r="N35" s="836"/>
      <c r="O35" s="738"/>
      <c r="P35" s="739"/>
      <c r="Q35" s="740"/>
      <c r="R35" s="741"/>
      <c r="S35" s="734"/>
      <c r="T35" s="736"/>
      <c r="U35" s="742"/>
      <c r="V35" s="734"/>
      <c r="W35" s="736"/>
      <c r="X35" s="742"/>
      <c r="Y35" s="741"/>
      <c r="Z35" s="734"/>
      <c r="AA35" s="746"/>
    </row>
    <row r="36" spans="1:27" hidden="1">
      <c r="A36" s="728"/>
      <c r="B36" s="733"/>
      <c r="C36" s="744"/>
      <c r="D36" s="733"/>
      <c r="E36" s="745"/>
      <c r="F36" s="836"/>
      <c r="G36" s="735"/>
      <c r="H36" s="841"/>
      <c r="I36" s="737"/>
      <c r="J36" s="841"/>
      <c r="K36" s="738"/>
      <c r="L36" s="836"/>
      <c r="M36" s="738"/>
      <c r="N36" s="836"/>
      <c r="O36" s="738"/>
      <c r="P36" s="739"/>
      <c r="Q36" s="740"/>
      <c r="R36" s="741"/>
      <c r="S36" s="734"/>
      <c r="T36" s="736"/>
      <c r="U36" s="742"/>
      <c r="V36" s="734"/>
      <c r="W36" s="736"/>
      <c r="X36" s="742"/>
      <c r="Y36" s="741"/>
      <c r="Z36" s="734"/>
      <c r="AA36" s="746"/>
    </row>
    <row r="37" spans="1:27" hidden="1">
      <c r="A37" s="728"/>
      <c r="B37" s="733"/>
      <c r="C37" s="744"/>
      <c r="D37" s="733"/>
      <c r="E37" s="745"/>
      <c r="F37" s="836"/>
      <c r="G37" s="735"/>
      <c r="H37" s="841"/>
      <c r="I37" s="737"/>
      <c r="J37" s="841"/>
      <c r="K37" s="738"/>
      <c r="L37" s="836"/>
      <c r="M37" s="738"/>
      <c r="N37" s="836"/>
      <c r="O37" s="738"/>
      <c r="P37" s="739"/>
      <c r="Q37" s="740"/>
      <c r="R37" s="741"/>
      <c r="S37" s="734"/>
      <c r="T37" s="736"/>
      <c r="U37" s="742"/>
      <c r="V37" s="734"/>
      <c r="W37" s="736"/>
      <c r="X37" s="742"/>
      <c r="Y37" s="741"/>
      <c r="Z37" s="734"/>
      <c r="AA37" s="746"/>
    </row>
    <row r="38" spans="1:27" hidden="1">
      <c r="A38" s="728"/>
      <c r="B38" s="733"/>
      <c r="C38" s="744"/>
      <c r="D38" s="733"/>
      <c r="E38" s="745"/>
      <c r="F38" s="836"/>
      <c r="G38" s="735"/>
      <c r="H38" s="841"/>
      <c r="I38" s="737"/>
      <c r="J38" s="841"/>
      <c r="K38" s="738"/>
      <c r="L38" s="836"/>
      <c r="M38" s="738"/>
      <c r="N38" s="836"/>
      <c r="O38" s="738"/>
      <c r="P38" s="739"/>
      <c r="Q38" s="740"/>
      <c r="R38" s="741"/>
      <c r="S38" s="734"/>
      <c r="T38" s="736"/>
      <c r="U38" s="742"/>
      <c r="V38" s="734"/>
      <c r="W38" s="736"/>
      <c r="X38" s="742"/>
      <c r="Y38" s="741"/>
      <c r="Z38" s="734"/>
      <c r="AA38" s="746"/>
    </row>
    <row r="39" spans="1:27" hidden="1">
      <c r="A39" s="728"/>
      <c r="B39" s="733"/>
      <c r="C39" s="744"/>
      <c r="D39" s="733"/>
      <c r="E39" s="745"/>
      <c r="F39" s="836"/>
      <c r="G39" s="735"/>
      <c r="H39" s="841"/>
      <c r="I39" s="737"/>
      <c r="J39" s="841"/>
      <c r="K39" s="738"/>
      <c r="L39" s="836"/>
      <c r="M39" s="738"/>
      <c r="N39" s="836"/>
      <c r="O39" s="738"/>
      <c r="P39" s="739"/>
      <c r="Q39" s="740"/>
      <c r="R39" s="741"/>
      <c r="S39" s="734"/>
      <c r="T39" s="736"/>
      <c r="U39" s="742"/>
      <c r="V39" s="734"/>
      <c r="W39" s="736"/>
      <c r="X39" s="742"/>
      <c r="Y39" s="741"/>
      <c r="Z39" s="734"/>
      <c r="AA39" s="746"/>
    </row>
    <row r="40" spans="1:27" hidden="1">
      <c r="A40" s="728"/>
      <c r="B40" s="733"/>
      <c r="C40" s="744"/>
      <c r="D40" s="733"/>
      <c r="E40" s="745"/>
      <c r="F40" s="836"/>
      <c r="G40" s="735"/>
      <c r="H40" s="841"/>
      <c r="I40" s="737"/>
      <c r="J40" s="841"/>
      <c r="K40" s="738"/>
      <c r="L40" s="836"/>
      <c r="M40" s="738"/>
      <c r="N40" s="836"/>
      <c r="O40" s="738"/>
      <c r="P40" s="739"/>
      <c r="Q40" s="740"/>
      <c r="R40" s="741"/>
      <c r="S40" s="734"/>
      <c r="T40" s="736"/>
      <c r="U40" s="742"/>
      <c r="V40" s="734"/>
      <c r="W40" s="736"/>
      <c r="X40" s="742"/>
      <c r="Y40" s="741"/>
      <c r="Z40" s="734"/>
      <c r="AA40" s="746"/>
    </row>
    <row r="41" spans="1:27" hidden="1">
      <c r="A41" s="728"/>
      <c r="B41" s="733"/>
      <c r="C41" s="744"/>
      <c r="D41" s="733"/>
      <c r="E41" s="745"/>
      <c r="F41" s="836"/>
      <c r="G41" s="735"/>
      <c r="H41" s="841"/>
      <c r="I41" s="737"/>
      <c r="J41" s="841"/>
      <c r="K41" s="738"/>
      <c r="L41" s="836"/>
      <c r="M41" s="738"/>
      <c r="N41" s="836"/>
      <c r="O41" s="738"/>
      <c r="P41" s="739"/>
      <c r="Q41" s="740"/>
      <c r="R41" s="741"/>
      <c r="S41" s="734"/>
      <c r="T41" s="736"/>
      <c r="U41" s="742"/>
      <c r="V41" s="734"/>
      <c r="W41" s="736"/>
      <c r="X41" s="742"/>
      <c r="Y41" s="741"/>
      <c r="Z41" s="734"/>
      <c r="AA41" s="746"/>
    </row>
    <row r="42" spans="1:27" ht="15.75" hidden="1" thickBot="1">
      <c r="A42" s="747"/>
      <c r="B42" s="748"/>
      <c r="C42" s="749"/>
      <c r="D42" s="748"/>
      <c r="E42" s="750"/>
      <c r="F42" s="837"/>
      <c r="G42" s="752"/>
      <c r="H42" s="842"/>
      <c r="I42" s="754"/>
      <c r="J42" s="842"/>
      <c r="K42" s="755"/>
      <c r="L42" s="837"/>
      <c r="M42" s="755"/>
      <c r="N42" s="837"/>
      <c r="O42" s="755"/>
      <c r="P42" s="756"/>
      <c r="Q42" s="757"/>
      <c r="R42" s="758"/>
      <c r="S42" s="751"/>
      <c r="T42" s="753"/>
      <c r="U42" s="759"/>
      <c r="V42" s="751"/>
      <c r="W42" s="753"/>
      <c r="X42" s="759"/>
      <c r="Y42" s="758"/>
      <c r="Z42" s="751"/>
      <c r="AA42" s="760"/>
    </row>
    <row r="43" spans="1:27" ht="15.75" thickBot="1"/>
    <row r="44" spans="1:27">
      <c r="A44" s="766" t="s">
        <v>93</v>
      </c>
      <c r="B44" s="767"/>
    </row>
    <row r="45" spans="1:27">
      <c r="A45" s="768" t="s">
        <v>94</v>
      </c>
      <c r="B45" s="769" t="s">
        <v>95</v>
      </c>
    </row>
    <row r="46" spans="1:27">
      <c r="A46" s="770">
        <v>1990</v>
      </c>
      <c r="B46" s="771">
        <v>41025</v>
      </c>
    </row>
    <row r="47" spans="1:27">
      <c r="A47" s="770">
        <v>1991</v>
      </c>
      <c r="B47" s="771">
        <v>51716</v>
      </c>
    </row>
    <row r="48" spans="1:27">
      <c r="A48" s="770">
        <v>1992</v>
      </c>
      <c r="B48" s="771">
        <v>65190</v>
      </c>
    </row>
    <row r="49" spans="1:2">
      <c r="A49" s="770">
        <v>1993</v>
      </c>
      <c r="B49" s="771">
        <v>81510</v>
      </c>
    </row>
    <row r="50" spans="1:2">
      <c r="A50" s="770">
        <v>1994</v>
      </c>
      <c r="B50" s="771">
        <v>98700</v>
      </c>
    </row>
    <row r="51" spans="1:2">
      <c r="A51" s="770">
        <v>1995</v>
      </c>
      <c r="B51" s="771">
        <v>118933.5</v>
      </c>
    </row>
    <row r="52" spans="1:2">
      <c r="A52" s="770">
        <v>1996</v>
      </c>
      <c r="B52" s="771">
        <v>142125</v>
      </c>
    </row>
    <row r="53" spans="1:2">
      <c r="A53" s="770">
        <v>1997</v>
      </c>
      <c r="B53" s="771">
        <v>172005</v>
      </c>
    </row>
    <row r="54" spans="1:2">
      <c r="A54" s="770">
        <v>1998</v>
      </c>
      <c r="B54" s="771">
        <v>203826</v>
      </c>
    </row>
    <row r="55" spans="1:2">
      <c r="A55" s="770">
        <v>1999</v>
      </c>
      <c r="B55" s="771">
        <v>236460</v>
      </c>
    </row>
    <row r="56" spans="1:2">
      <c r="A56" s="770">
        <v>2000</v>
      </c>
      <c r="B56" s="771">
        <v>260100</v>
      </c>
    </row>
    <row r="57" spans="1:2">
      <c r="A57" s="770">
        <v>2001</v>
      </c>
      <c r="B57" s="771">
        <v>286000</v>
      </c>
    </row>
    <row r="58" spans="1:2">
      <c r="A58" s="770">
        <v>2002</v>
      </c>
      <c r="B58" s="771">
        <v>309000</v>
      </c>
    </row>
    <row r="59" spans="1:2">
      <c r="A59" s="770">
        <v>2003</v>
      </c>
      <c r="B59" s="771">
        <v>332000</v>
      </c>
    </row>
    <row r="60" spans="1:2">
      <c r="A60" s="770">
        <v>2004</v>
      </c>
      <c r="B60" s="771">
        <v>358000</v>
      </c>
    </row>
    <row r="61" spans="1:2">
      <c r="A61" s="770">
        <v>2005</v>
      </c>
      <c r="B61" s="771">
        <v>381500</v>
      </c>
    </row>
    <row r="62" spans="1:2">
      <c r="A62" s="770">
        <v>2006</v>
      </c>
      <c r="B62" s="771">
        <v>408000</v>
      </c>
    </row>
    <row r="63" spans="1:2">
      <c r="A63" s="770">
        <v>2007</v>
      </c>
      <c r="B63" s="771">
        <v>433700</v>
      </c>
    </row>
    <row r="64" spans="1:2">
      <c r="A64" s="770">
        <v>2008</v>
      </c>
      <c r="B64" s="771">
        <v>461500</v>
      </c>
    </row>
    <row r="65" spans="1:2">
      <c r="A65" s="770">
        <v>2009</v>
      </c>
      <c r="B65" s="771">
        <v>496900</v>
      </c>
    </row>
    <row r="66" spans="1:2">
      <c r="A66" s="770">
        <v>2010</v>
      </c>
      <c r="B66" s="771">
        <v>515000</v>
      </c>
    </row>
    <row r="67" spans="1:2">
      <c r="A67" s="770">
        <v>2011</v>
      </c>
      <c r="B67" s="771">
        <v>535600</v>
      </c>
    </row>
    <row r="68" spans="1:2">
      <c r="A68" s="770">
        <v>2012</v>
      </c>
      <c r="B68" s="771">
        <v>566700</v>
      </c>
    </row>
    <row r="69" spans="1:2">
      <c r="A69" s="770">
        <v>2013</v>
      </c>
      <c r="B69" s="771">
        <v>589500</v>
      </c>
    </row>
    <row r="70" spans="1:2">
      <c r="A70" s="770">
        <v>2014</v>
      </c>
      <c r="B70" s="771">
        <v>616000</v>
      </c>
    </row>
    <row r="71" spans="1:2">
      <c r="A71" s="770">
        <v>2015</v>
      </c>
      <c r="B71" s="771">
        <v>644350</v>
      </c>
    </row>
    <row r="72" spans="1:2" ht="15.75" thickBot="1">
      <c r="A72" s="772">
        <v>2016</v>
      </c>
      <c r="B72" s="773">
        <v>689554</v>
      </c>
    </row>
  </sheetData>
  <mergeCells count="21">
    <mergeCell ref="A1:A4"/>
    <mergeCell ref="B1:B4"/>
    <mergeCell ref="C1:C4"/>
    <mergeCell ref="D1:D4"/>
    <mergeCell ref="E1:E4"/>
    <mergeCell ref="Z1:AA3"/>
    <mergeCell ref="F2:K2"/>
    <mergeCell ref="L2:M2"/>
    <mergeCell ref="N2:O3"/>
    <mergeCell ref="R2:R4"/>
    <mergeCell ref="R1:Y1"/>
    <mergeCell ref="S2:U3"/>
    <mergeCell ref="V2:X3"/>
    <mergeCell ref="F1:O1"/>
    <mergeCell ref="Y2:Y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P333"/>
  <sheetViews>
    <sheetView topLeftCell="A2" zoomScale="75" zoomScaleNormal="75" zoomScalePageLayoutView="75" workbookViewId="0">
      <pane xSplit="1" topLeftCell="B1" activePane="topRight" state="frozen"/>
      <selection activeCell="A2" sqref="A2"/>
      <selection pane="topRight" activeCell="AM28" sqref="AM28"/>
    </sheetView>
  </sheetViews>
  <sheetFormatPr baseColWidth="10" defaultColWidth="10.875" defaultRowHeight="15.75"/>
  <cols>
    <col min="1" max="1" width="6.125" style="50" customWidth="1"/>
    <col min="2" max="2" width="8.875" style="50" customWidth="1"/>
    <col min="3" max="3" width="9.875" style="785" customWidth="1"/>
    <col min="4" max="4" width="26.5" style="52" customWidth="1"/>
    <col min="5" max="5" width="19" style="52" customWidth="1"/>
    <col min="6" max="6" width="12.125" style="52" customWidth="1"/>
    <col min="7" max="7" width="14" style="52" customWidth="1"/>
    <col min="8" max="8" width="66.125" style="59" customWidth="1"/>
    <col min="9" max="9" width="18.5" style="59" customWidth="1"/>
    <col min="10" max="10" width="12.5" style="59" customWidth="1"/>
    <col min="11" max="11" width="13.625" style="60" customWidth="1"/>
    <col min="12" max="12" width="10.625" style="61" customWidth="1"/>
    <col min="13" max="13" width="11" style="62" customWidth="1"/>
    <col min="14" max="14" width="11" style="63" customWidth="1"/>
    <col min="15" max="15" width="11" style="29" customWidth="1"/>
    <col min="16" max="16" width="18.5" style="64" customWidth="1"/>
    <col min="17" max="17" width="8.75" style="1080" customWidth="1"/>
    <col min="18" max="18" width="9.5" style="29" bestFit="1" customWidth="1"/>
    <col min="19" max="19" width="12.5" style="29" customWidth="1"/>
    <col min="20" max="20" width="9.625" style="29" bestFit="1" customWidth="1"/>
    <col min="21" max="22" width="15.5" style="29" customWidth="1"/>
    <col min="23" max="23" width="18.375" style="42" customWidth="1"/>
    <col min="24" max="26" width="19.5" style="19" customWidth="1"/>
    <col min="27" max="27" width="16.5" style="42" customWidth="1"/>
    <col min="28" max="28" width="10" style="50" customWidth="1"/>
    <col min="29" max="29" width="7.875" style="65" customWidth="1"/>
    <col min="30" max="30" width="8.875" style="65" customWidth="1"/>
    <col min="31" max="31" width="10" style="50" customWidth="1"/>
    <col min="32" max="32" width="7.875" style="65" customWidth="1"/>
    <col min="33" max="33" width="8.875" style="65" customWidth="1"/>
    <col min="34" max="34" width="10" style="65" bestFit="1" customWidth="1"/>
    <col min="35" max="35" width="7.375" style="65" bestFit="1" customWidth="1"/>
    <col min="36" max="36" width="6.375" style="65" customWidth="1"/>
    <col min="37" max="37" width="19.5" style="19" customWidth="1"/>
    <col min="38" max="38" width="19.5" style="568" customWidth="1"/>
    <col min="39" max="39" width="59.125" style="52" customWidth="1"/>
    <col min="40" max="42" width="10.875" style="66"/>
    <col min="43" max="44" width="15.125" style="66" bestFit="1" customWidth="1"/>
    <col min="45" max="16384" width="10.875" style="66"/>
  </cols>
  <sheetData>
    <row r="1" spans="1:42" s="17" customFormat="1" ht="15" hidden="1" customHeight="1">
      <c r="A1" s="1516" t="s">
        <v>96</v>
      </c>
      <c r="B1" s="1516" t="s">
        <v>97</v>
      </c>
      <c r="C1" s="1516" t="s">
        <v>98</v>
      </c>
      <c r="D1" s="1516" t="s">
        <v>99</v>
      </c>
      <c r="E1" s="1516" t="s">
        <v>100</v>
      </c>
      <c r="F1" s="1517" t="s">
        <v>101</v>
      </c>
      <c r="G1" s="1517" t="s">
        <v>102</v>
      </c>
      <c r="H1" s="1516" t="s">
        <v>103</v>
      </c>
      <c r="I1" s="1519" t="s">
        <v>104</v>
      </c>
      <c r="J1" s="1519" t="s">
        <v>105</v>
      </c>
      <c r="K1" s="1521" t="s">
        <v>106</v>
      </c>
      <c r="L1" s="1523" t="s">
        <v>107</v>
      </c>
      <c r="M1" s="1523" t="s">
        <v>108</v>
      </c>
      <c r="N1" s="1525" t="s">
        <v>109</v>
      </c>
      <c r="O1" s="1516" t="s">
        <v>110</v>
      </c>
      <c r="P1" s="1516" t="s">
        <v>111</v>
      </c>
      <c r="Q1" s="1516" t="s">
        <v>112</v>
      </c>
      <c r="R1" s="1519" t="s">
        <v>113</v>
      </c>
      <c r="S1" s="1519" t="s">
        <v>114</v>
      </c>
      <c r="T1" s="1519" t="s">
        <v>115</v>
      </c>
      <c r="U1" s="1519" t="s">
        <v>116</v>
      </c>
      <c r="V1" s="1516" t="s">
        <v>117</v>
      </c>
      <c r="W1" s="1519" t="s">
        <v>118</v>
      </c>
      <c r="X1" s="1533" t="s">
        <v>119</v>
      </c>
      <c r="Y1" s="1535" t="s">
        <v>120</v>
      </c>
      <c r="Z1" s="1533" t="s">
        <v>121</v>
      </c>
      <c r="AA1" s="1531" t="s">
        <v>122</v>
      </c>
      <c r="AB1" s="1516" t="s">
        <v>123</v>
      </c>
      <c r="AC1" s="1516"/>
      <c r="AD1" s="1516"/>
      <c r="AE1" s="1516" t="s">
        <v>124</v>
      </c>
      <c r="AF1" s="1516"/>
      <c r="AG1" s="1516"/>
      <c r="AH1" s="1516" t="s">
        <v>125</v>
      </c>
      <c r="AI1" s="1516"/>
      <c r="AJ1" s="1516"/>
      <c r="AK1" s="1519" t="s">
        <v>126</v>
      </c>
      <c r="AL1" s="1527" t="s">
        <v>127</v>
      </c>
      <c r="AM1" s="1529" t="s">
        <v>128</v>
      </c>
      <c r="AO1" s="18" t="s">
        <v>22</v>
      </c>
      <c r="AP1" s="18" t="s">
        <v>129</v>
      </c>
    </row>
    <row r="2" spans="1:42" s="17" customFormat="1" ht="93" customHeight="1" thickBot="1">
      <c r="A2" s="1517"/>
      <c r="B2" s="1517"/>
      <c r="C2" s="1517"/>
      <c r="D2" s="1517"/>
      <c r="E2" s="1517"/>
      <c r="F2" s="1518"/>
      <c r="G2" s="1518"/>
      <c r="H2" s="1517"/>
      <c r="I2" s="1520"/>
      <c r="J2" s="1520"/>
      <c r="K2" s="1522"/>
      <c r="L2" s="1524"/>
      <c r="M2" s="1524"/>
      <c r="N2" s="1526"/>
      <c r="O2" s="1517"/>
      <c r="P2" s="1517"/>
      <c r="Q2" s="1517"/>
      <c r="R2" s="1520"/>
      <c r="S2" s="1520"/>
      <c r="T2" s="1520"/>
      <c r="U2" s="1520"/>
      <c r="V2" s="1517"/>
      <c r="W2" s="1520"/>
      <c r="X2" s="1534"/>
      <c r="Y2" s="1536"/>
      <c r="Z2" s="1534"/>
      <c r="AA2" s="1532"/>
      <c r="AB2" s="1387" t="s">
        <v>130</v>
      </c>
      <c r="AC2" s="1387" t="s">
        <v>131</v>
      </c>
      <c r="AD2" s="1387" t="s">
        <v>132</v>
      </c>
      <c r="AE2" s="1387" t="s">
        <v>133</v>
      </c>
      <c r="AF2" s="1387" t="s">
        <v>131</v>
      </c>
      <c r="AG2" s="1387" t="s">
        <v>134</v>
      </c>
      <c r="AH2" s="1387" t="s">
        <v>133</v>
      </c>
      <c r="AI2" s="1387" t="s">
        <v>131</v>
      </c>
      <c r="AJ2" s="1387" t="s">
        <v>135</v>
      </c>
      <c r="AK2" s="1520"/>
      <c r="AL2" s="1528"/>
      <c r="AM2" s="1530"/>
    </row>
    <row r="3" spans="1:42" s="33" customFormat="1" ht="93" customHeight="1">
      <c r="A3" s="1509" t="s">
        <v>15</v>
      </c>
      <c r="B3" s="308" t="s">
        <v>136</v>
      </c>
      <c r="C3" s="82">
        <v>184</v>
      </c>
      <c r="D3" s="83" t="s">
        <v>137</v>
      </c>
      <c r="E3" s="84" t="s">
        <v>138</v>
      </c>
      <c r="F3" s="84" t="s">
        <v>139</v>
      </c>
      <c r="G3" s="84" t="s">
        <v>140</v>
      </c>
      <c r="H3" s="85" t="s">
        <v>141</v>
      </c>
      <c r="I3" s="1393" t="s">
        <v>22</v>
      </c>
      <c r="J3" s="1393" t="s">
        <v>22</v>
      </c>
      <c r="K3" s="86">
        <v>1</v>
      </c>
      <c r="L3" s="87">
        <v>37839</v>
      </c>
      <c r="M3" s="87">
        <v>38869</v>
      </c>
      <c r="N3" s="88">
        <v>2006</v>
      </c>
      <c r="O3" s="298">
        <v>408000</v>
      </c>
      <c r="P3" s="893">
        <v>1115922.3700000001</v>
      </c>
      <c r="Q3" s="242" t="s">
        <v>142</v>
      </c>
      <c r="R3" s="81">
        <v>1.2858799999999999</v>
      </c>
      <c r="S3" s="92">
        <v>1434942.2571356001</v>
      </c>
      <c r="T3" s="93">
        <v>2486.0700000000002</v>
      </c>
      <c r="U3" s="89">
        <v>3567366897.1971016</v>
      </c>
      <c r="V3" s="94">
        <v>8743.5463166595619</v>
      </c>
      <c r="W3" s="94">
        <v>8743.5463166595619</v>
      </c>
      <c r="X3" s="1484" t="str">
        <f>IF(W3="","",IF(SUM(W3:W5)&gt;=PARAMETROS!$G$5,"CUMPLE","NO CUMPLE"))</f>
        <v>CUMPLE</v>
      </c>
      <c r="Y3" s="1484" t="str">
        <f>IF(W3="","",IF(W3+W4&gt;=PARAMETROS!$I$5,"CUMPLE","NO CUMPLE"))</f>
        <v>CUMPLE</v>
      </c>
      <c r="Z3" s="1400" t="str">
        <f>+IF(W3="","",IF(W3&gt;=PARAMETROS!$K$5,"CUMPLE","NO CUMPLE"))</f>
        <v>CUMPLE</v>
      </c>
      <c r="AA3" s="95">
        <v>11</v>
      </c>
      <c r="AB3" s="1484" t="s">
        <v>129</v>
      </c>
      <c r="AC3" s="1484"/>
      <c r="AD3" s="1484"/>
      <c r="AE3" s="1484" t="s">
        <v>22</v>
      </c>
      <c r="AF3" s="1484"/>
      <c r="AG3" s="1484"/>
      <c r="AH3" s="1484" t="s">
        <v>22</v>
      </c>
      <c r="AI3" s="1484"/>
      <c r="AJ3" s="1484"/>
      <c r="AK3" s="1393" t="s">
        <v>22</v>
      </c>
      <c r="AL3" s="1490" t="s">
        <v>16</v>
      </c>
      <c r="AM3" s="1481" t="s">
        <v>557</v>
      </c>
      <c r="AN3" s="67"/>
    </row>
    <row r="4" spans="1:42" s="33" customFormat="1" ht="145.5" customHeight="1">
      <c r="A4" s="1510"/>
      <c r="B4" s="19" t="s">
        <v>136</v>
      </c>
      <c r="C4" s="20">
        <v>189</v>
      </c>
      <c r="D4" s="21" t="s">
        <v>137</v>
      </c>
      <c r="E4" s="22" t="s">
        <v>143</v>
      </c>
      <c r="F4" s="22" t="s">
        <v>139</v>
      </c>
      <c r="G4" s="22" t="s">
        <v>140</v>
      </c>
      <c r="H4" s="22" t="s">
        <v>144</v>
      </c>
      <c r="I4" s="1388" t="s">
        <v>22</v>
      </c>
      <c r="J4" s="1388" t="s">
        <v>22</v>
      </c>
      <c r="K4" s="34">
        <v>0.5</v>
      </c>
      <c r="L4" s="25">
        <v>39400</v>
      </c>
      <c r="M4" s="25">
        <v>40968</v>
      </c>
      <c r="N4" s="26">
        <v>2012</v>
      </c>
      <c r="O4" s="27">
        <v>566700</v>
      </c>
      <c r="P4" s="894">
        <v>2033765.73</v>
      </c>
      <c r="Q4" s="1343" t="s">
        <v>142</v>
      </c>
      <c r="R4" s="68">
        <v>1.3430899999999999</v>
      </c>
      <c r="S4" s="889">
        <v>2731530.4143057</v>
      </c>
      <c r="T4" s="79">
        <v>1767.83</v>
      </c>
      <c r="U4" s="787">
        <v>4828881412.3220453</v>
      </c>
      <c r="V4" s="16">
        <v>8521.054195027431</v>
      </c>
      <c r="W4" s="16">
        <v>4260.5270975137155</v>
      </c>
      <c r="X4" s="1485"/>
      <c r="Y4" s="1485"/>
      <c r="Z4" s="1388" t="str">
        <f>+IF(W4="","",IF(W4&gt;=PARAMETROS!$K$5,"CUMPLE","NO CUMPLE"))</f>
        <v>CUMPLE</v>
      </c>
      <c r="AA4" s="32">
        <v>15</v>
      </c>
      <c r="AB4" s="1485" t="s">
        <v>129</v>
      </c>
      <c r="AC4" s="1485"/>
      <c r="AD4" s="1485"/>
      <c r="AE4" s="1485" t="s">
        <v>22</v>
      </c>
      <c r="AF4" s="1485"/>
      <c r="AG4" s="1485"/>
      <c r="AH4" s="1485" t="s">
        <v>22</v>
      </c>
      <c r="AI4" s="1485"/>
      <c r="AJ4" s="1485"/>
      <c r="AK4" s="1388" t="s">
        <v>22</v>
      </c>
      <c r="AL4" s="1491"/>
      <c r="AM4" s="1482"/>
      <c r="AN4" s="67"/>
    </row>
    <row r="5" spans="1:42" s="33" customFormat="1" ht="174.75" customHeight="1">
      <c r="A5" s="1510"/>
      <c r="B5" s="68" t="s">
        <v>145</v>
      </c>
      <c r="C5" s="20">
        <v>193</v>
      </c>
      <c r="D5" s="21" t="s">
        <v>146</v>
      </c>
      <c r="E5" s="22" t="s">
        <v>147</v>
      </c>
      <c r="F5" s="22" t="s">
        <v>148</v>
      </c>
      <c r="G5" s="22" t="s">
        <v>149</v>
      </c>
      <c r="H5" s="23" t="s">
        <v>150</v>
      </c>
      <c r="I5" s="1388" t="s">
        <v>22</v>
      </c>
      <c r="J5" s="1388" t="s">
        <v>22</v>
      </c>
      <c r="K5" s="24">
        <v>0.6</v>
      </c>
      <c r="L5" s="25">
        <v>41572</v>
      </c>
      <c r="M5" s="25">
        <v>42143</v>
      </c>
      <c r="N5" s="26">
        <v>2015</v>
      </c>
      <c r="O5" s="27">
        <v>644350</v>
      </c>
      <c r="P5" s="895">
        <v>5589965390</v>
      </c>
      <c r="Q5" s="1080" t="s">
        <v>151</v>
      </c>
      <c r="R5" s="19" t="s">
        <v>140</v>
      </c>
      <c r="S5" s="30" t="s">
        <v>140</v>
      </c>
      <c r="T5" s="31">
        <v>1</v>
      </c>
      <c r="U5" s="27">
        <v>5589965390</v>
      </c>
      <c r="V5" s="16">
        <v>8675.3556141848367</v>
      </c>
      <c r="W5" s="16">
        <v>5205.213368510902</v>
      </c>
      <c r="X5" s="1485"/>
      <c r="Y5" s="1485"/>
      <c r="Z5" s="1388" t="str">
        <f>+IF(W5="","",IF(W5&gt;=PARAMETROS!$K$5,"CUMPLE","NO CUMPLE"))</f>
        <v>CUMPLE</v>
      </c>
      <c r="AA5" s="32" t="s">
        <v>152</v>
      </c>
      <c r="AB5" s="1485"/>
      <c r="AC5" s="1485"/>
      <c r="AD5" s="1485"/>
      <c r="AE5" s="1485"/>
      <c r="AF5" s="1485"/>
      <c r="AG5" s="1485"/>
      <c r="AH5" s="1485"/>
      <c r="AI5" s="1485"/>
      <c r="AJ5" s="1485"/>
      <c r="AK5" s="1388" t="s">
        <v>22</v>
      </c>
      <c r="AL5" s="1491"/>
      <c r="AM5" s="1482"/>
      <c r="AN5" s="67"/>
    </row>
    <row r="6" spans="1:42" s="33" customFormat="1" ht="79.5" customHeight="1">
      <c r="A6" s="1510"/>
      <c r="B6" s="19" t="s">
        <v>153</v>
      </c>
      <c r="C6" s="20">
        <v>196</v>
      </c>
      <c r="D6" s="21" t="s">
        <v>154</v>
      </c>
      <c r="E6" s="22" t="s">
        <v>155</v>
      </c>
      <c r="F6" s="22" t="s">
        <v>148</v>
      </c>
      <c r="G6" s="22" t="s">
        <v>156</v>
      </c>
      <c r="H6" s="23" t="s">
        <v>157</v>
      </c>
      <c r="I6" s="1388" t="s">
        <v>22</v>
      </c>
      <c r="J6" s="1388" t="s">
        <v>22</v>
      </c>
      <c r="K6" s="24">
        <v>0.9</v>
      </c>
      <c r="L6" s="25">
        <v>39770</v>
      </c>
      <c r="M6" s="25">
        <v>40711</v>
      </c>
      <c r="N6" s="26">
        <v>2011</v>
      </c>
      <c r="O6" s="27">
        <v>535600</v>
      </c>
      <c r="P6" s="895">
        <v>2159192501</v>
      </c>
      <c r="Q6" s="1080" t="s">
        <v>151</v>
      </c>
      <c r="R6" s="19" t="s">
        <v>140</v>
      </c>
      <c r="S6" s="78" t="s">
        <v>140</v>
      </c>
      <c r="T6" s="79">
        <v>1</v>
      </c>
      <c r="U6" s="75">
        <v>2159192501</v>
      </c>
      <c r="V6" s="16">
        <v>4031.3526904406272</v>
      </c>
      <c r="W6" s="16">
        <v>3628.2174213965645</v>
      </c>
      <c r="X6" s="1485"/>
      <c r="Y6" s="1485"/>
      <c r="Z6" s="1388" t="str">
        <f>+IF(W6="","",IF(W6&gt;=PARAMETROS!$K$5,"CUMPLE","NO CUMPLE"))</f>
        <v>CUMPLE</v>
      </c>
      <c r="AA6" s="32">
        <v>22</v>
      </c>
      <c r="AB6" s="1496" t="s">
        <v>22</v>
      </c>
      <c r="AC6" s="1497"/>
      <c r="AD6" s="1498"/>
      <c r="AE6" s="1496" t="s">
        <v>22</v>
      </c>
      <c r="AF6" s="1497"/>
      <c r="AG6" s="1498"/>
      <c r="AH6" s="1496" t="s">
        <v>22</v>
      </c>
      <c r="AI6" s="1497"/>
      <c r="AJ6" s="1498"/>
      <c r="AK6" s="1388" t="s">
        <v>22</v>
      </c>
      <c r="AL6" s="1491"/>
      <c r="AM6" s="1482"/>
      <c r="AN6" s="67"/>
    </row>
    <row r="7" spans="1:42" s="33" customFormat="1" ht="6.75" customHeight="1">
      <c r="A7" s="1510"/>
      <c r="B7" s="19"/>
      <c r="C7" s="20"/>
      <c r="D7" s="21" t="s">
        <v>158</v>
      </c>
      <c r="E7" s="22"/>
      <c r="F7" s="22"/>
      <c r="G7" s="22"/>
      <c r="H7" s="23"/>
      <c r="I7" s="1388"/>
      <c r="J7" s="1388"/>
      <c r="K7" s="24"/>
      <c r="L7" s="25"/>
      <c r="M7" s="25"/>
      <c r="N7" s="26" t="s">
        <v>158</v>
      </c>
      <c r="O7" s="27" t="s">
        <v>158</v>
      </c>
      <c r="P7" s="895"/>
      <c r="Q7" s="1080"/>
      <c r="R7" s="19"/>
      <c r="S7" s="30"/>
      <c r="T7" s="31" t="s">
        <v>158</v>
      </c>
      <c r="U7" s="27" t="s">
        <v>158</v>
      </c>
      <c r="V7" s="16" t="s">
        <v>158</v>
      </c>
      <c r="W7" s="16" t="s">
        <v>158</v>
      </c>
      <c r="X7" s="1485"/>
      <c r="Y7" s="1485"/>
      <c r="Z7" s="1388" t="str">
        <f>+IF(W7="","",IF(W7&gt;=PARAMETROS!$K$5,"CUMPLE","NO CUMPLE"))</f>
        <v/>
      </c>
      <c r="AA7" s="32"/>
      <c r="AB7" s="1485"/>
      <c r="AC7" s="1485"/>
      <c r="AD7" s="1485"/>
      <c r="AE7" s="1485"/>
      <c r="AF7" s="1485"/>
      <c r="AG7" s="1485"/>
      <c r="AH7" s="1485"/>
      <c r="AI7" s="1485"/>
      <c r="AJ7" s="1485"/>
      <c r="AK7" s="1388"/>
      <c r="AL7" s="1491"/>
      <c r="AM7" s="1482"/>
      <c r="AN7" s="67"/>
    </row>
    <row r="8" spans="1:42" s="33" customFormat="1" ht="9" customHeight="1" thickBot="1">
      <c r="A8" s="1511"/>
      <c r="B8" s="99"/>
      <c r="C8" s="784"/>
      <c r="D8" s="101" t="s">
        <v>158</v>
      </c>
      <c r="E8" s="102"/>
      <c r="F8" s="102"/>
      <c r="G8" s="102"/>
      <c r="H8" s="103"/>
      <c r="I8" s="1392"/>
      <c r="J8" s="1392"/>
      <c r="K8" s="104"/>
      <c r="L8" s="105"/>
      <c r="M8" s="105"/>
      <c r="N8" s="106" t="s">
        <v>158</v>
      </c>
      <c r="O8" s="75" t="s">
        <v>158</v>
      </c>
      <c r="P8" s="896"/>
      <c r="Q8" s="475"/>
      <c r="R8" s="99"/>
      <c r="S8" s="110"/>
      <c r="T8" s="111" t="s">
        <v>158</v>
      </c>
      <c r="U8" s="107" t="s">
        <v>158</v>
      </c>
      <c r="V8" s="112" t="s">
        <v>158</v>
      </c>
      <c r="W8" s="112" t="s">
        <v>158</v>
      </c>
      <c r="X8" s="1486"/>
      <c r="Y8" s="1486"/>
      <c r="Z8" s="1401" t="str">
        <f>+IF(W8="","",IF(W8&gt;=PARAMETROS!$K$5,"CUMPLE","NO CUMPLE"))</f>
        <v/>
      </c>
      <c r="AA8" s="112"/>
      <c r="AB8" s="1486"/>
      <c r="AC8" s="1486"/>
      <c r="AD8" s="1486"/>
      <c r="AE8" s="1486"/>
      <c r="AF8" s="1486"/>
      <c r="AG8" s="1486"/>
      <c r="AH8" s="1486"/>
      <c r="AI8" s="1486"/>
      <c r="AJ8" s="1486"/>
      <c r="AK8" s="1392"/>
      <c r="AL8" s="1492"/>
      <c r="AM8" s="1483"/>
      <c r="AN8" s="67"/>
    </row>
    <row r="9" spans="1:42" s="33" customFormat="1" ht="47.25" customHeight="1">
      <c r="A9" s="1509" t="s">
        <v>20</v>
      </c>
      <c r="B9" s="68" t="s">
        <v>159</v>
      </c>
      <c r="C9" s="781">
        <v>289</v>
      </c>
      <c r="D9" s="70" t="s">
        <v>160</v>
      </c>
      <c r="E9" s="71" t="s">
        <v>161</v>
      </c>
      <c r="F9" s="71" t="s">
        <v>148</v>
      </c>
      <c r="G9" s="71" t="s">
        <v>162</v>
      </c>
      <c r="H9" s="72" t="s">
        <v>163</v>
      </c>
      <c r="I9" s="1394" t="s">
        <v>22</v>
      </c>
      <c r="J9" s="1394" t="s">
        <v>22</v>
      </c>
      <c r="K9" s="73">
        <v>1</v>
      </c>
      <c r="L9" s="74">
        <v>39934</v>
      </c>
      <c r="M9" s="74">
        <v>40724</v>
      </c>
      <c r="N9" s="116">
        <v>2011</v>
      </c>
      <c r="O9" s="298">
        <v>535600</v>
      </c>
      <c r="P9" s="897">
        <v>9389034669</v>
      </c>
      <c r="Q9" s="1343" t="s">
        <v>151</v>
      </c>
      <c r="R9" s="68" t="s">
        <v>140</v>
      </c>
      <c r="S9" s="78" t="s">
        <v>140</v>
      </c>
      <c r="T9" s="79">
        <v>1</v>
      </c>
      <c r="U9" s="75">
        <v>9389034669</v>
      </c>
      <c r="V9" s="80">
        <v>17529.937768857355</v>
      </c>
      <c r="W9" s="80">
        <v>17529.937768857355</v>
      </c>
      <c r="X9" s="1484" t="str">
        <f>IF(W9="","",IF(SUM(W9:W11)&gt;=PARAMETROS!$G$5,"CUMPLE","NO CUMPLE"))</f>
        <v>CUMPLE</v>
      </c>
      <c r="Y9" s="1484" t="str">
        <f>IF(W9="","",IF(W9+W10&gt;=PARAMETROS!$I$5,"CUMPLE","NO CUMPLE"))</f>
        <v>CUMPLE</v>
      </c>
      <c r="Z9" s="1400" t="str">
        <f>+IF(W9="","",IF(W9&gt;=PARAMETROS!$K$5,"CUMPLE","NO CUMPLE"))</f>
        <v>CUMPLE</v>
      </c>
      <c r="AA9" s="32">
        <v>10</v>
      </c>
      <c r="AB9" s="1484" t="s">
        <v>22</v>
      </c>
      <c r="AC9" s="1484"/>
      <c r="AD9" s="1484"/>
      <c r="AE9" s="1508" t="s">
        <v>22</v>
      </c>
      <c r="AF9" s="1508"/>
      <c r="AG9" s="1508"/>
      <c r="AH9" s="1508" t="s">
        <v>22</v>
      </c>
      <c r="AI9" s="1508"/>
      <c r="AJ9" s="1508"/>
      <c r="AK9" s="1394" t="s">
        <v>22</v>
      </c>
      <c r="AL9" s="1487"/>
      <c r="AM9" s="122"/>
      <c r="AN9" s="67"/>
    </row>
    <row r="10" spans="1:42" s="33" customFormat="1" ht="168.75" customHeight="1">
      <c r="A10" s="1510"/>
      <c r="B10" s="68" t="s">
        <v>159</v>
      </c>
      <c r="C10" s="782">
        <v>396</v>
      </c>
      <c r="D10" s="21" t="s">
        <v>160</v>
      </c>
      <c r="E10" s="22" t="s">
        <v>155</v>
      </c>
      <c r="F10" s="22" t="s">
        <v>148</v>
      </c>
      <c r="G10" s="22" t="s">
        <v>164</v>
      </c>
      <c r="H10" s="23" t="s">
        <v>165</v>
      </c>
      <c r="I10" s="1388" t="s">
        <v>22</v>
      </c>
      <c r="J10" s="1388" t="s">
        <v>22</v>
      </c>
      <c r="K10" s="24">
        <v>0.5</v>
      </c>
      <c r="L10" s="25">
        <v>37411</v>
      </c>
      <c r="M10" s="25">
        <v>38776</v>
      </c>
      <c r="N10" s="26">
        <v>2006</v>
      </c>
      <c r="O10" s="27">
        <v>408000</v>
      </c>
      <c r="P10" s="895">
        <v>3791186167</v>
      </c>
      <c r="Q10" s="1080" t="s">
        <v>151</v>
      </c>
      <c r="R10" s="19" t="s">
        <v>140</v>
      </c>
      <c r="S10" s="30" t="s">
        <v>140</v>
      </c>
      <c r="T10" s="31">
        <v>1</v>
      </c>
      <c r="U10" s="27">
        <v>3791186167</v>
      </c>
      <c r="V10" s="16">
        <v>9292.1229583333334</v>
      </c>
      <c r="W10" s="16">
        <v>4646.0614791666667</v>
      </c>
      <c r="X10" s="1485"/>
      <c r="Y10" s="1485"/>
      <c r="Z10" s="1388" t="str">
        <f>+IF(W10="","",IF(W10&gt;=PARAMETROS!$K$5,"CUMPLE","NO CUMPLE"))</f>
        <v>CUMPLE</v>
      </c>
      <c r="AA10" s="32">
        <v>25</v>
      </c>
      <c r="AB10" s="1485" t="s">
        <v>129</v>
      </c>
      <c r="AC10" s="1485"/>
      <c r="AD10" s="1485"/>
      <c r="AE10" s="1485" t="s">
        <v>22</v>
      </c>
      <c r="AF10" s="1485"/>
      <c r="AG10" s="1485"/>
      <c r="AH10" s="1485" t="s">
        <v>22</v>
      </c>
      <c r="AI10" s="1485"/>
      <c r="AJ10" s="1485"/>
      <c r="AK10" s="1388" t="s">
        <v>22</v>
      </c>
      <c r="AL10" s="1488"/>
      <c r="AM10" s="97"/>
      <c r="AN10" s="67"/>
    </row>
    <row r="11" spans="1:42" s="33" customFormat="1" ht="66" customHeight="1">
      <c r="A11" s="1510"/>
      <c r="B11" s="68" t="s">
        <v>166</v>
      </c>
      <c r="C11" s="782">
        <v>432</v>
      </c>
      <c r="D11" s="21" t="s">
        <v>167</v>
      </c>
      <c r="E11" s="22" t="s">
        <v>168</v>
      </c>
      <c r="F11" s="22" t="s">
        <v>148</v>
      </c>
      <c r="G11" s="22" t="s">
        <v>169</v>
      </c>
      <c r="H11" s="23" t="s">
        <v>170</v>
      </c>
      <c r="I11" s="1388" t="s">
        <v>22</v>
      </c>
      <c r="J11" s="1388" t="s">
        <v>22</v>
      </c>
      <c r="K11" s="24">
        <v>0.45</v>
      </c>
      <c r="L11" s="25">
        <v>40805</v>
      </c>
      <c r="M11" s="25">
        <v>41730</v>
      </c>
      <c r="N11" s="26">
        <v>2014</v>
      </c>
      <c r="O11" s="27">
        <v>616000</v>
      </c>
      <c r="P11" s="895">
        <v>5922134662</v>
      </c>
      <c r="Q11" s="1080" t="s">
        <v>151</v>
      </c>
      <c r="R11" s="19" t="s">
        <v>140</v>
      </c>
      <c r="S11" s="30" t="s">
        <v>140</v>
      </c>
      <c r="T11" s="31">
        <v>1</v>
      </c>
      <c r="U11" s="27">
        <v>5922134662</v>
      </c>
      <c r="V11" s="16">
        <v>9613.8549707792208</v>
      </c>
      <c r="W11" s="16">
        <v>4326.2347368506498</v>
      </c>
      <c r="X11" s="1485"/>
      <c r="Y11" s="1485"/>
      <c r="Z11" s="1388" t="str">
        <f>+IF(W11="","",IF(W11&gt;=PARAMETROS!$K$5,"CUMPLE","NO CUMPLE"))</f>
        <v>CUMPLE</v>
      </c>
      <c r="AA11" s="32">
        <v>20</v>
      </c>
      <c r="AB11" s="1485" t="s">
        <v>22</v>
      </c>
      <c r="AC11" s="1485"/>
      <c r="AD11" s="1485"/>
      <c r="AE11" s="1485" t="s">
        <v>22</v>
      </c>
      <c r="AF11" s="1485"/>
      <c r="AG11" s="1485"/>
      <c r="AH11" s="1485" t="s">
        <v>22</v>
      </c>
      <c r="AI11" s="1485"/>
      <c r="AJ11" s="1485"/>
      <c r="AK11" s="1388" t="s">
        <v>22</v>
      </c>
      <c r="AL11" s="1488"/>
      <c r="AM11" s="97"/>
      <c r="AN11" s="67"/>
    </row>
    <row r="12" spans="1:42" s="33" customFormat="1" ht="42.75" customHeight="1">
      <c r="A12" s="1510"/>
      <c r="B12" s="68"/>
      <c r="C12" s="782"/>
      <c r="D12" s="21" t="s">
        <v>158</v>
      </c>
      <c r="E12" s="22"/>
      <c r="F12" s="22"/>
      <c r="G12" s="22"/>
      <c r="H12" s="23"/>
      <c r="I12" s="1388"/>
      <c r="J12" s="1388"/>
      <c r="K12" s="24"/>
      <c r="L12" s="25"/>
      <c r="M12" s="25"/>
      <c r="N12" s="26" t="s">
        <v>158</v>
      </c>
      <c r="O12" s="27" t="s">
        <v>158</v>
      </c>
      <c r="P12" s="895"/>
      <c r="Q12" s="1080"/>
      <c r="R12" s="19"/>
      <c r="S12" s="78"/>
      <c r="T12" s="79" t="s">
        <v>158</v>
      </c>
      <c r="U12" s="75" t="s">
        <v>158</v>
      </c>
      <c r="V12" s="16" t="s">
        <v>158</v>
      </c>
      <c r="W12" s="16" t="s">
        <v>158</v>
      </c>
      <c r="X12" s="1485"/>
      <c r="Y12" s="1485"/>
      <c r="Z12" s="1388" t="str">
        <f>+IF(W12="","",IF(W12&gt;=PARAMETROS!$K$5,"CUMPLE","NO CUMPLE"))</f>
        <v/>
      </c>
      <c r="AA12" s="32"/>
      <c r="AB12" s="1485"/>
      <c r="AC12" s="1485"/>
      <c r="AD12" s="1485"/>
      <c r="AE12" s="1485"/>
      <c r="AF12" s="1485"/>
      <c r="AG12" s="1485"/>
      <c r="AH12" s="1485"/>
      <c r="AI12" s="1485"/>
      <c r="AJ12" s="1485"/>
      <c r="AK12" s="1388"/>
      <c r="AL12" s="1488"/>
      <c r="AM12" s="97"/>
      <c r="AN12" s="67"/>
    </row>
    <row r="13" spans="1:42" s="33" customFormat="1" ht="11.25" customHeight="1">
      <c r="A13" s="1510"/>
      <c r="B13" s="19"/>
      <c r="C13" s="782"/>
      <c r="D13" s="21" t="s">
        <v>158</v>
      </c>
      <c r="E13" s="22"/>
      <c r="F13" s="22"/>
      <c r="G13" s="22"/>
      <c r="H13" s="23"/>
      <c r="I13" s="1388"/>
      <c r="J13" s="1388"/>
      <c r="K13" s="24"/>
      <c r="L13" s="25"/>
      <c r="M13" s="25"/>
      <c r="N13" s="26" t="s">
        <v>158</v>
      </c>
      <c r="O13" s="27" t="s">
        <v>158</v>
      </c>
      <c r="P13" s="895"/>
      <c r="Q13" s="1080"/>
      <c r="R13" s="19"/>
      <c r="S13" s="30"/>
      <c r="T13" s="31" t="s">
        <v>158</v>
      </c>
      <c r="U13" s="27" t="s">
        <v>158</v>
      </c>
      <c r="V13" s="16" t="s">
        <v>158</v>
      </c>
      <c r="W13" s="16" t="s">
        <v>158</v>
      </c>
      <c r="X13" s="1485"/>
      <c r="Y13" s="1485"/>
      <c r="Z13" s="1388"/>
      <c r="AA13" s="16"/>
      <c r="AB13" s="1496"/>
      <c r="AC13" s="1497"/>
      <c r="AD13" s="1498"/>
      <c r="AE13" s="1496"/>
      <c r="AF13" s="1497"/>
      <c r="AG13" s="1498"/>
      <c r="AH13" s="1496"/>
      <c r="AI13" s="1497"/>
      <c r="AJ13" s="1498"/>
      <c r="AK13" s="1388"/>
      <c r="AL13" s="1488"/>
      <c r="AM13" s="97"/>
      <c r="AN13" s="67"/>
    </row>
    <row r="14" spans="1:42" s="33" customFormat="1" ht="15" customHeight="1" thickBot="1">
      <c r="A14" s="1511"/>
      <c r="B14" s="99"/>
      <c r="C14" s="784"/>
      <c r="D14" s="101" t="s">
        <v>158</v>
      </c>
      <c r="E14" s="102"/>
      <c r="F14" s="102"/>
      <c r="G14" s="102"/>
      <c r="H14" s="103"/>
      <c r="I14" s="1392"/>
      <c r="J14" s="1392"/>
      <c r="K14" s="104"/>
      <c r="L14" s="105"/>
      <c r="M14" s="105"/>
      <c r="N14" s="106" t="s">
        <v>158</v>
      </c>
      <c r="O14" s="75" t="s">
        <v>158</v>
      </c>
      <c r="P14" s="896"/>
      <c r="Q14" s="475"/>
      <c r="R14" s="99"/>
      <c r="S14" s="110"/>
      <c r="T14" s="111" t="s">
        <v>158</v>
      </c>
      <c r="U14" s="107" t="s">
        <v>158</v>
      </c>
      <c r="V14" s="112" t="s">
        <v>158</v>
      </c>
      <c r="W14" s="112" t="s">
        <v>158</v>
      </c>
      <c r="X14" s="1486"/>
      <c r="Y14" s="1486"/>
      <c r="Z14" s="1401"/>
      <c r="AA14" s="112"/>
      <c r="AB14" s="1486"/>
      <c r="AC14" s="1486"/>
      <c r="AD14" s="1486"/>
      <c r="AE14" s="1486"/>
      <c r="AF14" s="1486"/>
      <c r="AG14" s="1486"/>
      <c r="AH14" s="1486"/>
      <c r="AI14" s="1486"/>
      <c r="AJ14" s="1486"/>
      <c r="AK14" s="1392"/>
      <c r="AL14" s="1489"/>
      <c r="AM14" s="113"/>
      <c r="AN14" s="67"/>
    </row>
    <row r="15" spans="1:42" s="33" customFormat="1" ht="65.25" customHeight="1">
      <c r="A15" s="1509" t="s">
        <v>23</v>
      </c>
      <c r="B15" s="81" t="s">
        <v>171</v>
      </c>
      <c r="C15" s="783">
        <v>205</v>
      </c>
      <c r="D15" s="83" t="s">
        <v>172</v>
      </c>
      <c r="E15" s="84" t="s">
        <v>173</v>
      </c>
      <c r="F15" s="84" t="s">
        <v>174</v>
      </c>
      <c r="G15" s="84" t="s">
        <v>175</v>
      </c>
      <c r="H15" s="85" t="s">
        <v>176</v>
      </c>
      <c r="I15" s="1393" t="s">
        <v>22</v>
      </c>
      <c r="J15" s="1393" t="s">
        <v>22</v>
      </c>
      <c r="K15" s="86">
        <v>1</v>
      </c>
      <c r="L15" s="87">
        <v>38049</v>
      </c>
      <c r="M15" s="87">
        <v>40545</v>
      </c>
      <c r="N15" s="88">
        <v>2011</v>
      </c>
      <c r="O15" s="298">
        <v>535600</v>
      </c>
      <c r="P15" s="893">
        <v>4478229438</v>
      </c>
      <c r="Q15" s="242" t="s">
        <v>177</v>
      </c>
      <c r="R15" s="81">
        <v>2.1199999999999999E-3</v>
      </c>
      <c r="S15" s="92">
        <v>9493846.4085600004</v>
      </c>
      <c r="T15" s="93">
        <v>1913.98</v>
      </c>
      <c r="U15" s="89">
        <v>18171032149.055668</v>
      </c>
      <c r="V15" s="94">
        <v>33926.497664405651</v>
      </c>
      <c r="W15" s="94">
        <v>33926.497664405651</v>
      </c>
      <c r="X15" s="1484" t="str">
        <f>IF(W15="","",IF(SUM(W15:W17)&gt;=PARAMETROS!$G$5,"CUMPLE","NO CUMPLE"))</f>
        <v>CUMPLE</v>
      </c>
      <c r="Y15" s="1484" t="str">
        <f>IF(W15="","",IF(W15+W16&gt;=PARAMETROS!$I$5,"CUMPLE","NO CUMPLE"))</f>
        <v>CUMPLE</v>
      </c>
      <c r="Z15" s="1400" t="str">
        <f>+IF(W15="","",IF(W15&gt;=PARAMETROS!$K$5,"CUMPLE","NO CUMPLE"))</f>
        <v>CUMPLE</v>
      </c>
      <c r="AA15" s="207">
        <v>1</v>
      </c>
      <c r="AB15" s="1484" t="s">
        <v>22</v>
      </c>
      <c r="AC15" s="1484"/>
      <c r="AD15" s="1484"/>
      <c r="AE15" s="1484" t="s">
        <v>22</v>
      </c>
      <c r="AF15" s="1484"/>
      <c r="AG15" s="1484"/>
      <c r="AH15" s="1484" t="s">
        <v>22</v>
      </c>
      <c r="AI15" s="1484"/>
      <c r="AJ15" s="1484"/>
      <c r="AK15" s="1393" t="s">
        <v>22</v>
      </c>
      <c r="AL15" s="1487" t="s">
        <v>21</v>
      </c>
      <c r="AM15" s="96"/>
      <c r="AN15" s="67"/>
    </row>
    <row r="16" spans="1:42" s="33" customFormat="1" ht="41.25" customHeight="1">
      <c r="A16" s="1510"/>
      <c r="B16" s="19" t="s">
        <v>171</v>
      </c>
      <c r="C16" s="782">
        <v>215</v>
      </c>
      <c r="D16" s="21" t="s">
        <v>172</v>
      </c>
      <c r="E16" s="22" t="s">
        <v>173</v>
      </c>
      <c r="F16" s="22" t="s">
        <v>174</v>
      </c>
      <c r="G16" s="22" t="s">
        <v>175</v>
      </c>
      <c r="H16" s="22" t="s">
        <v>178</v>
      </c>
      <c r="I16" s="1388" t="s">
        <v>22</v>
      </c>
      <c r="J16" s="1388" t="s">
        <v>22</v>
      </c>
      <c r="K16" s="34">
        <v>0.25</v>
      </c>
      <c r="L16" s="25">
        <v>36363</v>
      </c>
      <c r="M16" s="25">
        <v>37843</v>
      </c>
      <c r="N16" s="26">
        <v>2003</v>
      </c>
      <c r="O16" s="27">
        <v>332000</v>
      </c>
      <c r="P16" s="894">
        <v>6541364.1500000004</v>
      </c>
      <c r="Q16" s="470" t="s">
        <v>179</v>
      </c>
      <c r="R16" s="1352">
        <v>1</v>
      </c>
      <c r="S16" s="30">
        <v>6541364.1500000004</v>
      </c>
      <c r="T16" s="31">
        <v>2875.18</v>
      </c>
      <c r="U16" s="27">
        <v>18807599376.797001</v>
      </c>
      <c r="V16" s="16">
        <v>56649.395713243975</v>
      </c>
      <c r="W16" s="16">
        <v>14162.348928310994</v>
      </c>
      <c r="X16" s="1485"/>
      <c r="Y16" s="1485"/>
      <c r="Z16" s="1388" t="str">
        <f>+IF(W16="","",IF(W16&gt;=PARAMETROS!$K$5,"CUMPLE","NO CUMPLE"))</f>
        <v>CUMPLE</v>
      </c>
      <c r="AA16" s="208">
        <v>3</v>
      </c>
      <c r="AB16" s="1485" t="s">
        <v>22</v>
      </c>
      <c r="AC16" s="1485"/>
      <c r="AD16" s="1485"/>
      <c r="AE16" s="1485" t="s">
        <v>22</v>
      </c>
      <c r="AF16" s="1485"/>
      <c r="AG16" s="1485"/>
      <c r="AH16" s="1485" t="s">
        <v>22</v>
      </c>
      <c r="AI16" s="1485"/>
      <c r="AJ16" s="1485"/>
      <c r="AK16" s="1388" t="s">
        <v>22</v>
      </c>
      <c r="AL16" s="1488"/>
      <c r="AM16" s="97"/>
      <c r="AN16" s="67"/>
    </row>
    <row r="17" spans="1:40" s="33" customFormat="1" ht="68.25" customHeight="1">
      <c r="A17" s="1510"/>
      <c r="B17" s="19" t="s">
        <v>180</v>
      </c>
      <c r="C17" s="782">
        <v>225</v>
      </c>
      <c r="D17" s="21" t="s">
        <v>181</v>
      </c>
      <c r="E17" s="22" t="s">
        <v>182</v>
      </c>
      <c r="F17" s="22" t="s">
        <v>139</v>
      </c>
      <c r="G17" s="22" t="s">
        <v>183</v>
      </c>
      <c r="H17" s="23" t="s">
        <v>184</v>
      </c>
      <c r="I17" s="1388" t="s">
        <v>22</v>
      </c>
      <c r="J17" s="1388" t="s">
        <v>22</v>
      </c>
      <c r="K17" s="24">
        <v>0.4</v>
      </c>
      <c r="L17" s="25">
        <v>37377</v>
      </c>
      <c r="M17" s="25">
        <v>39969</v>
      </c>
      <c r="N17" s="1350">
        <v>2009</v>
      </c>
      <c r="O17" s="27" t="s">
        <v>185</v>
      </c>
      <c r="P17" s="1351">
        <v>5809824</v>
      </c>
      <c r="Q17" s="1080" t="s">
        <v>142</v>
      </c>
      <c r="R17" s="1352">
        <v>1.41723</v>
      </c>
      <c r="S17" s="30">
        <v>8233857</v>
      </c>
      <c r="T17" s="31">
        <v>2072</v>
      </c>
      <c r="U17" s="27" t="s">
        <v>186</v>
      </c>
      <c r="V17" s="16">
        <v>34333.97</v>
      </c>
      <c r="W17" s="16">
        <v>13733.59</v>
      </c>
      <c r="X17" s="1485"/>
      <c r="Y17" s="1485"/>
      <c r="Z17" s="1388" t="str">
        <f>+IF(W17="","",IF(W17&gt;=PARAMETROS!$K$5,"CUMPLE","NO CUMPLE"))</f>
        <v>CUMPLE</v>
      </c>
      <c r="AA17" s="208">
        <v>16</v>
      </c>
      <c r="AB17" s="1485" t="s">
        <v>22</v>
      </c>
      <c r="AC17" s="1485"/>
      <c r="AD17" s="1485"/>
      <c r="AE17" s="1485" t="s">
        <v>22</v>
      </c>
      <c r="AF17" s="1485"/>
      <c r="AG17" s="1485"/>
      <c r="AH17" s="1485" t="s">
        <v>22</v>
      </c>
      <c r="AI17" s="1485"/>
      <c r="AJ17" s="1485"/>
      <c r="AK17" s="1388" t="s">
        <v>22</v>
      </c>
      <c r="AL17" s="1488"/>
      <c r="AM17" s="1293" t="s">
        <v>187</v>
      </c>
      <c r="AN17" s="67"/>
    </row>
    <row r="18" spans="1:40" s="33" customFormat="1" ht="72" customHeight="1">
      <c r="A18" s="1510"/>
      <c r="B18" s="19" t="s">
        <v>180</v>
      </c>
      <c r="C18" s="782">
        <v>230</v>
      </c>
      <c r="D18" s="21" t="s">
        <v>181</v>
      </c>
      <c r="E18" s="22" t="s">
        <v>182</v>
      </c>
      <c r="F18" s="22" t="s">
        <v>139</v>
      </c>
      <c r="G18" s="22" t="s">
        <v>188</v>
      </c>
      <c r="H18" s="1115" t="s">
        <v>189</v>
      </c>
      <c r="I18" s="1388" t="s">
        <v>22</v>
      </c>
      <c r="J18" s="1388" t="s">
        <v>22</v>
      </c>
      <c r="K18" s="24">
        <v>0.35</v>
      </c>
      <c r="L18" s="25">
        <v>37518</v>
      </c>
      <c r="M18" s="25">
        <v>40025</v>
      </c>
      <c r="N18" s="26">
        <v>2009</v>
      </c>
      <c r="O18" s="27">
        <v>496900</v>
      </c>
      <c r="P18" s="895">
        <v>5822747.0499999998</v>
      </c>
      <c r="Q18" s="1080" t="s">
        <v>142</v>
      </c>
      <c r="R18" s="19">
        <v>1.4059299999999999</v>
      </c>
      <c r="S18" s="78">
        <v>8186374.7600064995</v>
      </c>
      <c r="T18" s="79">
        <v>2043.37</v>
      </c>
      <c r="U18" s="75">
        <v>16727792593.354481</v>
      </c>
      <c r="V18" s="16">
        <v>33664.30387070735</v>
      </c>
      <c r="W18" s="16">
        <v>11782.506354747571</v>
      </c>
      <c r="X18" s="1485"/>
      <c r="Y18" s="1485"/>
      <c r="Z18" s="1388" t="str">
        <f>+IF(W18="","",IF(W18&gt;=PARAMETROS!$K$5,"CUMPLE","NO CUMPLE"))</f>
        <v>CUMPLE</v>
      </c>
      <c r="AA18" s="208">
        <v>5</v>
      </c>
      <c r="AB18" s="1485" t="s">
        <v>22</v>
      </c>
      <c r="AC18" s="1485"/>
      <c r="AD18" s="1485"/>
      <c r="AE18" s="1485" t="s">
        <v>22</v>
      </c>
      <c r="AF18" s="1485"/>
      <c r="AG18" s="1485"/>
      <c r="AH18" s="1485" t="s">
        <v>22</v>
      </c>
      <c r="AI18" s="1485"/>
      <c r="AJ18" s="1485"/>
      <c r="AK18" s="1388" t="s">
        <v>22</v>
      </c>
      <c r="AL18" s="1488"/>
      <c r="AM18" s="97"/>
      <c r="AN18" s="67"/>
    </row>
    <row r="19" spans="1:40" s="33" customFormat="1" ht="11.25" customHeight="1">
      <c r="A19" s="1510"/>
      <c r="B19" s="19"/>
      <c r="C19" s="782"/>
      <c r="D19" s="21" t="s">
        <v>158</v>
      </c>
      <c r="E19" s="22"/>
      <c r="F19" s="22"/>
      <c r="G19" s="22"/>
      <c r="H19" s="23"/>
      <c r="I19" s="1388"/>
      <c r="J19" s="1388"/>
      <c r="K19" s="24"/>
      <c r="L19" s="25"/>
      <c r="M19" s="25"/>
      <c r="N19" s="26" t="s">
        <v>158</v>
      </c>
      <c r="O19" s="27" t="s">
        <v>158</v>
      </c>
      <c r="P19" s="895"/>
      <c r="Q19" s="1080"/>
      <c r="R19" s="19"/>
      <c r="S19" s="30"/>
      <c r="T19" s="31" t="s">
        <v>158</v>
      </c>
      <c r="U19" s="27" t="s">
        <v>158</v>
      </c>
      <c r="V19" s="16" t="s">
        <v>158</v>
      </c>
      <c r="W19" s="16" t="s">
        <v>158</v>
      </c>
      <c r="X19" s="1485"/>
      <c r="Y19" s="1485"/>
      <c r="Z19" s="1388"/>
      <c r="AA19" s="16"/>
      <c r="AB19" s="1485"/>
      <c r="AC19" s="1485"/>
      <c r="AD19" s="1485"/>
      <c r="AE19" s="1485"/>
      <c r="AF19" s="1485"/>
      <c r="AG19" s="1485"/>
      <c r="AH19" s="1485"/>
      <c r="AI19" s="1485"/>
      <c r="AJ19" s="1485"/>
      <c r="AK19" s="1388"/>
      <c r="AL19" s="1488"/>
      <c r="AM19" s="97"/>
      <c r="AN19" s="67"/>
    </row>
    <row r="20" spans="1:40" s="33" customFormat="1" ht="6.75" customHeight="1" thickBot="1">
      <c r="A20" s="1511"/>
      <c r="B20" s="99"/>
      <c r="C20" s="784"/>
      <c r="D20" s="101" t="s">
        <v>158</v>
      </c>
      <c r="E20" s="102"/>
      <c r="F20" s="102"/>
      <c r="G20" s="102"/>
      <c r="H20" s="103"/>
      <c r="I20" s="1392"/>
      <c r="J20" s="1392"/>
      <c r="K20" s="104"/>
      <c r="L20" s="105"/>
      <c r="M20" s="105"/>
      <c r="N20" s="106" t="s">
        <v>158</v>
      </c>
      <c r="O20" s="75" t="s">
        <v>158</v>
      </c>
      <c r="P20" s="896"/>
      <c r="Q20" s="475"/>
      <c r="R20" s="99"/>
      <c r="S20" s="110"/>
      <c r="T20" s="111" t="s">
        <v>158</v>
      </c>
      <c r="U20" s="107" t="s">
        <v>158</v>
      </c>
      <c r="V20" s="112" t="s">
        <v>158</v>
      </c>
      <c r="W20" s="112" t="s">
        <v>158</v>
      </c>
      <c r="X20" s="1486"/>
      <c r="Y20" s="1486"/>
      <c r="Z20" s="1401"/>
      <c r="AA20" s="112"/>
      <c r="AB20" s="1486"/>
      <c r="AC20" s="1486"/>
      <c r="AD20" s="1486"/>
      <c r="AE20" s="1486"/>
      <c r="AF20" s="1486"/>
      <c r="AG20" s="1486"/>
      <c r="AH20" s="1486"/>
      <c r="AI20" s="1486"/>
      <c r="AJ20" s="1486"/>
      <c r="AK20" s="1392"/>
      <c r="AL20" s="1489"/>
      <c r="AM20" s="113"/>
      <c r="AN20" s="67"/>
    </row>
    <row r="21" spans="1:40" s="33" customFormat="1" ht="45.75" customHeight="1">
      <c r="A21" s="1509" t="s">
        <v>24</v>
      </c>
      <c r="B21" s="81" t="s">
        <v>190</v>
      </c>
      <c r="C21" s="234">
        <v>573</v>
      </c>
      <c r="D21" s="83" t="s">
        <v>191</v>
      </c>
      <c r="E21" s="84" t="s">
        <v>192</v>
      </c>
      <c r="F21" s="84" t="s">
        <v>148</v>
      </c>
      <c r="G21" s="84" t="s">
        <v>193</v>
      </c>
      <c r="H21" s="85" t="s">
        <v>194</v>
      </c>
      <c r="I21" s="1393" t="s">
        <v>22</v>
      </c>
      <c r="J21" s="1393" t="s">
        <v>22</v>
      </c>
      <c r="K21" s="86">
        <v>0.7</v>
      </c>
      <c r="L21" s="87">
        <v>40561</v>
      </c>
      <c r="M21" s="87">
        <v>41500</v>
      </c>
      <c r="N21" s="88">
        <v>2013</v>
      </c>
      <c r="O21" s="298">
        <v>589500</v>
      </c>
      <c r="P21" s="893">
        <v>4481543752</v>
      </c>
      <c r="Q21" s="242" t="s">
        <v>151</v>
      </c>
      <c r="R21" s="81" t="s">
        <v>140</v>
      </c>
      <c r="S21" s="92" t="s">
        <v>140</v>
      </c>
      <c r="T21" s="93">
        <v>1</v>
      </c>
      <c r="U21" s="89">
        <v>4481543752</v>
      </c>
      <c r="V21" s="94">
        <v>7602.2794775233251</v>
      </c>
      <c r="W21" s="94">
        <v>5321.5956342663276</v>
      </c>
      <c r="X21" s="1484" t="str">
        <f>IF(W21="","",IF(SUM(W21:W23)&gt;=PARAMETROS!$G$5,"CUMPLE","NO CUMPLE"))</f>
        <v>CUMPLE</v>
      </c>
      <c r="Y21" s="1484" t="str">
        <f>IF(W21="","",IF(W21+W22&gt;=PARAMETROS!$I$5,"CUMPLE","NO CUMPLE"))</f>
        <v>CUMPLE</v>
      </c>
      <c r="Z21" s="1400" t="str">
        <f>+IF(W21="","",IF(W21&gt;=PARAMETROS!$K$5,"CUMPLE","NO CUMPLE"))</f>
        <v>CUMPLE</v>
      </c>
      <c r="AA21" s="207">
        <v>24</v>
      </c>
      <c r="AB21" s="1484" t="s">
        <v>129</v>
      </c>
      <c r="AC21" s="1484"/>
      <c r="AD21" s="1484"/>
      <c r="AE21" s="1484" t="s">
        <v>129</v>
      </c>
      <c r="AF21" s="1484"/>
      <c r="AG21" s="1484"/>
      <c r="AH21" s="1484" t="s">
        <v>22</v>
      </c>
      <c r="AI21" s="1484"/>
      <c r="AJ21" s="1484"/>
      <c r="AK21" s="1393" t="s">
        <v>22</v>
      </c>
      <c r="AL21" s="1490" t="s">
        <v>16</v>
      </c>
      <c r="AM21" s="1481" t="s">
        <v>557</v>
      </c>
      <c r="AN21" s="67"/>
    </row>
    <row r="22" spans="1:40" s="33" customFormat="1" ht="63" customHeight="1">
      <c r="A22" s="1510"/>
      <c r="B22" s="19" t="s">
        <v>190</v>
      </c>
      <c r="C22" s="910">
        <v>578</v>
      </c>
      <c r="D22" s="21" t="s">
        <v>191</v>
      </c>
      <c r="E22" s="22" t="s">
        <v>192</v>
      </c>
      <c r="F22" s="22" t="s">
        <v>148</v>
      </c>
      <c r="G22" s="22" t="s">
        <v>195</v>
      </c>
      <c r="H22" s="23" t="s">
        <v>194</v>
      </c>
      <c r="I22" s="1388" t="s">
        <v>22</v>
      </c>
      <c r="J22" s="1388" t="s">
        <v>22</v>
      </c>
      <c r="K22" s="24">
        <v>0.7</v>
      </c>
      <c r="L22" s="25">
        <v>40186</v>
      </c>
      <c r="M22" s="25">
        <v>40560</v>
      </c>
      <c r="N22" s="26">
        <v>2011</v>
      </c>
      <c r="O22" s="27">
        <v>535600</v>
      </c>
      <c r="P22" s="895">
        <v>3104182180</v>
      </c>
      <c r="Q22" s="1080" t="s">
        <v>151</v>
      </c>
      <c r="R22" s="19" t="s">
        <v>140</v>
      </c>
      <c r="S22" s="30" t="s">
        <v>140</v>
      </c>
      <c r="T22" s="31">
        <v>1</v>
      </c>
      <c r="U22" s="27">
        <v>3104182180</v>
      </c>
      <c r="V22" s="16">
        <v>5795.7098207617628</v>
      </c>
      <c r="W22" s="16">
        <v>4056.9968745332335</v>
      </c>
      <c r="X22" s="1485"/>
      <c r="Y22" s="1485"/>
      <c r="Z22" s="1388" t="str">
        <f>+IF(W22="","",IF(W22&gt;=PARAMETROS!$K$5,"CUMPLE","NO CUMPLE"))</f>
        <v>CUMPLE</v>
      </c>
      <c r="AA22" s="208">
        <v>19</v>
      </c>
      <c r="AB22" s="1515" t="s">
        <v>22</v>
      </c>
      <c r="AC22" s="1515"/>
      <c r="AD22" s="1515"/>
      <c r="AE22" s="1515" t="s">
        <v>22</v>
      </c>
      <c r="AF22" s="1515"/>
      <c r="AG22" s="1515"/>
      <c r="AH22" s="1485" t="s">
        <v>22</v>
      </c>
      <c r="AI22" s="1485"/>
      <c r="AJ22" s="1485"/>
      <c r="AK22" s="1388" t="s">
        <v>22</v>
      </c>
      <c r="AL22" s="1491"/>
      <c r="AM22" s="1482"/>
      <c r="AN22" s="67"/>
    </row>
    <row r="23" spans="1:40" s="33" customFormat="1" ht="65.25" customHeight="1">
      <c r="A23" s="1510"/>
      <c r="B23" s="19" t="s">
        <v>196</v>
      </c>
      <c r="C23" s="910">
        <v>583</v>
      </c>
      <c r="D23" s="21" t="s">
        <v>197</v>
      </c>
      <c r="E23" s="22" t="s">
        <v>147</v>
      </c>
      <c r="F23" s="22" t="s">
        <v>148</v>
      </c>
      <c r="G23" s="22" t="s">
        <v>198</v>
      </c>
      <c r="H23" s="23" t="s">
        <v>199</v>
      </c>
      <c r="I23" s="1388" t="s">
        <v>22</v>
      </c>
      <c r="J23" s="1388" t="s">
        <v>22</v>
      </c>
      <c r="K23" s="24">
        <v>0.5</v>
      </c>
      <c r="L23" s="25">
        <v>39595</v>
      </c>
      <c r="M23" s="25">
        <v>42460</v>
      </c>
      <c r="N23" s="26">
        <v>2015</v>
      </c>
      <c r="O23" s="27">
        <v>644350</v>
      </c>
      <c r="P23" s="895">
        <v>42325307575.199997</v>
      </c>
      <c r="Q23" s="1080" t="s">
        <v>151</v>
      </c>
      <c r="R23" s="19" t="s">
        <v>140</v>
      </c>
      <c r="S23" s="30" t="s">
        <v>140</v>
      </c>
      <c r="T23" s="31">
        <v>1</v>
      </c>
      <c r="U23" s="27">
        <v>24171996552</v>
      </c>
      <c r="V23" s="16">
        <v>37513.768219135563</v>
      </c>
      <c r="W23" s="16">
        <v>18756.884109567782</v>
      </c>
      <c r="X23" s="1485"/>
      <c r="Y23" s="1485"/>
      <c r="Z23" s="1388" t="str">
        <f>+IF(W23="","",IF(W23&gt;=PARAMETROS!$K$5,"CUMPLE","NO CUMPLE"))</f>
        <v>CUMPLE</v>
      </c>
      <c r="AA23" s="208" t="s">
        <v>152</v>
      </c>
      <c r="AB23" s="1485"/>
      <c r="AC23" s="1485"/>
      <c r="AD23" s="1485"/>
      <c r="AE23" s="1485"/>
      <c r="AF23" s="1485"/>
      <c r="AG23" s="1485"/>
      <c r="AH23" s="1485"/>
      <c r="AI23" s="1485"/>
      <c r="AJ23" s="1485"/>
      <c r="AK23" s="1388" t="s">
        <v>22</v>
      </c>
      <c r="AL23" s="1491"/>
      <c r="AM23" s="1482"/>
      <c r="AN23" s="67"/>
    </row>
    <row r="24" spans="1:40" s="33" customFormat="1" ht="58.5" customHeight="1">
      <c r="A24" s="1510"/>
      <c r="B24" s="19" t="s">
        <v>200</v>
      </c>
      <c r="C24" s="910">
        <v>594</v>
      </c>
      <c r="D24" s="21" t="s">
        <v>201</v>
      </c>
      <c r="E24" s="22" t="s">
        <v>202</v>
      </c>
      <c r="F24" s="22" t="s">
        <v>148</v>
      </c>
      <c r="G24" s="22" t="s">
        <v>203</v>
      </c>
      <c r="H24" s="23" t="s">
        <v>204</v>
      </c>
      <c r="I24" s="1388" t="s">
        <v>22</v>
      </c>
      <c r="J24" s="1388" t="s">
        <v>22</v>
      </c>
      <c r="K24" s="24">
        <v>1</v>
      </c>
      <c r="L24" s="25">
        <v>40190</v>
      </c>
      <c r="M24" s="25">
        <v>41240</v>
      </c>
      <c r="N24" s="26">
        <v>2012</v>
      </c>
      <c r="O24" s="27">
        <v>566700</v>
      </c>
      <c r="P24" s="895">
        <v>3164576487</v>
      </c>
      <c r="Q24" s="1080" t="s">
        <v>151</v>
      </c>
      <c r="R24" s="19" t="s">
        <v>140</v>
      </c>
      <c r="S24" s="30" t="s">
        <v>140</v>
      </c>
      <c r="T24" s="31">
        <v>1</v>
      </c>
      <c r="U24" s="27">
        <v>3164576487</v>
      </c>
      <c r="V24" s="16">
        <v>5584.2182583377453</v>
      </c>
      <c r="W24" s="16">
        <v>5584.2182583377453</v>
      </c>
      <c r="X24" s="1485"/>
      <c r="Y24" s="1485"/>
      <c r="Z24" s="1388" t="str">
        <f>+IF(W24="","",IF(W24&gt;=PARAMETROS!$K$5,"CUMPLE","NO CUMPLE"))</f>
        <v>CUMPLE</v>
      </c>
      <c r="AA24" s="208">
        <v>2</v>
      </c>
      <c r="AB24" s="1485" t="s">
        <v>22</v>
      </c>
      <c r="AC24" s="1485"/>
      <c r="AD24" s="1485"/>
      <c r="AE24" s="1485" t="s">
        <v>22</v>
      </c>
      <c r="AF24" s="1485"/>
      <c r="AG24" s="1485"/>
      <c r="AH24" s="1485" t="s">
        <v>22</v>
      </c>
      <c r="AI24" s="1485"/>
      <c r="AJ24" s="1485"/>
      <c r="AK24" s="1388" t="s">
        <v>22</v>
      </c>
      <c r="AL24" s="1491"/>
      <c r="AM24" s="1482"/>
      <c r="AN24" s="67"/>
    </row>
    <row r="25" spans="1:40" s="33" customFormat="1" ht="11.25" customHeight="1">
      <c r="A25" s="1510"/>
      <c r="B25" s="19"/>
      <c r="C25" s="910"/>
      <c r="D25" s="21" t="s">
        <v>158</v>
      </c>
      <c r="E25" s="22"/>
      <c r="F25" s="22"/>
      <c r="G25" s="22"/>
      <c r="H25" s="23"/>
      <c r="I25" s="1388"/>
      <c r="J25" s="1388"/>
      <c r="K25" s="24"/>
      <c r="L25" s="25"/>
      <c r="M25" s="25"/>
      <c r="N25" s="26" t="s">
        <v>158</v>
      </c>
      <c r="O25" s="27" t="s">
        <v>158</v>
      </c>
      <c r="P25" s="895"/>
      <c r="Q25" s="1080"/>
      <c r="R25" s="19"/>
      <c r="S25" s="30"/>
      <c r="T25" s="31" t="s">
        <v>158</v>
      </c>
      <c r="U25" s="27" t="s">
        <v>158</v>
      </c>
      <c r="V25" s="16" t="s">
        <v>158</v>
      </c>
      <c r="W25" s="16" t="s">
        <v>158</v>
      </c>
      <c r="X25" s="1485"/>
      <c r="Y25" s="1485"/>
      <c r="Z25" s="1388"/>
      <c r="AA25" s="16"/>
      <c r="AB25" s="1485"/>
      <c r="AC25" s="1485"/>
      <c r="AD25" s="1485"/>
      <c r="AE25" s="1485"/>
      <c r="AF25" s="1485"/>
      <c r="AG25" s="1485"/>
      <c r="AH25" s="1485"/>
      <c r="AI25" s="1485"/>
      <c r="AJ25" s="1485"/>
      <c r="AK25" s="1388"/>
      <c r="AL25" s="1491"/>
      <c r="AM25" s="1482"/>
      <c r="AN25" s="67"/>
    </row>
    <row r="26" spans="1:40" s="33" customFormat="1" ht="11.25" customHeight="1" thickBot="1">
      <c r="A26" s="1511"/>
      <c r="B26" s="99"/>
      <c r="C26" s="784"/>
      <c r="D26" s="101" t="s">
        <v>158</v>
      </c>
      <c r="E26" s="102"/>
      <c r="F26" s="102"/>
      <c r="G26" s="102"/>
      <c r="H26" s="103"/>
      <c r="I26" s="1392"/>
      <c r="J26" s="1392"/>
      <c r="K26" s="104"/>
      <c r="L26" s="105"/>
      <c r="M26" s="105"/>
      <c r="N26" s="106" t="s">
        <v>158</v>
      </c>
      <c r="O26" s="107" t="s">
        <v>158</v>
      </c>
      <c r="P26" s="896"/>
      <c r="Q26" s="475"/>
      <c r="R26" s="99"/>
      <c r="S26" s="110"/>
      <c r="T26" s="111" t="s">
        <v>158</v>
      </c>
      <c r="U26" s="107" t="s">
        <v>158</v>
      </c>
      <c r="V26" s="112" t="s">
        <v>158</v>
      </c>
      <c r="W26" s="112" t="s">
        <v>158</v>
      </c>
      <c r="X26" s="1486"/>
      <c r="Y26" s="1486"/>
      <c r="Z26" s="1401"/>
      <c r="AA26" s="112"/>
      <c r="AB26" s="1486"/>
      <c r="AC26" s="1486"/>
      <c r="AD26" s="1486"/>
      <c r="AE26" s="1486"/>
      <c r="AF26" s="1486"/>
      <c r="AG26" s="1486"/>
      <c r="AH26" s="1486"/>
      <c r="AI26" s="1486"/>
      <c r="AJ26" s="1486"/>
      <c r="AK26" s="1392"/>
      <c r="AL26" s="1492"/>
      <c r="AM26" s="1483"/>
      <c r="AN26" s="67"/>
    </row>
    <row r="27" spans="1:40" s="33" customFormat="1" ht="123.75" customHeight="1">
      <c r="A27" s="1509" t="s">
        <v>25</v>
      </c>
      <c r="B27" s="81" t="s">
        <v>205</v>
      </c>
      <c r="C27" s="783">
        <v>170</v>
      </c>
      <c r="D27" s="83" t="s">
        <v>206</v>
      </c>
      <c r="E27" s="992" t="s">
        <v>207</v>
      </c>
      <c r="F27" s="84" t="s">
        <v>148</v>
      </c>
      <c r="G27" s="84" t="s">
        <v>208</v>
      </c>
      <c r="H27" s="1115" t="s">
        <v>209</v>
      </c>
      <c r="I27" s="1393" t="s">
        <v>22</v>
      </c>
      <c r="J27" s="1393" t="s">
        <v>22</v>
      </c>
      <c r="K27" s="86">
        <v>0.7</v>
      </c>
      <c r="L27" s="1128">
        <v>39615</v>
      </c>
      <c r="M27" s="1129">
        <v>41502</v>
      </c>
      <c r="N27" s="88">
        <v>2013</v>
      </c>
      <c r="O27" s="75">
        <v>589500</v>
      </c>
      <c r="P27" s="893">
        <v>28736581560</v>
      </c>
      <c r="Q27" s="242" t="s">
        <v>151</v>
      </c>
      <c r="R27" s="81" t="s">
        <v>140</v>
      </c>
      <c r="S27" s="92" t="s">
        <v>140</v>
      </c>
      <c r="T27" s="93">
        <v>1</v>
      </c>
      <c r="U27" s="89">
        <v>28736581560</v>
      </c>
      <c r="V27" s="94">
        <v>48747.381781170487</v>
      </c>
      <c r="W27" s="94">
        <v>34123.167246819336</v>
      </c>
      <c r="X27" s="1484" t="str">
        <f>IF(W27="","",IF(SUM(W27:W29)&gt;=PARAMETROS!$G$5,"CUMPLE","NO CUMPLE"))</f>
        <v>CUMPLE</v>
      </c>
      <c r="Y27" s="1484" t="str">
        <f>IF(W27="","",IF(W27+W28&gt;=PARAMETROS!$I$5,"CUMPLE","NO CUMPLE"))</f>
        <v>CUMPLE</v>
      </c>
      <c r="Z27" s="1400" t="str">
        <f>+IF(W27="","",IF(W27&gt;=PARAMETROS!$K$5,"CUMPLE","NO CUMPLE"))</f>
        <v>CUMPLE</v>
      </c>
      <c r="AA27" s="207">
        <v>1</v>
      </c>
      <c r="AB27" s="1484" t="s">
        <v>22</v>
      </c>
      <c r="AC27" s="1484"/>
      <c r="AD27" s="1484"/>
      <c r="AE27" s="1484" t="s">
        <v>22</v>
      </c>
      <c r="AF27" s="1484"/>
      <c r="AG27" s="1484"/>
      <c r="AH27" s="1484" t="s">
        <v>22</v>
      </c>
      <c r="AI27" s="1484"/>
      <c r="AJ27" s="1484"/>
      <c r="AK27" s="1393" t="s">
        <v>22</v>
      </c>
      <c r="AL27" s="1487" t="s">
        <v>21</v>
      </c>
      <c r="AM27" s="96"/>
      <c r="AN27" s="67"/>
    </row>
    <row r="28" spans="1:40" s="33" customFormat="1" ht="53.25" customHeight="1">
      <c r="A28" s="1510"/>
      <c r="B28" s="19" t="s">
        <v>205</v>
      </c>
      <c r="C28" s="782">
        <v>214</v>
      </c>
      <c r="D28" s="21" t="s">
        <v>206</v>
      </c>
      <c r="E28" s="22" t="s">
        <v>155</v>
      </c>
      <c r="F28" s="22" t="s">
        <v>148</v>
      </c>
      <c r="G28" s="22" t="s">
        <v>210</v>
      </c>
      <c r="H28" s="1115" t="s">
        <v>211</v>
      </c>
      <c r="I28" s="1388" t="s">
        <v>22</v>
      </c>
      <c r="J28" s="1388" t="s">
        <v>22</v>
      </c>
      <c r="K28" s="24">
        <v>0.55000000000000004</v>
      </c>
      <c r="L28" s="25">
        <v>39856</v>
      </c>
      <c r="M28" s="1130">
        <v>40979</v>
      </c>
      <c r="N28" s="26">
        <v>2012</v>
      </c>
      <c r="O28" s="27">
        <v>566700</v>
      </c>
      <c r="P28" s="895">
        <v>3720919329.1999998</v>
      </c>
      <c r="Q28" s="1080" t="s">
        <v>151</v>
      </c>
      <c r="R28" s="19" t="s">
        <v>140</v>
      </c>
      <c r="S28" s="30" t="s">
        <v>140</v>
      </c>
      <c r="T28" s="31">
        <v>1</v>
      </c>
      <c r="U28" s="27">
        <v>3720919329.1999998</v>
      </c>
      <c r="V28" s="16">
        <v>6565.9419961178755</v>
      </c>
      <c r="W28" s="16">
        <v>3611.2680978648318</v>
      </c>
      <c r="X28" s="1485"/>
      <c r="Y28" s="1485"/>
      <c r="Z28" s="1388" t="str">
        <f>+IF(W28="","",IF(W28&gt;=PARAMETROS!$K$5,"CUMPLE","NO CUMPLE"))</f>
        <v>CUMPLE</v>
      </c>
      <c r="AA28" s="208">
        <v>2</v>
      </c>
      <c r="AB28" s="1485" t="s">
        <v>22</v>
      </c>
      <c r="AC28" s="1485"/>
      <c r="AD28" s="1485"/>
      <c r="AE28" s="1485" t="s">
        <v>22</v>
      </c>
      <c r="AF28" s="1485"/>
      <c r="AG28" s="1485"/>
      <c r="AH28" s="1485" t="s">
        <v>22</v>
      </c>
      <c r="AI28" s="1485"/>
      <c r="AJ28" s="1485"/>
      <c r="AK28" s="1388" t="s">
        <v>22</v>
      </c>
      <c r="AL28" s="1488"/>
      <c r="AM28" s="97"/>
      <c r="AN28" s="67"/>
    </row>
    <row r="29" spans="1:40" s="33" customFormat="1" ht="45.75" customHeight="1">
      <c r="A29" s="1510"/>
      <c r="B29" s="19" t="s">
        <v>212</v>
      </c>
      <c r="C29" s="782">
        <v>230</v>
      </c>
      <c r="D29" s="21" t="s">
        <v>213</v>
      </c>
      <c r="E29" s="37" t="s">
        <v>214</v>
      </c>
      <c r="F29" s="37" t="s">
        <v>139</v>
      </c>
      <c r="G29" s="37" t="s">
        <v>215</v>
      </c>
      <c r="H29" s="1115" t="s">
        <v>216</v>
      </c>
      <c r="I29" s="1388" t="s">
        <v>22</v>
      </c>
      <c r="J29" s="1388" t="s">
        <v>22</v>
      </c>
      <c r="K29" s="38">
        <v>1</v>
      </c>
      <c r="L29" s="25">
        <v>38056</v>
      </c>
      <c r="M29" s="25">
        <v>39436</v>
      </c>
      <c r="N29" s="26">
        <v>2007</v>
      </c>
      <c r="O29" s="27">
        <v>433700</v>
      </c>
      <c r="P29" s="895">
        <v>947072.72</v>
      </c>
      <c r="Q29" s="1080" t="s">
        <v>142</v>
      </c>
      <c r="R29" s="19">
        <v>1.4396800000000001</v>
      </c>
      <c r="S29" s="30">
        <v>1363481.6535296</v>
      </c>
      <c r="T29" s="31">
        <v>2005.92</v>
      </c>
      <c r="U29" s="27">
        <v>2735035118.4480953</v>
      </c>
      <c r="V29" s="16">
        <v>6306.283418141792</v>
      </c>
      <c r="W29" s="16">
        <v>6306.283418141792</v>
      </c>
      <c r="X29" s="1485"/>
      <c r="Y29" s="1485"/>
      <c r="Z29" s="1388" t="str">
        <f>+IF(W29="","",IF(W29&gt;=PARAMETROS!$K$5,"CUMPLE","NO CUMPLE"))</f>
        <v>CUMPLE</v>
      </c>
      <c r="AA29" s="208">
        <v>2</v>
      </c>
      <c r="AB29" s="1485" t="s">
        <v>22</v>
      </c>
      <c r="AC29" s="1485"/>
      <c r="AD29" s="1485"/>
      <c r="AE29" s="1485" t="s">
        <v>22</v>
      </c>
      <c r="AF29" s="1485"/>
      <c r="AG29" s="1485"/>
      <c r="AH29" s="1485" t="s">
        <v>22</v>
      </c>
      <c r="AI29" s="1485"/>
      <c r="AJ29" s="1485"/>
      <c r="AK29" s="1388" t="s">
        <v>22</v>
      </c>
      <c r="AL29" s="1488"/>
      <c r="AM29" s="121"/>
      <c r="AN29" s="67"/>
    </row>
    <row r="30" spans="1:40" s="43" customFormat="1" ht="11.25" customHeight="1">
      <c r="A30" s="1510"/>
      <c r="B30" s="19"/>
      <c r="C30" s="782"/>
      <c r="D30" s="21"/>
      <c r="E30" s="22"/>
      <c r="F30" s="22"/>
      <c r="G30" s="22"/>
      <c r="H30" s="23"/>
      <c r="I30" s="1388"/>
      <c r="J30" s="1388"/>
      <c r="K30" s="39"/>
      <c r="L30" s="40"/>
      <c r="M30" s="41"/>
      <c r="N30" s="26"/>
      <c r="O30" s="27"/>
      <c r="P30" s="898"/>
      <c r="Q30" s="1080"/>
      <c r="R30" s="898"/>
      <c r="S30" s="78"/>
      <c r="T30" s="29"/>
      <c r="U30" s="27"/>
      <c r="V30" s="16"/>
      <c r="W30" s="16"/>
      <c r="X30" s="1485"/>
      <c r="Y30" s="1485"/>
      <c r="Z30" s="1388" t="str">
        <f>+IF(W30="","",IF(W30&gt;=PARAMETROS!$K$5,"CUMPLE","NO CUMPLE"))</f>
        <v/>
      </c>
      <c r="AA30" s="208"/>
      <c r="AB30" s="1485"/>
      <c r="AC30" s="1485"/>
      <c r="AD30" s="1485"/>
      <c r="AE30" s="1485"/>
      <c r="AF30" s="1485"/>
      <c r="AG30" s="1485"/>
      <c r="AH30" s="1485"/>
      <c r="AI30" s="1485"/>
      <c r="AJ30" s="1485"/>
      <c r="AK30" s="1388"/>
      <c r="AL30" s="1488"/>
      <c r="AM30" s="97"/>
      <c r="AN30" s="115"/>
    </row>
    <row r="31" spans="1:40" s="33" customFormat="1" ht="9" customHeight="1">
      <c r="A31" s="1510"/>
      <c r="B31" s="19"/>
      <c r="C31" s="782"/>
      <c r="D31" s="21"/>
      <c r="E31" s="22"/>
      <c r="F31" s="22"/>
      <c r="G31" s="22"/>
      <c r="H31" s="23"/>
      <c r="I31" s="1388"/>
      <c r="J31" s="1388"/>
      <c r="K31" s="24"/>
      <c r="L31" s="25"/>
      <c r="M31" s="25"/>
      <c r="N31" s="26"/>
      <c r="O31" s="27"/>
      <c r="P31" s="895"/>
      <c r="Q31" s="1080"/>
      <c r="R31" s="19"/>
      <c r="S31" s="30"/>
      <c r="T31" s="31"/>
      <c r="U31" s="27"/>
      <c r="V31" s="16"/>
      <c r="W31" s="16"/>
      <c r="X31" s="1485"/>
      <c r="Y31" s="1485"/>
      <c r="Z31" s="1388"/>
      <c r="AA31" s="277"/>
      <c r="AB31" s="1485"/>
      <c r="AC31" s="1485"/>
      <c r="AD31" s="1485"/>
      <c r="AE31" s="1485"/>
      <c r="AF31" s="1485"/>
      <c r="AG31" s="1485"/>
      <c r="AH31" s="1485"/>
      <c r="AI31" s="1485"/>
      <c r="AJ31" s="1485"/>
      <c r="AK31" s="1388"/>
      <c r="AL31" s="1488"/>
      <c r="AM31" s="97"/>
      <c r="AN31" s="67"/>
    </row>
    <row r="32" spans="1:40" s="179" customFormat="1" ht="11.25" customHeight="1" thickBot="1">
      <c r="A32" s="1511"/>
      <c r="B32" s="99"/>
      <c r="C32" s="784"/>
      <c r="D32" s="101"/>
      <c r="E32" s="102"/>
      <c r="F32" s="102"/>
      <c r="G32" s="102"/>
      <c r="H32" s="103"/>
      <c r="I32" s="1392"/>
      <c r="J32" s="1392"/>
      <c r="K32" s="104"/>
      <c r="L32" s="105"/>
      <c r="M32" s="105"/>
      <c r="N32" s="106"/>
      <c r="O32" s="328"/>
      <c r="P32" s="896"/>
      <c r="Q32" s="475"/>
      <c r="R32" s="99"/>
      <c r="S32" s="110"/>
      <c r="T32" s="111"/>
      <c r="U32" s="107"/>
      <c r="V32" s="112"/>
      <c r="W32" s="112"/>
      <c r="X32" s="1486"/>
      <c r="Y32" s="1486"/>
      <c r="Z32" s="1402"/>
      <c r="AA32" s="213"/>
      <c r="AB32" s="1486"/>
      <c r="AC32" s="1486"/>
      <c r="AD32" s="1486"/>
      <c r="AE32" s="1486"/>
      <c r="AF32" s="1486"/>
      <c r="AG32" s="1486"/>
      <c r="AH32" s="1486"/>
      <c r="AI32" s="1486"/>
      <c r="AJ32" s="1486"/>
      <c r="AK32" s="1392"/>
      <c r="AL32" s="1489"/>
      <c r="AM32" s="113"/>
      <c r="AN32" s="903"/>
    </row>
    <row r="33" spans="1:40" s="186" customFormat="1" ht="76.5" customHeight="1" thickBot="1">
      <c r="A33" s="1509" t="s">
        <v>26</v>
      </c>
      <c r="B33" s="233" t="s">
        <v>217</v>
      </c>
      <c r="C33" s="234" t="s">
        <v>218</v>
      </c>
      <c r="D33" s="274" t="s">
        <v>219</v>
      </c>
      <c r="E33" s="235" t="s">
        <v>220</v>
      </c>
      <c r="F33" s="235" t="s">
        <v>139</v>
      </c>
      <c r="G33" s="235"/>
      <c r="H33" s="236" t="s">
        <v>221</v>
      </c>
      <c r="I33" s="1397" t="s">
        <v>22</v>
      </c>
      <c r="J33" s="1397" t="s">
        <v>22</v>
      </c>
      <c r="K33" s="237">
        <v>0.7</v>
      </c>
      <c r="L33" s="238">
        <v>37951</v>
      </c>
      <c r="M33" s="238">
        <v>39568</v>
      </c>
      <c r="N33" s="239">
        <v>2008</v>
      </c>
      <c r="O33" s="315">
        <v>461500</v>
      </c>
      <c r="P33" s="1078">
        <v>2224756</v>
      </c>
      <c r="Q33" s="242" t="s">
        <v>222</v>
      </c>
      <c r="R33" s="233">
        <v>1.5607500000000001</v>
      </c>
      <c r="S33" s="243">
        <v>3472287.9270000001</v>
      </c>
      <c r="T33" s="244">
        <v>1780.21</v>
      </c>
      <c r="U33" s="240">
        <v>6181401690.5246706</v>
      </c>
      <c r="V33" s="245">
        <v>13394.153175568084</v>
      </c>
      <c r="W33" s="245">
        <v>9375.9072228976584</v>
      </c>
      <c r="X33" s="1505" t="str">
        <f>IF(W33="","",IF(SUM(W33:W36)&gt;=[1]PARAMETROS!$G$5,"CUMPLE","NO CUMPLE"))</f>
        <v>CUMPLE</v>
      </c>
      <c r="Y33" s="1505" t="str">
        <f>IF(W33="","",IF(W33&gt;=[1]PARAMETROS!$I$5,"CUMPLE","NO CUMPLE"))</f>
        <v>CUMPLE</v>
      </c>
      <c r="Z33" s="1401" t="str">
        <f>+IF(W33="","",IF(W33&gt;=PARAMETROS!$K$5,"CUMPLE","NO CUMPLE"))</f>
        <v>CUMPLE</v>
      </c>
      <c r="AA33" s="1100" t="s">
        <v>223</v>
      </c>
      <c r="AB33" s="1513" t="s">
        <v>22</v>
      </c>
      <c r="AC33" s="1513"/>
      <c r="AD33" s="1513"/>
      <c r="AE33" s="1513" t="s">
        <v>22</v>
      </c>
      <c r="AF33" s="1513"/>
      <c r="AG33" s="1513"/>
      <c r="AH33" s="1513" t="s">
        <v>22</v>
      </c>
      <c r="AI33" s="1513"/>
      <c r="AJ33" s="1513"/>
      <c r="AK33" s="1397" t="s">
        <v>22</v>
      </c>
      <c r="AL33" s="1487" t="s">
        <v>21</v>
      </c>
      <c r="AM33" s="429"/>
      <c r="AN33" s="194"/>
    </row>
    <row r="34" spans="1:40" s="33" customFormat="1" ht="74.25" customHeight="1">
      <c r="A34" s="1510"/>
      <c r="B34" s="687" t="s">
        <v>224</v>
      </c>
      <c r="C34" s="910" t="s">
        <v>225</v>
      </c>
      <c r="D34" s="489" t="s">
        <v>226</v>
      </c>
      <c r="E34" s="716" t="s">
        <v>147</v>
      </c>
      <c r="F34" s="716" t="s">
        <v>148</v>
      </c>
      <c r="G34" s="716" t="s">
        <v>227</v>
      </c>
      <c r="H34" s="1074" t="s">
        <v>228</v>
      </c>
      <c r="I34" s="1398" t="s">
        <v>22</v>
      </c>
      <c r="J34" s="1398" t="s">
        <v>22</v>
      </c>
      <c r="K34" s="1122">
        <v>0.6</v>
      </c>
      <c r="L34" s="222">
        <v>41198</v>
      </c>
      <c r="M34" s="1121">
        <v>41984</v>
      </c>
      <c r="N34" s="223">
        <v>2014</v>
      </c>
      <c r="O34" s="470">
        <v>616000</v>
      </c>
      <c r="P34" s="1079">
        <v>2668542300</v>
      </c>
      <c r="Q34" s="1080" t="s">
        <v>229</v>
      </c>
      <c r="R34" s="687" t="s">
        <v>140</v>
      </c>
      <c r="S34" s="1081" t="s">
        <v>140</v>
      </c>
      <c r="T34" s="1082">
        <v>1</v>
      </c>
      <c r="U34" s="470">
        <v>2668542300</v>
      </c>
      <c r="V34" s="471">
        <v>4332.0491883116883</v>
      </c>
      <c r="W34" s="471">
        <v>2599.2295129870131</v>
      </c>
      <c r="X34" s="1506"/>
      <c r="Y34" s="1506"/>
      <c r="Z34" s="1388" t="str">
        <f>+IF(W34="","",IF(W34&gt;=PARAMETROS!$K$5,"CUMPLE","NO CUMPLE"))</f>
        <v>CUMPLE</v>
      </c>
      <c r="AA34" s="1101" t="s">
        <v>230</v>
      </c>
      <c r="AB34" s="1514" t="s">
        <v>129</v>
      </c>
      <c r="AC34" s="1514"/>
      <c r="AD34" s="1514"/>
      <c r="AE34" s="1514" t="s">
        <v>22</v>
      </c>
      <c r="AF34" s="1514"/>
      <c r="AG34" s="1514"/>
      <c r="AH34" s="1514" t="s">
        <v>22</v>
      </c>
      <c r="AI34" s="1514"/>
      <c r="AJ34" s="1514"/>
      <c r="AK34" s="1398" t="s">
        <v>22</v>
      </c>
      <c r="AL34" s="1488"/>
      <c r="AM34" s="1103"/>
      <c r="AN34" s="67"/>
    </row>
    <row r="35" spans="1:40" s="33" customFormat="1" ht="60.75" customHeight="1">
      <c r="A35" s="1510"/>
      <c r="B35" s="687" t="s">
        <v>224</v>
      </c>
      <c r="C35" s="910">
        <v>136</v>
      </c>
      <c r="D35" s="489" t="s">
        <v>226</v>
      </c>
      <c r="E35" s="716" t="s">
        <v>155</v>
      </c>
      <c r="F35" s="716" t="s">
        <v>148</v>
      </c>
      <c r="G35" s="716" t="s">
        <v>231</v>
      </c>
      <c r="H35" s="1074" t="s">
        <v>232</v>
      </c>
      <c r="I35" s="1398" t="s">
        <v>22</v>
      </c>
      <c r="J35" s="1398" t="s">
        <v>22</v>
      </c>
      <c r="K35" s="484">
        <v>1</v>
      </c>
      <c r="L35" s="222">
        <v>36992</v>
      </c>
      <c r="M35" s="222">
        <v>37636</v>
      </c>
      <c r="N35" s="223">
        <v>2003</v>
      </c>
      <c r="O35" s="470">
        <v>332000</v>
      </c>
      <c r="P35" s="1079">
        <v>1135751411</v>
      </c>
      <c r="Q35" s="1080" t="s">
        <v>229</v>
      </c>
      <c r="R35" s="687" t="s">
        <v>140</v>
      </c>
      <c r="S35" s="1081" t="s">
        <v>140</v>
      </c>
      <c r="T35" s="1082">
        <v>1</v>
      </c>
      <c r="U35" s="470">
        <v>1135751411</v>
      </c>
      <c r="V35" s="471">
        <v>3420.9379849397592</v>
      </c>
      <c r="W35" s="471">
        <v>3420.9379849397592</v>
      </c>
      <c r="X35" s="1506"/>
      <c r="Y35" s="1506"/>
      <c r="Z35" s="1388" t="str">
        <f>+IF(W35="","",IF(W35&gt;=PARAMETROS!$K$5,"CUMPLE","NO CUMPLE"))</f>
        <v>CUMPLE</v>
      </c>
      <c r="AA35" s="1101" t="s">
        <v>233</v>
      </c>
      <c r="AB35" s="1514" t="s">
        <v>129</v>
      </c>
      <c r="AC35" s="1514"/>
      <c r="AD35" s="1514"/>
      <c r="AE35" s="1514" t="s">
        <v>22</v>
      </c>
      <c r="AF35" s="1514"/>
      <c r="AG35" s="1514"/>
      <c r="AH35" s="1514" t="s">
        <v>22</v>
      </c>
      <c r="AI35" s="1514"/>
      <c r="AJ35" s="1514"/>
      <c r="AK35" s="1398" t="s">
        <v>22</v>
      </c>
      <c r="AL35" s="1488"/>
      <c r="AM35" s="499"/>
      <c r="AN35" s="67"/>
    </row>
    <row r="36" spans="1:40" s="33" customFormat="1" ht="67.5" customHeight="1">
      <c r="A36" s="1510"/>
      <c r="B36" s="687" t="s">
        <v>234</v>
      </c>
      <c r="C36" s="910" t="s">
        <v>235</v>
      </c>
      <c r="D36" s="489" t="s">
        <v>236</v>
      </c>
      <c r="E36" s="716" t="s">
        <v>155</v>
      </c>
      <c r="F36" s="716" t="s">
        <v>148</v>
      </c>
      <c r="G36" s="716">
        <v>635</v>
      </c>
      <c r="H36" s="1074" t="s">
        <v>237</v>
      </c>
      <c r="I36" s="1398" t="s">
        <v>22</v>
      </c>
      <c r="J36" s="1398" t="s">
        <v>22</v>
      </c>
      <c r="K36" s="484">
        <v>1</v>
      </c>
      <c r="L36" s="222">
        <v>41123</v>
      </c>
      <c r="M36" s="222">
        <v>41779</v>
      </c>
      <c r="N36" s="223">
        <v>2014</v>
      </c>
      <c r="O36" s="470">
        <v>616000</v>
      </c>
      <c r="P36" s="1079">
        <v>1605385195</v>
      </c>
      <c r="Q36" s="1080" t="s">
        <v>229</v>
      </c>
      <c r="R36" s="687" t="s">
        <v>140</v>
      </c>
      <c r="S36" s="1081" t="s">
        <v>140</v>
      </c>
      <c r="T36" s="1082">
        <v>1</v>
      </c>
      <c r="U36" s="470">
        <v>1605385195</v>
      </c>
      <c r="V36" s="471">
        <v>2606.1447970779222</v>
      </c>
      <c r="W36" s="471">
        <v>2606.1447970779222</v>
      </c>
      <c r="X36" s="1506"/>
      <c r="Y36" s="1506"/>
      <c r="Z36" s="1388" t="str">
        <f>+IF(W36="","",IF(W36&gt;=PARAMETROS!$K$5,"CUMPLE","NO CUMPLE"))</f>
        <v>CUMPLE</v>
      </c>
      <c r="AA36" s="1101" t="s">
        <v>238</v>
      </c>
      <c r="AB36" s="1514" t="s">
        <v>22</v>
      </c>
      <c r="AC36" s="1514"/>
      <c r="AD36" s="1514"/>
      <c r="AE36" s="1514" t="s">
        <v>22</v>
      </c>
      <c r="AF36" s="1514"/>
      <c r="AG36" s="1514"/>
      <c r="AH36" s="1514" t="s">
        <v>22</v>
      </c>
      <c r="AI36" s="1514"/>
      <c r="AJ36" s="1514"/>
      <c r="AK36" s="1398" t="s">
        <v>22</v>
      </c>
      <c r="AL36" s="1488"/>
      <c r="AM36" s="499"/>
      <c r="AN36" s="67"/>
    </row>
    <row r="37" spans="1:40" s="33" customFormat="1" ht="6.75" customHeight="1">
      <c r="A37" s="1510"/>
      <c r="B37" s="687"/>
      <c r="C37" s="910"/>
      <c r="D37" s="489" t="s">
        <v>158</v>
      </c>
      <c r="E37" s="716"/>
      <c r="F37" s="716"/>
      <c r="G37" s="716"/>
      <c r="H37" s="1074"/>
      <c r="I37" s="1398"/>
      <c r="J37" s="1398"/>
      <c r="K37" s="484"/>
      <c r="L37" s="222"/>
      <c r="M37" s="222"/>
      <c r="N37" s="223" t="s">
        <v>158</v>
      </c>
      <c r="O37" s="470" t="s">
        <v>158</v>
      </c>
      <c r="P37" s="1079"/>
      <c r="Q37" s="1080"/>
      <c r="R37" s="687"/>
      <c r="S37" s="1081"/>
      <c r="T37" s="1082"/>
      <c r="U37" s="470" t="s">
        <v>158</v>
      </c>
      <c r="V37" s="471" t="s">
        <v>158</v>
      </c>
      <c r="W37" s="471" t="s">
        <v>158</v>
      </c>
      <c r="X37" s="1506"/>
      <c r="Y37" s="1506"/>
      <c r="Z37" s="1388" t="str">
        <f>+IF(W37="","",IF(W37&gt;=PARAMETROS!$K$5,"CUMPLE","NO CUMPLE"))</f>
        <v/>
      </c>
      <c r="AA37" s="471"/>
      <c r="AB37" s="1514"/>
      <c r="AC37" s="1514"/>
      <c r="AD37" s="1514"/>
      <c r="AE37" s="1514"/>
      <c r="AF37" s="1514"/>
      <c r="AG37" s="1514"/>
      <c r="AH37" s="1514"/>
      <c r="AI37" s="1514"/>
      <c r="AJ37" s="1514"/>
      <c r="AK37" s="1398"/>
      <c r="AL37" s="1488"/>
      <c r="AM37" s="499"/>
      <c r="AN37" s="67"/>
    </row>
    <row r="38" spans="1:40" s="33" customFormat="1" ht="6" customHeight="1" thickBot="1">
      <c r="A38" s="1511"/>
      <c r="B38" s="476"/>
      <c r="C38" s="1075"/>
      <c r="D38" s="493" t="s">
        <v>158</v>
      </c>
      <c r="E38" s="718"/>
      <c r="F38" s="718"/>
      <c r="G38" s="718"/>
      <c r="H38" s="719"/>
      <c r="I38" s="1399"/>
      <c r="J38" s="1399"/>
      <c r="K38" s="473"/>
      <c r="L38" s="720"/>
      <c r="M38" s="720"/>
      <c r="N38" s="721" t="s">
        <v>158</v>
      </c>
      <c r="O38" s="1083" t="s">
        <v>158</v>
      </c>
      <c r="P38" s="1084"/>
      <c r="Q38" s="475"/>
      <c r="R38" s="476"/>
      <c r="S38" s="477"/>
      <c r="T38" s="478"/>
      <c r="U38" s="464" t="s">
        <v>158</v>
      </c>
      <c r="V38" s="465" t="s">
        <v>158</v>
      </c>
      <c r="W38" s="465" t="s">
        <v>158</v>
      </c>
      <c r="X38" s="1507"/>
      <c r="Y38" s="1507"/>
      <c r="Z38" s="1401" t="str">
        <f>+IF(W38="","",IF(W38&gt;=PARAMETROS!$K$5,"CUMPLE","NO CUMPLE"))</f>
        <v/>
      </c>
      <c r="AA38" s="465"/>
      <c r="AB38" s="1512"/>
      <c r="AC38" s="1512"/>
      <c r="AD38" s="1512"/>
      <c r="AE38" s="1512"/>
      <c r="AF38" s="1512"/>
      <c r="AG38" s="1512"/>
      <c r="AH38" s="1512"/>
      <c r="AI38" s="1512"/>
      <c r="AJ38" s="1512"/>
      <c r="AK38" s="1399"/>
      <c r="AL38" s="1489"/>
      <c r="AM38" s="1102"/>
      <c r="AN38" s="67"/>
    </row>
    <row r="39" spans="1:40" s="33" customFormat="1" ht="60" customHeight="1" thickBot="1">
      <c r="A39" s="1509" t="s">
        <v>27</v>
      </c>
      <c r="B39" s="233" t="s">
        <v>239</v>
      </c>
      <c r="C39" s="234">
        <v>136</v>
      </c>
      <c r="D39" s="274" t="s">
        <v>240</v>
      </c>
      <c r="E39" s="235" t="s">
        <v>147</v>
      </c>
      <c r="F39" s="235" t="s">
        <v>148</v>
      </c>
      <c r="G39" s="235" t="s">
        <v>241</v>
      </c>
      <c r="H39" s="236" t="s">
        <v>242</v>
      </c>
      <c r="I39" s="1397" t="s">
        <v>22</v>
      </c>
      <c r="J39" s="1397" t="s">
        <v>22</v>
      </c>
      <c r="K39" s="237">
        <v>0.4</v>
      </c>
      <c r="L39" s="238">
        <v>41095</v>
      </c>
      <c r="M39" s="1085">
        <v>42444</v>
      </c>
      <c r="N39" s="314">
        <v>2016</v>
      </c>
      <c r="O39" s="315">
        <v>689554</v>
      </c>
      <c r="P39" s="1078">
        <v>10561944521</v>
      </c>
      <c r="Q39" s="242" t="s">
        <v>229</v>
      </c>
      <c r="R39" s="233" t="s">
        <v>140</v>
      </c>
      <c r="S39" s="243" t="s">
        <v>140</v>
      </c>
      <c r="T39" s="244">
        <v>1</v>
      </c>
      <c r="U39" s="240">
        <v>10561944521</v>
      </c>
      <c r="V39" s="245">
        <v>15317.06656911569</v>
      </c>
      <c r="W39" s="245">
        <v>6126.8266276462764</v>
      </c>
      <c r="X39" s="1505" t="str">
        <f>IF(W39="","",IF(SUM(W39:W42)&gt;=[1]PARAMETROS!$G$5,"CUMPLE","NO CUMPLE"))</f>
        <v>CUMPLE</v>
      </c>
      <c r="Y39" s="1505" t="str">
        <f>IF(W39="","",IF((SUM(W39:W42))&gt;=[1]PARAMETROS!$I$5,"CUMPLE","NO CUMPLE"))</f>
        <v>CUMPLE</v>
      </c>
      <c r="Z39" s="1400" t="str">
        <f>+IF(W39="","",IF(W39&gt;=PARAMETROS!$K$5,"CUMPLE","NO CUMPLE"))</f>
        <v>CUMPLE</v>
      </c>
      <c r="AA39" s="245"/>
      <c r="AB39" s="1513" t="s">
        <v>140</v>
      </c>
      <c r="AC39" s="1513"/>
      <c r="AD39" s="1513"/>
      <c r="AE39" s="1513" t="s">
        <v>140</v>
      </c>
      <c r="AF39" s="1513"/>
      <c r="AG39" s="1513"/>
      <c r="AH39" s="1513" t="s">
        <v>140</v>
      </c>
      <c r="AI39" s="1513"/>
      <c r="AJ39" s="1513"/>
      <c r="AK39" s="1397" t="s">
        <v>129</v>
      </c>
      <c r="AL39" s="1487" t="s">
        <v>21</v>
      </c>
      <c r="AM39" s="1103"/>
      <c r="AN39" s="67"/>
    </row>
    <row r="40" spans="1:40" s="33" customFormat="1" ht="72" customHeight="1" thickBot="1">
      <c r="A40" s="1510"/>
      <c r="B40" s="687" t="s">
        <v>239</v>
      </c>
      <c r="C40" s="910">
        <v>136</v>
      </c>
      <c r="D40" s="489" t="s">
        <v>240</v>
      </c>
      <c r="E40" s="716" t="s">
        <v>147</v>
      </c>
      <c r="F40" s="716" t="s">
        <v>148</v>
      </c>
      <c r="G40" s="716" t="s">
        <v>243</v>
      </c>
      <c r="H40" s="1074" t="s">
        <v>244</v>
      </c>
      <c r="I40" s="1398" t="s">
        <v>22</v>
      </c>
      <c r="J40" s="1398" t="s">
        <v>22</v>
      </c>
      <c r="K40" s="484">
        <v>0.2</v>
      </c>
      <c r="L40" s="222">
        <v>41114</v>
      </c>
      <c r="M40" s="1121">
        <v>42399</v>
      </c>
      <c r="N40" s="223">
        <v>2016</v>
      </c>
      <c r="O40" s="470">
        <v>3287.31</v>
      </c>
      <c r="P40" s="1123">
        <v>11677241451</v>
      </c>
      <c r="Q40" s="1080" t="s">
        <v>229</v>
      </c>
      <c r="R40" s="687" t="s">
        <v>140</v>
      </c>
      <c r="S40" s="1081" t="s">
        <v>140</v>
      </c>
      <c r="T40" s="1082">
        <v>1</v>
      </c>
      <c r="U40" s="470">
        <v>11677241451</v>
      </c>
      <c r="V40" s="471">
        <v>3552217.9079551366</v>
      </c>
      <c r="W40" s="471">
        <v>710443.58159102732</v>
      </c>
      <c r="X40" s="1506"/>
      <c r="Y40" s="1506"/>
      <c r="Z40" s="686" t="s">
        <v>245</v>
      </c>
      <c r="AA40" s="471"/>
      <c r="AB40" s="1514" t="s">
        <v>140</v>
      </c>
      <c r="AC40" s="1514"/>
      <c r="AD40" s="1514"/>
      <c r="AE40" s="1514" t="s">
        <v>140</v>
      </c>
      <c r="AF40" s="1514"/>
      <c r="AG40" s="1514"/>
      <c r="AH40" s="1514" t="s">
        <v>140</v>
      </c>
      <c r="AI40" s="1514"/>
      <c r="AJ40" s="1514"/>
      <c r="AK40" s="1398" t="s">
        <v>129</v>
      </c>
      <c r="AL40" s="1488"/>
      <c r="AM40" s="1103"/>
      <c r="AN40" s="67"/>
    </row>
    <row r="41" spans="1:40" s="33" customFormat="1" ht="65.25" customHeight="1">
      <c r="A41" s="1510"/>
      <c r="B41" s="687" t="s">
        <v>239</v>
      </c>
      <c r="C41" s="910">
        <v>136</v>
      </c>
      <c r="D41" s="489" t="s">
        <v>240</v>
      </c>
      <c r="E41" s="716" t="s">
        <v>147</v>
      </c>
      <c r="F41" s="716" t="s">
        <v>148</v>
      </c>
      <c r="G41" s="716" t="s">
        <v>246</v>
      </c>
      <c r="H41" s="1074" t="s">
        <v>247</v>
      </c>
      <c r="I41" s="1398" t="s">
        <v>22</v>
      </c>
      <c r="J41" s="1398" t="s">
        <v>22</v>
      </c>
      <c r="K41" s="484">
        <v>0.68</v>
      </c>
      <c r="L41" s="222">
        <v>41191</v>
      </c>
      <c r="M41" s="1086">
        <v>42437</v>
      </c>
      <c r="N41" s="223">
        <v>2016</v>
      </c>
      <c r="O41" s="470">
        <v>689554</v>
      </c>
      <c r="P41" s="1079">
        <v>3123725604</v>
      </c>
      <c r="Q41" s="1080" t="s">
        <v>229</v>
      </c>
      <c r="R41" s="687" t="s">
        <v>140</v>
      </c>
      <c r="S41" s="1081" t="s">
        <v>140</v>
      </c>
      <c r="T41" s="1082">
        <v>1</v>
      </c>
      <c r="U41" s="470">
        <v>3123725604</v>
      </c>
      <c r="V41" s="471">
        <v>4530.0666865829216</v>
      </c>
      <c r="W41" s="471">
        <v>3080.4453468763868</v>
      </c>
      <c r="X41" s="1506"/>
      <c r="Y41" s="1506"/>
      <c r="Z41" s="1388" t="str">
        <f>+IF(W41="","",IF(W41&gt;=PARAMETROS!$K$5,"CUMPLE","NO CUMPLE"))</f>
        <v>CUMPLE</v>
      </c>
      <c r="AA41" s="471"/>
      <c r="AB41" s="1514" t="s">
        <v>140</v>
      </c>
      <c r="AC41" s="1514"/>
      <c r="AD41" s="1514"/>
      <c r="AE41" s="1514" t="s">
        <v>140</v>
      </c>
      <c r="AF41" s="1514"/>
      <c r="AG41" s="1514"/>
      <c r="AH41" s="1514" t="s">
        <v>140</v>
      </c>
      <c r="AI41" s="1514"/>
      <c r="AJ41" s="1514"/>
      <c r="AK41" s="1398" t="s">
        <v>129</v>
      </c>
      <c r="AL41" s="1488"/>
      <c r="AM41" s="1103"/>
      <c r="AN41" s="67"/>
    </row>
    <row r="42" spans="1:40" s="33" customFormat="1" ht="60" customHeight="1">
      <c r="A42" s="1510"/>
      <c r="B42" s="687" t="s">
        <v>239</v>
      </c>
      <c r="C42" s="910" t="s">
        <v>248</v>
      </c>
      <c r="D42" s="489" t="s">
        <v>240</v>
      </c>
      <c r="E42" s="1076" t="s">
        <v>155</v>
      </c>
      <c r="F42" s="1076" t="s">
        <v>148</v>
      </c>
      <c r="G42" s="1076" t="s">
        <v>249</v>
      </c>
      <c r="H42" s="1077" t="s">
        <v>250</v>
      </c>
      <c r="I42" s="1398" t="s">
        <v>22</v>
      </c>
      <c r="J42" s="1398" t="s">
        <v>22</v>
      </c>
      <c r="K42" s="1087">
        <v>0.6</v>
      </c>
      <c r="L42" s="1088">
        <v>40079</v>
      </c>
      <c r="M42" s="1088">
        <v>42094</v>
      </c>
      <c r="N42" s="223">
        <v>2015</v>
      </c>
      <c r="O42" s="470">
        <v>644350</v>
      </c>
      <c r="P42" s="1089">
        <v>14008976863</v>
      </c>
      <c r="Q42" s="1090" t="s">
        <v>229</v>
      </c>
      <c r="R42" s="687" t="s">
        <v>140</v>
      </c>
      <c r="S42" s="1081" t="s">
        <v>140</v>
      </c>
      <c r="T42" s="1082">
        <v>1</v>
      </c>
      <c r="U42" s="470">
        <v>14008976863</v>
      </c>
      <c r="V42" s="471">
        <v>21741.253764258556</v>
      </c>
      <c r="W42" s="471">
        <v>13044.752258555132</v>
      </c>
      <c r="X42" s="1506"/>
      <c r="Y42" s="1506"/>
      <c r="Z42" s="1388" t="str">
        <f>+IF(W42="","",IF(W42&gt;=PARAMETROS!$K$5,"CUMPLE","NO CUMPLE"))</f>
        <v>CUMPLE</v>
      </c>
      <c r="AA42" s="471" t="s">
        <v>251</v>
      </c>
      <c r="AB42" s="1514" t="s">
        <v>22</v>
      </c>
      <c r="AC42" s="1514"/>
      <c r="AD42" s="1514"/>
      <c r="AE42" s="1514" t="s">
        <v>22</v>
      </c>
      <c r="AF42" s="1514"/>
      <c r="AG42" s="1514"/>
      <c r="AH42" s="1514" t="s">
        <v>22</v>
      </c>
      <c r="AI42" s="1514"/>
      <c r="AJ42" s="1514"/>
      <c r="AK42" s="1398" t="s">
        <v>22</v>
      </c>
      <c r="AL42" s="1488"/>
      <c r="AM42" s="690"/>
      <c r="AN42" s="67"/>
    </row>
    <row r="43" spans="1:40" s="33" customFormat="1" ht="6" customHeight="1">
      <c r="A43" s="1510"/>
      <c r="B43" s="687"/>
      <c r="C43" s="910"/>
      <c r="D43" s="489" t="s">
        <v>158</v>
      </c>
      <c r="E43" s="716"/>
      <c r="F43" s="716"/>
      <c r="G43" s="716"/>
      <c r="H43" s="1074"/>
      <c r="I43" s="1398"/>
      <c r="J43" s="1398"/>
      <c r="K43" s="484"/>
      <c r="L43" s="222"/>
      <c r="M43" s="222"/>
      <c r="N43" s="223" t="s">
        <v>158</v>
      </c>
      <c r="O43" s="470" t="s">
        <v>158</v>
      </c>
      <c r="P43" s="1079"/>
      <c r="Q43" s="1080"/>
      <c r="R43" s="687"/>
      <c r="S43" s="1081"/>
      <c r="T43" s="1082"/>
      <c r="U43" s="470" t="s">
        <v>158</v>
      </c>
      <c r="V43" s="471" t="s">
        <v>158</v>
      </c>
      <c r="W43" s="471" t="s">
        <v>158</v>
      </c>
      <c r="X43" s="1506"/>
      <c r="Y43" s="1506"/>
      <c r="Z43" s="1388" t="str">
        <f>+IF(W43="","",IF(W43&gt;=PARAMETROS!$K$5,"CUMPLE","NO CUMPLE"))</f>
        <v/>
      </c>
      <c r="AA43" s="471"/>
      <c r="AB43" s="1514"/>
      <c r="AC43" s="1514"/>
      <c r="AD43" s="1514"/>
      <c r="AE43" s="1514"/>
      <c r="AF43" s="1514"/>
      <c r="AG43" s="1514"/>
      <c r="AH43" s="1514"/>
      <c r="AI43" s="1514"/>
      <c r="AJ43" s="1514"/>
      <c r="AK43" s="1398"/>
      <c r="AL43" s="1488"/>
      <c r="AM43" s="499"/>
      <c r="AN43" s="67"/>
    </row>
    <row r="44" spans="1:40" s="33" customFormat="1" ht="6.75" customHeight="1" thickBot="1">
      <c r="A44" s="1511"/>
      <c r="B44" s="476"/>
      <c r="C44" s="1075"/>
      <c r="D44" s="493" t="s">
        <v>158</v>
      </c>
      <c r="E44" s="718"/>
      <c r="F44" s="718"/>
      <c r="G44" s="718"/>
      <c r="H44" s="719"/>
      <c r="I44" s="1399"/>
      <c r="J44" s="1399"/>
      <c r="K44" s="473"/>
      <c r="L44" s="720"/>
      <c r="M44" s="720"/>
      <c r="N44" s="1091" t="s">
        <v>158</v>
      </c>
      <c r="O44" s="1083" t="s">
        <v>158</v>
      </c>
      <c r="P44" s="1084"/>
      <c r="Q44" s="475"/>
      <c r="R44" s="476"/>
      <c r="S44" s="477"/>
      <c r="T44" s="478"/>
      <c r="U44" s="464" t="s">
        <v>158</v>
      </c>
      <c r="V44" s="465" t="s">
        <v>158</v>
      </c>
      <c r="W44" s="465" t="s">
        <v>158</v>
      </c>
      <c r="X44" s="1507"/>
      <c r="Y44" s="1507"/>
      <c r="Z44" s="1401" t="str">
        <f>+IF(W44="","",IF(W44&gt;=PARAMETROS!$K$5,"CUMPLE","NO CUMPLE"))</f>
        <v/>
      </c>
      <c r="AA44" s="465"/>
      <c r="AB44" s="1512"/>
      <c r="AC44" s="1512"/>
      <c r="AD44" s="1512"/>
      <c r="AE44" s="1512"/>
      <c r="AF44" s="1512"/>
      <c r="AG44" s="1512"/>
      <c r="AH44" s="1512"/>
      <c r="AI44" s="1512"/>
      <c r="AJ44" s="1512"/>
      <c r="AK44" s="1399"/>
      <c r="AL44" s="1489"/>
      <c r="AM44" s="1102"/>
      <c r="AN44" s="67"/>
    </row>
    <row r="45" spans="1:40" s="33" customFormat="1" ht="66.75" customHeight="1">
      <c r="A45" s="1509" t="s">
        <v>28</v>
      </c>
      <c r="B45" s="233" t="s">
        <v>252</v>
      </c>
      <c r="C45" s="234" t="s">
        <v>253</v>
      </c>
      <c r="D45" s="274" t="s">
        <v>254</v>
      </c>
      <c r="E45" s="235" t="s">
        <v>255</v>
      </c>
      <c r="F45" s="235" t="s">
        <v>148</v>
      </c>
      <c r="G45" s="235" t="s">
        <v>256</v>
      </c>
      <c r="H45" s="236" t="s">
        <v>257</v>
      </c>
      <c r="I45" s="1397" t="s">
        <v>22</v>
      </c>
      <c r="J45" s="1397" t="s">
        <v>22</v>
      </c>
      <c r="K45" s="1092">
        <v>1</v>
      </c>
      <c r="L45" s="238">
        <v>38929</v>
      </c>
      <c r="M45" s="238">
        <v>39553</v>
      </c>
      <c r="N45" s="239">
        <v>2008</v>
      </c>
      <c r="O45" s="315">
        <v>461500</v>
      </c>
      <c r="P45" s="1078">
        <v>3010928835</v>
      </c>
      <c r="Q45" s="242" t="s">
        <v>229</v>
      </c>
      <c r="R45" s="233" t="s">
        <v>140</v>
      </c>
      <c r="S45" s="243" t="s">
        <v>140</v>
      </c>
      <c r="T45" s="244">
        <v>1</v>
      </c>
      <c r="U45" s="470">
        <v>3010928835</v>
      </c>
      <c r="V45" s="245">
        <v>6524.2228277356444</v>
      </c>
      <c r="W45" s="245">
        <v>6524.2228277356444</v>
      </c>
      <c r="X45" s="1505" t="str">
        <f>IF(W45="","",IF(SUM(W45:W48)&gt;=[1]PARAMETROS!$G$5,"CUMPLE","NO CUMPLE"))</f>
        <v>CUMPLE</v>
      </c>
      <c r="Y45" s="1505" t="str">
        <f>IF(W45="","",IF(SUM(W45:W48)&gt;=[1]PARAMETROS!$I$5,"CUMPLE","NO CUMPLE"))</f>
        <v>CUMPLE</v>
      </c>
      <c r="Z45" s="1400" t="str">
        <f>+IF(W45="","",IF(W45&gt;=PARAMETROS!$K$5,"CUMPLE","NO CUMPLE"))</f>
        <v>CUMPLE</v>
      </c>
      <c r="AA45" s="245" t="s">
        <v>258</v>
      </c>
      <c r="AB45" s="1513" t="s">
        <v>22</v>
      </c>
      <c r="AC45" s="1513"/>
      <c r="AD45" s="1513"/>
      <c r="AE45" s="1513" t="s">
        <v>22</v>
      </c>
      <c r="AF45" s="1513"/>
      <c r="AG45" s="1513"/>
      <c r="AH45" s="1513" t="s">
        <v>22</v>
      </c>
      <c r="AI45" s="1513"/>
      <c r="AJ45" s="1513"/>
      <c r="AK45" s="1397" t="s">
        <v>22</v>
      </c>
      <c r="AL45" s="1487" t="s">
        <v>21</v>
      </c>
      <c r="AM45" s="429"/>
      <c r="AN45" s="67"/>
    </row>
    <row r="46" spans="1:40" s="33" customFormat="1" ht="141" customHeight="1">
      <c r="A46" s="1510"/>
      <c r="B46" s="687" t="s">
        <v>252</v>
      </c>
      <c r="C46" s="910" t="s">
        <v>259</v>
      </c>
      <c r="D46" s="489" t="s">
        <v>254</v>
      </c>
      <c r="E46" s="716" t="s">
        <v>147</v>
      </c>
      <c r="F46" s="716" t="s">
        <v>148</v>
      </c>
      <c r="G46" s="716" t="s">
        <v>260</v>
      </c>
      <c r="H46" s="1074" t="s">
        <v>261</v>
      </c>
      <c r="I46" s="1398" t="s">
        <v>22</v>
      </c>
      <c r="J46" s="1398" t="s">
        <v>22</v>
      </c>
      <c r="K46" s="1093">
        <v>0.83499999999999996</v>
      </c>
      <c r="L46" s="222">
        <v>38337</v>
      </c>
      <c r="M46" s="222">
        <v>41440</v>
      </c>
      <c r="N46" s="223">
        <v>2013</v>
      </c>
      <c r="O46" s="470">
        <v>589500</v>
      </c>
      <c r="P46" s="1079">
        <v>9865877743</v>
      </c>
      <c r="Q46" s="1080" t="s">
        <v>229</v>
      </c>
      <c r="R46" s="687" t="s">
        <v>140</v>
      </c>
      <c r="S46" s="1081" t="s">
        <v>140</v>
      </c>
      <c r="T46" s="1082">
        <v>1</v>
      </c>
      <c r="U46" s="470">
        <v>9865877743</v>
      </c>
      <c r="V46" s="471">
        <v>16736.009742154369</v>
      </c>
      <c r="W46" s="471">
        <v>13974.568134698897</v>
      </c>
      <c r="X46" s="1506"/>
      <c r="Y46" s="1506"/>
      <c r="Z46" s="1388" t="str">
        <f>+IF(W46="","",IF(W46&gt;=PARAMETROS!$K$5,"CUMPLE","NO CUMPLE"))</f>
        <v>CUMPLE</v>
      </c>
      <c r="AA46" s="471" t="s">
        <v>262</v>
      </c>
      <c r="AB46" s="1514" t="s">
        <v>22</v>
      </c>
      <c r="AC46" s="1514"/>
      <c r="AD46" s="1514"/>
      <c r="AE46" s="1514" t="s">
        <v>22</v>
      </c>
      <c r="AF46" s="1514"/>
      <c r="AG46" s="1514"/>
      <c r="AH46" s="1514" t="s">
        <v>22</v>
      </c>
      <c r="AI46" s="1514"/>
      <c r="AJ46" s="1514"/>
      <c r="AK46" s="1398" t="s">
        <v>22</v>
      </c>
      <c r="AL46" s="1488"/>
      <c r="AM46" s="499"/>
      <c r="AN46" s="67"/>
    </row>
    <row r="47" spans="1:40" s="33" customFormat="1" ht="78.75" customHeight="1">
      <c r="A47" s="1510"/>
      <c r="B47" s="687" t="s">
        <v>252</v>
      </c>
      <c r="C47" s="910">
        <v>175</v>
      </c>
      <c r="D47" s="489" t="s">
        <v>254</v>
      </c>
      <c r="E47" s="716" t="s">
        <v>263</v>
      </c>
      <c r="F47" s="716" t="s">
        <v>148</v>
      </c>
      <c r="G47" s="716" t="s">
        <v>264</v>
      </c>
      <c r="H47" s="1074" t="s">
        <v>265</v>
      </c>
      <c r="I47" s="1398" t="s">
        <v>22</v>
      </c>
      <c r="J47" s="1398" t="s">
        <v>22</v>
      </c>
      <c r="K47" s="1093">
        <v>0.5</v>
      </c>
      <c r="L47" s="222">
        <v>39694</v>
      </c>
      <c r="M47" s="222">
        <v>40283</v>
      </c>
      <c r="N47" s="223">
        <v>2010</v>
      </c>
      <c r="O47" s="470">
        <v>515000</v>
      </c>
      <c r="P47" s="1079">
        <v>3136622318</v>
      </c>
      <c r="Q47" s="1080" t="s">
        <v>229</v>
      </c>
      <c r="R47" s="687" t="s">
        <v>140</v>
      </c>
      <c r="S47" s="1081" t="s">
        <v>140</v>
      </c>
      <c r="T47" s="1082">
        <v>1</v>
      </c>
      <c r="U47" s="470">
        <v>3136622318</v>
      </c>
      <c r="V47" s="471">
        <v>6090.5287728155336</v>
      </c>
      <c r="W47" s="471">
        <v>3045.2643864077668</v>
      </c>
      <c r="X47" s="1506"/>
      <c r="Y47" s="1506"/>
      <c r="Z47" s="1388" t="str">
        <f>+IF(W47="","",IF(W47&gt;=PARAMETROS!$K$5,"CUMPLE","NO CUMPLE"))</f>
        <v>CUMPLE</v>
      </c>
      <c r="AA47" s="471" t="s">
        <v>266</v>
      </c>
      <c r="AB47" s="1514" t="s">
        <v>22</v>
      </c>
      <c r="AC47" s="1514"/>
      <c r="AD47" s="1514"/>
      <c r="AE47" s="1514" t="s">
        <v>22</v>
      </c>
      <c r="AF47" s="1514"/>
      <c r="AG47" s="1514"/>
      <c r="AH47" s="1514" t="s">
        <v>22</v>
      </c>
      <c r="AI47" s="1514"/>
      <c r="AJ47" s="1514"/>
      <c r="AK47" s="1398" t="s">
        <v>22</v>
      </c>
      <c r="AL47" s="1488"/>
      <c r="AM47" s="499"/>
      <c r="AN47" s="67"/>
    </row>
    <row r="48" spans="1:40" s="33" customFormat="1" ht="92.25" customHeight="1">
      <c r="A48" s="1510"/>
      <c r="B48" s="687" t="s">
        <v>252</v>
      </c>
      <c r="C48" s="910">
        <v>181</v>
      </c>
      <c r="D48" s="489" t="s">
        <v>254</v>
      </c>
      <c r="E48" s="716" t="s">
        <v>207</v>
      </c>
      <c r="F48" s="716" t="s">
        <v>148</v>
      </c>
      <c r="G48" s="716" t="s">
        <v>267</v>
      </c>
      <c r="H48" s="1074" t="s">
        <v>268</v>
      </c>
      <c r="I48" s="1398" t="s">
        <v>22</v>
      </c>
      <c r="J48" s="1398" t="s">
        <v>22</v>
      </c>
      <c r="K48" s="1093">
        <v>1</v>
      </c>
      <c r="L48" s="222">
        <v>39148</v>
      </c>
      <c r="M48" s="222">
        <v>40072</v>
      </c>
      <c r="N48" s="223">
        <v>2009</v>
      </c>
      <c r="O48" s="470">
        <v>496900</v>
      </c>
      <c r="P48" s="1079">
        <v>2592326368</v>
      </c>
      <c r="Q48" s="1080" t="s">
        <v>229</v>
      </c>
      <c r="R48" s="687" t="s">
        <v>140</v>
      </c>
      <c r="S48" s="1081" t="s">
        <v>140</v>
      </c>
      <c r="T48" s="1082">
        <v>1</v>
      </c>
      <c r="U48" s="470">
        <v>2592326368</v>
      </c>
      <c r="V48" s="471">
        <v>5216.9981243711009</v>
      </c>
      <c r="W48" s="471">
        <v>5216.9981243711009</v>
      </c>
      <c r="X48" s="1506"/>
      <c r="Y48" s="1506"/>
      <c r="Z48" s="1388" t="str">
        <f>+IF(W48="","",IF(W48&gt;=PARAMETROS!$K$5,"CUMPLE","NO CUMPLE"))</f>
        <v>CUMPLE</v>
      </c>
      <c r="AA48" s="471" t="s">
        <v>269</v>
      </c>
      <c r="AB48" s="1514" t="s">
        <v>22</v>
      </c>
      <c r="AC48" s="1514"/>
      <c r="AD48" s="1514"/>
      <c r="AE48" s="1514" t="s">
        <v>22</v>
      </c>
      <c r="AF48" s="1514"/>
      <c r="AG48" s="1514"/>
      <c r="AH48" s="1514" t="s">
        <v>22</v>
      </c>
      <c r="AI48" s="1514"/>
      <c r="AJ48" s="1514"/>
      <c r="AK48" s="1398" t="s">
        <v>22</v>
      </c>
      <c r="AL48" s="1488"/>
      <c r="AM48" s="499"/>
      <c r="AN48" s="67"/>
    </row>
    <row r="49" spans="1:40" s="33" customFormat="1" ht="6" customHeight="1">
      <c r="A49" s="1510"/>
      <c r="B49" s="687"/>
      <c r="C49" s="910"/>
      <c r="D49" s="489" t="s">
        <v>158</v>
      </c>
      <c r="E49" s="716"/>
      <c r="F49" s="716"/>
      <c r="G49" s="716"/>
      <c r="H49" s="716"/>
      <c r="I49" s="1398"/>
      <c r="J49" s="1398"/>
      <c r="K49" s="1094"/>
      <c r="L49" s="222"/>
      <c r="M49" s="222"/>
      <c r="N49" s="223" t="s">
        <v>158</v>
      </c>
      <c r="O49" s="470" t="s">
        <v>158</v>
      </c>
      <c r="P49" s="1095"/>
      <c r="Q49" s="470"/>
      <c r="R49" s="687"/>
      <c r="S49" s="1081"/>
      <c r="T49" s="1082"/>
      <c r="U49" s="470" t="s">
        <v>158</v>
      </c>
      <c r="V49" s="471" t="s">
        <v>158</v>
      </c>
      <c r="W49" s="471" t="s">
        <v>158</v>
      </c>
      <c r="X49" s="1506"/>
      <c r="Y49" s="1506"/>
      <c r="Z49" s="1388" t="str">
        <f>+IF(W49="","",IF(W49&gt;=PARAMETROS!$K$5,"CUMPLE","NO CUMPLE"))</f>
        <v/>
      </c>
      <c r="AA49" s="471"/>
      <c r="AB49" s="1514"/>
      <c r="AC49" s="1514"/>
      <c r="AD49" s="1514"/>
      <c r="AE49" s="1514"/>
      <c r="AF49" s="1514"/>
      <c r="AG49" s="1514"/>
      <c r="AH49" s="1514"/>
      <c r="AI49" s="1514"/>
      <c r="AJ49" s="1514"/>
      <c r="AK49" s="1398"/>
      <c r="AL49" s="1488"/>
      <c r="AM49" s="499"/>
      <c r="AN49" s="67"/>
    </row>
    <row r="50" spans="1:40" s="33" customFormat="1" ht="8.25" customHeight="1" thickBot="1">
      <c r="A50" s="1511"/>
      <c r="B50" s="476"/>
      <c r="C50" s="1075"/>
      <c r="D50" s="493" t="s">
        <v>158</v>
      </c>
      <c r="E50" s="718"/>
      <c r="F50" s="718"/>
      <c r="G50" s="718"/>
      <c r="H50" s="718"/>
      <c r="I50" s="1399"/>
      <c r="J50" s="1399"/>
      <c r="K50" s="1096"/>
      <c r="L50" s="720"/>
      <c r="M50" s="720"/>
      <c r="N50" s="721" t="s">
        <v>158</v>
      </c>
      <c r="O50" s="1083" t="s">
        <v>158</v>
      </c>
      <c r="P50" s="1097"/>
      <c r="Q50" s="464"/>
      <c r="R50" s="476"/>
      <c r="S50" s="477"/>
      <c r="T50" s="478"/>
      <c r="U50" s="464" t="s">
        <v>158</v>
      </c>
      <c r="V50" s="465" t="s">
        <v>158</v>
      </c>
      <c r="W50" s="465" t="s">
        <v>158</v>
      </c>
      <c r="X50" s="1507"/>
      <c r="Y50" s="1507"/>
      <c r="Z50" s="1401" t="str">
        <f>+IF(W50="","",IF(W50&gt;=PARAMETROS!$K$5,"CUMPLE","NO CUMPLE"))</f>
        <v/>
      </c>
      <c r="AA50" s="465"/>
      <c r="AB50" s="1512"/>
      <c r="AC50" s="1512"/>
      <c r="AD50" s="1512"/>
      <c r="AE50" s="1512"/>
      <c r="AF50" s="1512"/>
      <c r="AG50" s="1512"/>
      <c r="AH50" s="1512"/>
      <c r="AI50" s="1512"/>
      <c r="AJ50" s="1512"/>
      <c r="AK50" s="1399"/>
      <c r="AL50" s="1489"/>
      <c r="AM50" s="1102"/>
      <c r="AN50" s="67"/>
    </row>
    <row r="51" spans="1:40" s="33" customFormat="1" ht="57" customHeight="1">
      <c r="A51" s="1509" t="s">
        <v>29</v>
      </c>
      <c r="B51" s="233" t="s">
        <v>270</v>
      </c>
      <c r="C51" s="234" t="s">
        <v>271</v>
      </c>
      <c r="D51" s="274" t="s">
        <v>272</v>
      </c>
      <c r="E51" s="235" t="s">
        <v>214</v>
      </c>
      <c r="F51" s="235" t="s">
        <v>139</v>
      </c>
      <c r="G51" s="235"/>
      <c r="H51" s="235" t="s">
        <v>273</v>
      </c>
      <c r="I51" s="1397" t="s">
        <v>22</v>
      </c>
      <c r="J51" s="1397" t="s">
        <v>22</v>
      </c>
      <c r="K51" s="1098">
        <v>1</v>
      </c>
      <c r="L51" s="238">
        <v>37506</v>
      </c>
      <c r="M51" s="238">
        <v>39940</v>
      </c>
      <c r="N51" s="239">
        <v>2009</v>
      </c>
      <c r="O51" s="315">
        <v>496900</v>
      </c>
      <c r="P51" s="1099">
        <v>5442870.4400000004</v>
      </c>
      <c r="Q51" s="240" t="s">
        <v>222</v>
      </c>
      <c r="R51" s="233">
        <v>1.33033</v>
      </c>
      <c r="S51" s="243">
        <v>7240813.8324452005</v>
      </c>
      <c r="T51" s="244">
        <v>2233.5</v>
      </c>
      <c r="U51" s="240">
        <v>16172357694.766356</v>
      </c>
      <c r="V51" s="245">
        <v>32546.503712550526</v>
      </c>
      <c r="W51" s="245">
        <v>32546.503712550526</v>
      </c>
      <c r="X51" s="1505" t="str">
        <f>IF(W51="","",IF(SUM(W51:W54)&gt;=[1]PARAMETROS!$G$5,"CUMPLE","NO CUMPLE"))</f>
        <v>CUMPLE</v>
      </c>
      <c r="Y51" s="1505" t="str">
        <f>IF(W51="","",IF(SUM(W51:W52)&gt;=[1]PARAMETROS!$I$5,"CUMPLE","NO CUMPLE"))</f>
        <v>CUMPLE</v>
      </c>
      <c r="Z51" s="1400" t="str">
        <f>+IF(W51="","",IF(W51&gt;=PARAMETROS!$K$5,"CUMPLE","NO CUMPLE"))</f>
        <v>CUMPLE</v>
      </c>
      <c r="AA51" s="245" t="s">
        <v>274</v>
      </c>
      <c r="AB51" s="1513" t="s">
        <v>22</v>
      </c>
      <c r="AC51" s="1513"/>
      <c r="AD51" s="1513"/>
      <c r="AE51" s="1513" t="s">
        <v>129</v>
      </c>
      <c r="AF51" s="1513"/>
      <c r="AG51" s="1513"/>
      <c r="AH51" s="1513" t="s">
        <v>22</v>
      </c>
      <c r="AI51" s="1513"/>
      <c r="AJ51" s="1513"/>
      <c r="AK51" s="1397" t="s">
        <v>22</v>
      </c>
      <c r="AL51" s="1487" t="s">
        <v>21</v>
      </c>
      <c r="AM51" s="429"/>
      <c r="AN51" s="67"/>
    </row>
    <row r="52" spans="1:40" s="33" customFormat="1" ht="59.25" customHeight="1">
      <c r="A52" s="1510"/>
      <c r="B52" s="687" t="s">
        <v>270</v>
      </c>
      <c r="C52" s="910" t="s">
        <v>275</v>
      </c>
      <c r="D52" s="489" t="s">
        <v>272</v>
      </c>
      <c r="E52" s="716" t="s">
        <v>182</v>
      </c>
      <c r="F52" s="716" t="s">
        <v>139</v>
      </c>
      <c r="G52" s="716"/>
      <c r="H52" s="716" t="s">
        <v>276</v>
      </c>
      <c r="I52" s="1398" t="s">
        <v>22</v>
      </c>
      <c r="J52" s="1398" t="s">
        <v>22</v>
      </c>
      <c r="K52" s="1094">
        <v>0.86</v>
      </c>
      <c r="L52" s="222">
        <v>38018</v>
      </c>
      <c r="M52" s="222">
        <v>39721</v>
      </c>
      <c r="N52" s="223">
        <v>2008</v>
      </c>
      <c r="O52" s="470">
        <v>461500</v>
      </c>
      <c r="P52" s="1095">
        <v>3755019.48</v>
      </c>
      <c r="Q52" s="470" t="s">
        <v>222</v>
      </c>
      <c r="R52" s="687">
        <v>1.4445300000000001</v>
      </c>
      <c r="S52" s="1081">
        <v>5424238.2894444</v>
      </c>
      <c r="T52" s="1082">
        <v>2174.62</v>
      </c>
      <c r="U52" s="470">
        <v>11795657068.991581</v>
      </c>
      <c r="V52" s="471">
        <v>25559.386931726069</v>
      </c>
      <c r="W52" s="471">
        <v>21981.07276128442</v>
      </c>
      <c r="X52" s="1506"/>
      <c r="Y52" s="1506"/>
      <c r="Z52" s="1388" t="str">
        <f>+IF(W52="","",IF(W52&gt;=PARAMETROS!$K$5,"CUMPLE","NO CUMPLE"))</f>
        <v>CUMPLE</v>
      </c>
      <c r="AA52" s="471" t="s">
        <v>277</v>
      </c>
      <c r="AB52" s="1514" t="s">
        <v>129</v>
      </c>
      <c r="AC52" s="1514"/>
      <c r="AD52" s="1514"/>
      <c r="AE52" s="1514" t="s">
        <v>129</v>
      </c>
      <c r="AF52" s="1514"/>
      <c r="AG52" s="1514"/>
      <c r="AH52" s="1514" t="s">
        <v>22</v>
      </c>
      <c r="AI52" s="1514"/>
      <c r="AJ52" s="1514"/>
      <c r="AK52" s="1398" t="s">
        <v>22</v>
      </c>
      <c r="AL52" s="1488"/>
      <c r="AM52" s="499"/>
      <c r="AN52" s="67"/>
    </row>
    <row r="53" spans="1:40" s="33" customFormat="1" ht="93.75" customHeight="1">
      <c r="A53" s="1510"/>
      <c r="B53" s="687" t="s">
        <v>278</v>
      </c>
      <c r="C53" s="910" t="s">
        <v>279</v>
      </c>
      <c r="D53" s="489" t="s">
        <v>280</v>
      </c>
      <c r="E53" s="716" t="s">
        <v>281</v>
      </c>
      <c r="F53" s="716" t="s">
        <v>148</v>
      </c>
      <c r="G53" s="716" t="s">
        <v>282</v>
      </c>
      <c r="H53" s="716" t="s">
        <v>283</v>
      </c>
      <c r="I53" s="1398" t="s">
        <v>22</v>
      </c>
      <c r="J53" s="1398" t="s">
        <v>22</v>
      </c>
      <c r="K53" s="1094">
        <v>0.75</v>
      </c>
      <c r="L53" s="222">
        <v>38374</v>
      </c>
      <c r="M53" s="222">
        <v>39512</v>
      </c>
      <c r="N53" s="223">
        <v>2008</v>
      </c>
      <c r="O53" s="470">
        <v>461500</v>
      </c>
      <c r="P53" s="1095">
        <v>4505935152</v>
      </c>
      <c r="Q53" s="470" t="s">
        <v>229</v>
      </c>
      <c r="R53" s="687" t="s">
        <v>140</v>
      </c>
      <c r="S53" s="1081" t="s">
        <v>140</v>
      </c>
      <c r="T53" s="1082">
        <v>1</v>
      </c>
      <c r="U53" s="470">
        <v>4505935152</v>
      </c>
      <c r="V53" s="471">
        <v>9763.6731354279527</v>
      </c>
      <c r="W53" s="471">
        <v>7322.7548515709641</v>
      </c>
      <c r="X53" s="1506"/>
      <c r="Y53" s="1506"/>
      <c r="Z53" s="1388" t="str">
        <f>+IF(W53="","",IF(W53&gt;=PARAMETROS!$K$5,"CUMPLE","NO CUMPLE"))</f>
        <v>CUMPLE</v>
      </c>
      <c r="AA53" s="471" t="s">
        <v>284</v>
      </c>
      <c r="AB53" s="1514" t="s">
        <v>22</v>
      </c>
      <c r="AC53" s="1514"/>
      <c r="AD53" s="1514"/>
      <c r="AE53" s="1514" t="s">
        <v>22</v>
      </c>
      <c r="AF53" s="1514"/>
      <c r="AG53" s="1514"/>
      <c r="AH53" s="1514" t="s">
        <v>22</v>
      </c>
      <c r="AI53" s="1514"/>
      <c r="AJ53" s="1514"/>
      <c r="AK53" s="1398" t="s">
        <v>22</v>
      </c>
      <c r="AL53" s="1488"/>
      <c r="AM53" s="499"/>
      <c r="AN53" s="67"/>
    </row>
    <row r="54" spans="1:40" s="33" customFormat="1" ht="81" customHeight="1">
      <c r="A54" s="1510"/>
      <c r="B54" s="687" t="s">
        <v>278</v>
      </c>
      <c r="C54" s="910" t="s">
        <v>285</v>
      </c>
      <c r="D54" s="489" t="s">
        <v>280</v>
      </c>
      <c r="E54" s="716" t="s">
        <v>207</v>
      </c>
      <c r="F54" s="716" t="s">
        <v>148</v>
      </c>
      <c r="G54" s="716" t="s">
        <v>286</v>
      </c>
      <c r="H54" s="716" t="s">
        <v>287</v>
      </c>
      <c r="I54" s="1398" t="s">
        <v>22</v>
      </c>
      <c r="J54" s="1398" t="s">
        <v>22</v>
      </c>
      <c r="K54" s="1094">
        <v>0.5</v>
      </c>
      <c r="L54" s="222">
        <v>38034</v>
      </c>
      <c r="M54" s="222">
        <v>40770</v>
      </c>
      <c r="N54" s="223">
        <v>2011</v>
      </c>
      <c r="O54" s="470">
        <v>535600</v>
      </c>
      <c r="P54" s="1095">
        <v>9131630030</v>
      </c>
      <c r="Q54" s="470" t="s">
        <v>229</v>
      </c>
      <c r="R54" s="687" t="s">
        <v>140</v>
      </c>
      <c r="S54" s="1081" t="s">
        <v>140</v>
      </c>
      <c r="T54" s="1082">
        <v>1</v>
      </c>
      <c r="U54" s="470">
        <v>9131630030</v>
      </c>
      <c r="V54" s="471">
        <v>17049.346583271097</v>
      </c>
      <c r="W54" s="471">
        <v>8524.6732916355486</v>
      </c>
      <c r="X54" s="1506"/>
      <c r="Y54" s="1506"/>
      <c r="Z54" s="1388" t="str">
        <f>+IF(W54="","",IF(W54&gt;=PARAMETROS!$K$5,"CUMPLE","NO CUMPLE"))</f>
        <v>CUMPLE</v>
      </c>
      <c r="AA54" s="471" t="s">
        <v>288</v>
      </c>
      <c r="AB54" s="1514" t="s">
        <v>22</v>
      </c>
      <c r="AC54" s="1514"/>
      <c r="AD54" s="1514"/>
      <c r="AE54" s="1514" t="s">
        <v>22</v>
      </c>
      <c r="AF54" s="1514"/>
      <c r="AG54" s="1514"/>
      <c r="AH54" s="1514" t="s">
        <v>22</v>
      </c>
      <c r="AI54" s="1514"/>
      <c r="AJ54" s="1514"/>
      <c r="AK54" s="1398" t="s">
        <v>22</v>
      </c>
      <c r="AL54" s="1488"/>
      <c r="AM54" s="499"/>
      <c r="AN54" s="67"/>
    </row>
    <row r="55" spans="1:40" s="33" customFormat="1" ht="9" customHeight="1">
      <c r="A55" s="1510"/>
      <c r="B55" s="687"/>
      <c r="C55" s="910"/>
      <c r="D55" s="489" t="s">
        <v>158</v>
      </c>
      <c r="E55" s="716"/>
      <c r="F55" s="716"/>
      <c r="G55" s="716"/>
      <c r="H55" s="716"/>
      <c r="I55" s="1398"/>
      <c r="J55" s="1398"/>
      <c r="K55" s="1094"/>
      <c r="L55" s="222"/>
      <c r="M55" s="222"/>
      <c r="N55" s="223" t="s">
        <v>158</v>
      </c>
      <c r="O55" s="470" t="s">
        <v>158</v>
      </c>
      <c r="P55" s="1095"/>
      <c r="Q55" s="470"/>
      <c r="R55" s="687"/>
      <c r="S55" s="1081"/>
      <c r="T55" s="1082"/>
      <c r="U55" s="470" t="s">
        <v>158</v>
      </c>
      <c r="V55" s="471" t="s">
        <v>158</v>
      </c>
      <c r="W55" s="471" t="s">
        <v>158</v>
      </c>
      <c r="X55" s="1506"/>
      <c r="Y55" s="1506"/>
      <c r="Z55" s="1388" t="str">
        <f>+IF(W55="","",IF(W55&gt;=PARAMETROS!$K$5,"CUMPLE","NO CUMPLE"))</f>
        <v/>
      </c>
      <c r="AA55" s="471"/>
      <c r="AB55" s="1514"/>
      <c r="AC55" s="1514"/>
      <c r="AD55" s="1514"/>
      <c r="AE55" s="1514"/>
      <c r="AF55" s="1514"/>
      <c r="AG55" s="1514"/>
      <c r="AH55" s="1514"/>
      <c r="AI55" s="1514"/>
      <c r="AJ55" s="1514"/>
      <c r="AK55" s="1398"/>
      <c r="AL55" s="1488"/>
      <c r="AM55" s="499"/>
      <c r="AN55" s="67"/>
    </row>
    <row r="56" spans="1:40" s="33" customFormat="1" ht="8.25" customHeight="1" thickBot="1">
      <c r="A56" s="1511"/>
      <c r="B56" s="476"/>
      <c r="C56" s="1075"/>
      <c r="D56" s="493" t="s">
        <v>158</v>
      </c>
      <c r="E56" s="718"/>
      <c r="F56" s="718"/>
      <c r="G56" s="718"/>
      <c r="H56" s="718"/>
      <c r="I56" s="1399"/>
      <c r="J56" s="1399"/>
      <c r="K56" s="1096"/>
      <c r="L56" s="720"/>
      <c r="M56" s="720"/>
      <c r="N56" s="721" t="s">
        <v>158</v>
      </c>
      <c r="O56" s="1083" t="s">
        <v>158</v>
      </c>
      <c r="P56" s="1097"/>
      <c r="Q56" s="464"/>
      <c r="R56" s="476"/>
      <c r="S56" s="477"/>
      <c r="T56" s="478"/>
      <c r="U56" s="464" t="s">
        <v>158</v>
      </c>
      <c r="V56" s="465" t="s">
        <v>158</v>
      </c>
      <c r="W56" s="465" t="s">
        <v>158</v>
      </c>
      <c r="X56" s="1507"/>
      <c r="Y56" s="1507"/>
      <c r="Z56" s="1401" t="str">
        <f>+IF(W56="","",IF(W56&gt;=PARAMETROS!$K$5,"CUMPLE","NO CUMPLE"))</f>
        <v/>
      </c>
      <c r="AA56" s="465"/>
      <c r="AB56" s="1512"/>
      <c r="AC56" s="1512"/>
      <c r="AD56" s="1512"/>
      <c r="AE56" s="1512"/>
      <c r="AF56" s="1512"/>
      <c r="AG56" s="1512"/>
      <c r="AH56" s="1512"/>
      <c r="AI56" s="1512"/>
      <c r="AJ56" s="1512"/>
      <c r="AK56" s="1399"/>
      <c r="AL56" s="1489"/>
      <c r="AM56" s="1102"/>
      <c r="AN56" s="67"/>
    </row>
    <row r="57" spans="1:40" s="33" customFormat="1" ht="57.75" customHeight="1">
      <c r="A57" s="1509" t="s">
        <v>30</v>
      </c>
      <c r="B57" s="233" t="s">
        <v>289</v>
      </c>
      <c r="C57" s="234" t="s">
        <v>290</v>
      </c>
      <c r="D57" s="274" t="s">
        <v>291</v>
      </c>
      <c r="E57" s="235" t="s">
        <v>292</v>
      </c>
      <c r="F57" s="235" t="s">
        <v>148</v>
      </c>
      <c r="G57" s="235" t="s">
        <v>293</v>
      </c>
      <c r="H57" s="235" t="s">
        <v>294</v>
      </c>
      <c r="I57" s="1397" t="s">
        <v>22</v>
      </c>
      <c r="J57" s="1397" t="s">
        <v>22</v>
      </c>
      <c r="K57" s="1098">
        <v>0.45</v>
      </c>
      <c r="L57" s="238">
        <v>34338</v>
      </c>
      <c r="M57" s="238">
        <v>36305</v>
      </c>
      <c r="N57" s="239">
        <v>1999</v>
      </c>
      <c r="O57" s="315">
        <v>236460</v>
      </c>
      <c r="P57" s="1099">
        <v>4491569047</v>
      </c>
      <c r="Q57" s="240" t="s">
        <v>229</v>
      </c>
      <c r="R57" s="233" t="s">
        <v>140</v>
      </c>
      <c r="S57" s="243" t="s">
        <v>140</v>
      </c>
      <c r="T57" s="244">
        <v>1</v>
      </c>
      <c r="U57" s="240">
        <v>4491569047</v>
      </c>
      <c r="V57" s="245">
        <v>18995.04798697454</v>
      </c>
      <c r="W57" s="245">
        <v>8547.7715941385432</v>
      </c>
      <c r="X57" s="1505" t="str">
        <f>IF(W57="","",IF(SUM(W57:W60)&gt;=[1]PARAMETROS!$G$5,"CUMPLE","NO CUMPLE"))</f>
        <v>CUMPLE</v>
      </c>
      <c r="Y57" s="1505" t="str">
        <f>IF(W57="","",IF(SUM(W57:W59)&gt;=[1]PARAMETROS!$I$5,"CUMPLE","NO CUMPLE"))</f>
        <v>CUMPLE</v>
      </c>
      <c r="Z57" s="1400" t="str">
        <f>+IF(W57="","",IF(W57&gt;=PARAMETROS!$K$5,"CUMPLE","NO CUMPLE"))</f>
        <v>CUMPLE</v>
      </c>
      <c r="AA57" s="245" t="s">
        <v>295</v>
      </c>
      <c r="AB57" s="1513" t="s">
        <v>129</v>
      </c>
      <c r="AC57" s="1513"/>
      <c r="AD57" s="1513"/>
      <c r="AE57" s="1513" t="s">
        <v>22</v>
      </c>
      <c r="AF57" s="1513"/>
      <c r="AG57" s="1513"/>
      <c r="AH57" s="1513" t="s">
        <v>22</v>
      </c>
      <c r="AI57" s="1513"/>
      <c r="AJ57" s="1513"/>
      <c r="AK57" s="1397" t="s">
        <v>22</v>
      </c>
      <c r="AL57" s="1487" t="s">
        <v>21</v>
      </c>
      <c r="AM57" s="429"/>
      <c r="AN57" s="67"/>
    </row>
    <row r="58" spans="1:40" s="33" customFormat="1" ht="45" customHeight="1">
      <c r="A58" s="1510"/>
      <c r="B58" s="687" t="s">
        <v>289</v>
      </c>
      <c r="C58" s="910" t="s">
        <v>296</v>
      </c>
      <c r="D58" s="489" t="s">
        <v>291</v>
      </c>
      <c r="E58" s="716" t="s">
        <v>297</v>
      </c>
      <c r="F58" s="716" t="s">
        <v>148</v>
      </c>
      <c r="G58" s="716" t="s">
        <v>298</v>
      </c>
      <c r="H58" s="716" t="s">
        <v>299</v>
      </c>
      <c r="I58" s="1398" t="s">
        <v>22</v>
      </c>
      <c r="J58" s="1398" t="s">
        <v>22</v>
      </c>
      <c r="K58" s="1094">
        <v>1</v>
      </c>
      <c r="L58" s="222">
        <v>39142</v>
      </c>
      <c r="M58" s="222">
        <v>40920</v>
      </c>
      <c r="N58" s="223">
        <v>2012</v>
      </c>
      <c r="O58" s="470">
        <v>566700</v>
      </c>
      <c r="P58" s="1095">
        <v>3161732843</v>
      </c>
      <c r="Q58" s="470" t="s">
        <v>229</v>
      </c>
      <c r="R58" s="687" t="s">
        <v>140</v>
      </c>
      <c r="S58" s="1081" t="s">
        <v>140</v>
      </c>
      <c r="T58" s="1082">
        <v>1</v>
      </c>
      <c r="U58" s="470">
        <v>3161732843</v>
      </c>
      <c r="V58" s="471">
        <v>5579.2003582142224</v>
      </c>
      <c r="W58" s="471">
        <v>5579.2003582142224</v>
      </c>
      <c r="X58" s="1506"/>
      <c r="Y58" s="1506"/>
      <c r="Z58" s="1388" t="str">
        <f>+IF(W58="","",IF(W58&gt;=PARAMETROS!$K$5,"CUMPLE","NO CUMPLE"))</f>
        <v>CUMPLE</v>
      </c>
      <c r="AA58" s="471" t="s">
        <v>300</v>
      </c>
      <c r="AB58" s="1514" t="s">
        <v>129</v>
      </c>
      <c r="AC58" s="1514"/>
      <c r="AD58" s="1514"/>
      <c r="AE58" s="1514" t="s">
        <v>22</v>
      </c>
      <c r="AF58" s="1514"/>
      <c r="AG58" s="1514"/>
      <c r="AH58" s="1514" t="s">
        <v>22</v>
      </c>
      <c r="AI58" s="1514"/>
      <c r="AJ58" s="1514"/>
      <c r="AK58" s="1398" t="s">
        <v>22</v>
      </c>
      <c r="AL58" s="1488"/>
      <c r="AM58" s="499"/>
      <c r="AN58" s="67"/>
    </row>
    <row r="59" spans="1:40" s="33" customFormat="1" ht="91.5" customHeight="1">
      <c r="A59" s="1510"/>
      <c r="B59" s="687" t="s">
        <v>289</v>
      </c>
      <c r="C59" s="910" t="s">
        <v>301</v>
      </c>
      <c r="D59" s="489" t="s">
        <v>291</v>
      </c>
      <c r="E59" s="716" t="s">
        <v>292</v>
      </c>
      <c r="F59" s="716" t="s">
        <v>148</v>
      </c>
      <c r="G59" s="716" t="s">
        <v>302</v>
      </c>
      <c r="H59" s="716" t="s">
        <v>303</v>
      </c>
      <c r="I59" s="1398" t="s">
        <v>22</v>
      </c>
      <c r="J59" s="1398" t="s">
        <v>22</v>
      </c>
      <c r="K59" s="1094">
        <v>0.5</v>
      </c>
      <c r="L59" s="222">
        <v>39125</v>
      </c>
      <c r="M59" s="1086">
        <v>42286</v>
      </c>
      <c r="N59" s="223">
        <v>2015</v>
      </c>
      <c r="O59" s="470">
        <v>644350</v>
      </c>
      <c r="P59" s="1095">
        <v>22786421753.5</v>
      </c>
      <c r="Q59" s="470" t="s">
        <v>229</v>
      </c>
      <c r="R59" s="687" t="s">
        <v>140</v>
      </c>
      <c r="S59" s="1081" t="s">
        <v>140</v>
      </c>
      <c r="T59" s="1082">
        <v>1</v>
      </c>
      <c r="U59" s="470">
        <v>22786421753.5</v>
      </c>
      <c r="V59" s="471">
        <v>35363.423222627454</v>
      </c>
      <c r="W59" s="471">
        <v>17681.711611313727</v>
      </c>
      <c r="X59" s="1506"/>
      <c r="Y59" s="1506"/>
      <c r="Z59" s="1388" t="str">
        <f>+IF(W59="","",IF(W59&gt;=PARAMETROS!$K$5,"CUMPLE","NO CUMPLE"))</f>
        <v>CUMPLE</v>
      </c>
      <c r="AA59" s="471" t="s">
        <v>304</v>
      </c>
      <c r="AB59" s="1514" t="s">
        <v>140</v>
      </c>
      <c r="AC59" s="1514"/>
      <c r="AD59" s="1514"/>
      <c r="AE59" s="1514" t="s">
        <v>140</v>
      </c>
      <c r="AF59" s="1514"/>
      <c r="AG59" s="1514"/>
      <c r="AH59" s="1514" t="s">
        <v>140</v>
      </c>
      <c r="AI59" s="1514"/>
      <c r="AJ59" s="1514"/>
      <c r="AK59" s="1398" t="s">
        <v>22</v>
      </c>
      <c r="AL59" s="1488"/>
      <c r="AM59" s="690"/>
      <c r="AN59" s="67"/>
    </row>
    <row r="60" spans="1:40" s="33" customFormat="1" ht="124.5" customHeight="1">
      <c r="A60" s="1510"/>
      <c r="B60" s="687" t="s">
        <v>305</v>
      </c>
      <c r="C60" s="910" t="s">
        <v>306</v>
      </c>
      <c r="D60" s="489" t="s">
        <v>307</v>
      </c>
      <c r="E60" s="716" t="s">
        <v>207</v>
      </c>
      <c r="F60" s="716" t="s">
        <v>148</v>
      </c>
      <c r="G60" s="716" t="s">
        <v>308</v>
      </c>
      <c r="H60" s="716" t="s">
        <v>309</v>
      </c>
      <c r="I60" s="1398" t="s">
        <v>22</v>
      </c>
      <c r="J60" s="1398" t="s">
        <v>22</v>
      </c>
      <c r="K60" s="1094">
        <v>0.65</v>
      </c>
      <c r="L60" s="222">
        <v>39615</v>
      </c>
      <c r="M60" s="222">
        <v>41152</v>
      </c>
      <c r="N60" s="223">
        <v>2012</v>
      </c>
      <c r="O60" s="470">
        <v>566700</v>
      </c>
      <c r="P60" s="1095">
        <v>19146251489</v>
      </c>
      <c r="Q60" s="470" t="s">
        <v>229</v>
      </c>
      <c r="R60" s="687" t="s">
        <v>140</v>
      </c>
      <c r="S60" s="1081" t="s">
        <v>140</v>
      </c>
      <c r="T60" s="1082">
        <v>1</v>
      </c>
      <c r="U60" s="470">
        <v>19146251489</v>
      </c>
      <c r="V60" s="471">
        <v>33785.515244397386</v>
      </c>
      <c r="W60" s="471">
        <v>21960.584908858302</v>
      </c>
      <c r="X60" s="1506"/>
      <c r="Y60" s="1506"/>
      <c r="Z60" s="1388" t="str">
        <f>+IF(W60="","",IF(W60&gt;=PARAMETROS!$K$5,"CUMPLE","NO CUMPLE"))</f>
        <v>CUMPLE</v>
      </c>
      <c r="AA60" s="471" t="s">
        <v>304</v>
      </c>
      <c r="AB60" s="1514" t="s">
        <v>140</v>
      </c>
      <c r="AC60" s="1514"/>
      <c r="AD60" s="1514"/>
      <c r="AE60" s="1514" t="s">
        <v>140</v>
      </c>
      <c r="AF60" s="1514"/>
      <c r="AG60" s="1514"/>
      <c r="AH60" s="1514" t="s">
        <v>140</v>
      </c>
      <c r="AI60" s="1514"/>
      <c r="AJ60" s="1514"/>
      <c r="AK60" s="1398" t="s">
        <v>22</v>
      </c>
      <c r="AL60" s="1488"/>
      <c r="AM60" s="1117"/>
      <c r="AN60" s="67"/>
    </row>
    <row r="61" spans="1:40" s="33" customFormat="1" ht="6" customHeight="1">
      <c r="A61" s="1510"/>
      <c r="B61" s="19"/>
      <c r="C61" s="782"/>
      <c r="D61" s="21" t="str">
        <f>+IFERROR(INDEX(DESEMPATE!$D$3:$D$83,MATCH('EXP GENERAL '!B61,DESEMPATE!$C$3:$C$83,0)),"")</f>
        <v/>
      </c>
      <c r="E61" s="22"/>
      <c r="F61" s="22"/>
      <c r="G61" s="22"/>
      <c r="H61" s="22"/>
      <c r="I61" s="1388"/>
      <c r="J61" s="1388"/>
      <c r="K61" s="34"/>
      <c r="L61" s="25"/>
      <c r="M61" s="25"/>
      <c r="N61" s="26" t="str">
        <f>IF(M61="","",YEAR(M61))</f>
        <v/>
      </c>
      <c r="O61" s="27" t="str">
        <f>+IFERROR(INDEX(PARAMETROS!$B$46:$B$72,MATCH(N61,PARAMETROS!$A$46:$A$72,0)),"")</f>
        <v/>
      </c>
      <c r="P61" s="35"/>
      <c r="Q61" s="470"/>
      <c r="R61" s="19"/>
      <c r="S61" s="30"/>
      <c r="T61" s="31"/>
      <c r="U61" s="27" t="str">
        <f>IF(T61&lt;&gt;"",P61*T61,"")</f>
        <v/>
      </c>
      <c r="V61" s="16" t="str">
        <f>+IFERROR(U61/O61,"")</f>
        <v/>
      </c>
      <c r="W61" s="16" t="str">
        <f>IFERROR(V61*K61,"")</f>
        <v/>
      </c>
      <c r="X61" s="1506"/>
      <c r="Y61" s="1506"/>
      <c r="Z61" s="1388" t="str">
        <f>+IF(W61="","",IF(W61&gt;=PARAMETROS!$K$5,"CUMPLE","NO CUMPLE"))</f>
        <v/>
      </c>
      <c r="AA61" s="16"/>
      <c r="AB61" s="1485"/>
      <c r="AC61" s="1485"/>
      <c r="AD61" s="1485"/>
      <c r="AE61" s="1485"/>
      <c r="AF61" s="1485"/>
      <c r="AG61" s="1485"/>
      <c r="AH61" s="1485"/>
      <c r="AI61" s="1485"/>
      <c r="AJ61" s="1485"/>
      <c r="AK61" s="1388"/>
      <c r="AL61" s="1488"/>
      <c r="AM61" s="97"/>
      <c r="AN61" s="67"/>
    </row>
    <row r="62" spans="1:40" s="33" customFormat="1" ht="6" customHeight="1" thickBot="1">
      <c r="A62" s="1511"/>
      <c r="B62" s="99"/>
      <c r="C62" s="784"/>
      <c r="D62" s="101" t="str">
        <f>+IFERROR(INDEX(DESEMPATE!$D$3:$D$83,MATCH('EXP GENERAL '!B62,DESEMPATE!$C$3:$C$83,0)),"")</f>
        <v/>
      </c>
      <c r="E62" s="102"/>
      <c r="F62" s="102"/>
      <c r="G62" s="102"/>
      <c r="H62" s="102"/>
      <c r="I62" s="1392"/>
      <c r="J62" s="1392"/>
      <c r="K62" s="119"/>
      <c r="L62" s="105"/>
      <c r="M62" s="105"/>
      <c r="N62" s="106" t="str">
        <f>IF(M62="","",YEAR(M62))</f>
        <v/>
      </c>
      <c r="O62" s="75" t="str">
        <f>+IFERROR(INDEX(PARAMETROS!$B$46:$B$72,MATCH(N62,PARAMETROS!$A$46:$A$72,0)),"")</f>
        <v/>
      </c>
      <c r="P62" s="120"/>
      <c r="Q62" s="464"/>
      <c r="R62" s="99"/>
      <c r="S62" s="110"/>
      <c r="T62" s="111"/>
      <c r="U62" s="107" t="str">
        <f>IF(T62&lt;&gt;"",P62*T62,"")</f>
        <v/>
      </c>
      <c r="V62" s="112" t="str">
        <f>+IFERROR(U62/O62,"")</f>
        <v/>
      </c>
      <c r="W62" s="112" t="str">
        <f>IFERROR(V62*K62,"")</f>
        <v/>
      </c>
      <c r="X62" s="1507"/>
      <c r="Y62" s="1507"/>
      <c r="Z62" s="1401" t="str">
        <f>+IF(W62="","",IF(W62&gt;=PARAMETROS!$K$5,"CUMPLE","NO CUMPLE"))</f>
        <v/>
      </c>
      <c r="AA62" s="112"/>
      <c r="AB62" s="1486"/>
      <c r="AC62" s="1486"/>
      <c r="AD62" s="1486"/>
      <c r="AE62" s="1486"/>
      <c r="AF62" s="1486"/>
      <c r="AG62" s="1486"/>
      <c r="AH62" s="1486"/>
      <c r="AI62" s="1486"/>
      <c r="AJ62" s="1486"/>
      <c r="AK62" s="1392"/>
      <c r="AL62" s="1489"/>
      <c r="AM62" s="113"/>
      <c r="AN62" s="67"/>
    </row>
    <row r="63" spans="1:40" s="33" customFormat="1" ht="87.75" customHeight="1">
      <c r="A63" s="1509" t="s">
        <v>31</v>
      </c>
      <c r="B63" s="308" t="s">
        <v>310</v>
      </c>
      <c r="C63" s="82">
        <v>110</v>
      </c>
      <c r="D63" s="83" t="str">
        <f>+IFERROR(INDEX(DESEMPATE!$D$3:$D$83,MATCH('EXP GENERAL '!B63,DESEMPATE!$C$3:$C$83,0)),"")</f>
        <v>TRN INGENIERIA Y PLANIFICACIÓN DE INFRAESTRUCTURAS S.A. SUCURSAL COLOMBIA</v>
      </c>
      <c r="E63" s="84" t="s">
        <v>214</v>
      </c>
      <c r="F63" s="84" t="s">
        <v>139</v>
      </c>
      <c r="G63" s="84" t="s">
        <v>311</v>
      </c>
      <c r="H63" s="85" t="s">
        <v>312</v>
      </c>
      <c r="I63" s="1393" t="s">
        <v>22</v>
      </c>
      <c r="J63" s="1393" t="s">
        <v>22</v>
      </c>
      <c r="K63" s="86">
        <v>0.5</v>
      </c>
      <c r="L63" s="87">
        <v>38673</v>
      </c>
      <c r="M63" s="87">
        <v>39762</v>
      </c>
      <c r="N63" s="88">
        <v>2008</v>
      </c>
      <c r="O63" s="298">
        <v>461500</v>
      </c>
      <c r="P63" s="893">
        <v>1217891.68</v>
      </c>
      <c r="Q63" s="242" t="s">
        <v>142</v>
      </c>
      <c r="R63" s="81">
        <v>1.27156</v>
      </c>
      <c r="S63" s="92">
        <v>1548622.3446207999</v>
      </c>
      <c r="T63" s="93">
        <v>2317.34</v>
      </c>
      <c r="U63" s="89">
        <v>3588684504.0835648</v>
      </c>
      <c r="V63" s="94">
        <v>7776.131103106316</v>
      </c>
      <c r="W63" s="94">
        <v>3888.065551553158</v>
      </c>
      <c r="X63" s="1505" t="str">
        <f>IF(W63="","",IF(SUM(W63:W65)&gt;=PARAMETROS!$G$5,"CUMPLE","NO CUMPLE"))</f>
        <v>CUMPLE</v>
      </c>
      <c r="Y63" s="1505" t="str">
        <f>IF(W63="","",IF(W63+W64&gt;=PARAMETROS!$I$5,"CUMPLE","NO CUMPLE"))</f>
        <v>CUMPLE</v>
      </c>
      <c r="Z63" s="1400" t="str">
        <f>+IF(W63="","",IF(W63&gt;=PARAMETROS!$K$5,"CUMPLE","NO CUMPLE"))</f>
        <v>CUMPLE</v>
      </c>
      <c r="AA63" s="95">
        <v>16</v>
      </c>
      <c r="AB63" s="1484" t="s">
        <v>22</v>
      </c>
      <c r="AC63" s="1484"/>
      <c r="AD63" s="1484"/>
      <c r="AE63" s="1484" t="s">
        <v>22</v>
      </c>
      <c r="AF63" s="1484"/>
      <c r="AG63" s="1484"/>
      <c r="AH63" s="1484" t="s">
        <v>22</v>
      </c>
      <c r="AI63" s="1484"/>
      <c r="AJ63" s="1484"/>
      <c r="AK63" s="1393" t="s">
        <v>22</v>
      </c>
      <c r="AL63" s="1487" t="s">
        <v>21</v>
      </c>
      <c r="AM63" s="96"/>
      <c r="AN63" s="67"/>
    </row>
    <row r="64" spans="1:40" s="33" customFormat="1" ht="66" customHeight="1">
      <c r="A64" s="1510"/>
      <c r="B64" s="19" t="s">
        <v>310</v>
      </c>
      <c r="C64" s="20">
        <v>115</v>
      </c>
      <c r="D64" s="21" t="str">
        <f>+IFERROR(INDEX(DESEMPATE!$D$3:$D$83,MATCH('EXP GENERAL '!B64,DESEMPATE!$C$3:$C$83,0)),"")</f>
        <v>TRN INGENIERIA Y PLANIFICACIÓN DE INFRAESTRUCTURAS S.A. SUCURSAL COLOMBIA</v>
      </c>
      <c r="E64" s="22" t="s">
        <v>214</v>
      </c>
      <c r="F64" s="22" t="s">
        <v>139</v>
      </c>
      <c r="G64" s="22" t="s">
        <v>311</v>
      </c>
      <c r="H64" s="22" t="s">
        <v>313</v>
      </c>
      <c r="I64" s="1388" t="s">
        <v>22</v>
      </c>
      <c r="J64" s="1388" t="s">
        <v>22</v>
      </c>
      <c r="K64" s="34">
        <v>0.5</v>
      </c>
      <c r="L64" s="25">
        <v>38674</v>
      </c>
      <c r="M64" s="25">
        <v>39769</v>
      </c>
      <c r="N64" s="26">
        <v>2008</v>
      </c>
      <c r="O64" s="27">
        <v>461500</v>
      </c>
      <c r="P64" s="894">
        <v>1251006.48</v>
      </c>
      <c r="Q64" s="1343" t="s">
        <v>142</v>
      </c>
      <c r="R64" s="68">
        <v>1.2597100000000001</v>
      </c>
      <c r="S64" s="889">
        <v>1575905.3729208</v>
      </c>
      <c r="T64" s="79">
        <v>2308.65</v>
      </c>
      <c r="U64" s="787">
        <v>3638213939.1936049</v>
      </c>
      <c r="V64" s="16">
        <v>7883.453822738039</v>
      </c>
      <c r="W64" s="16">
        <v>3941.7269113690195</v>
      </c>
      <c r="X64" s="1506"/>
      <c r="Y64" s="1506"/>
      <c r="Z64" s="1388" t="str">
        <f>+IF(W64="","",IF(W64&gt;=PARAMETROS!$K$5,"CUMPLE","NO CUMPLE"))</f>
        <v>CUMPLE</v>
      </c>
      <c r="AA64" s="32">
        <v>17</v>
      </c>
      <c r="AB64" s="1485" t="s">
        <v>22</v>
      </c>
      <c r="AC64" s="1485"/>
      <c r="AD64" s="1485"/>
      <c r="AE64" s="1485" t="s">
        <v>22</v>
      </c>
      <c r="AF64" s="1485"/>
      <c r="AG64" s="1485"/>
      <c r="AH64" s="1485" t="s">
        <v>22</v>
      </c>
      <c r="AI64" s="1485"/>
      <c r="AJ64" s="1485"/>
      <c r="AK64" s="1388" t="s">
        <v>22</v>
      </c>
      <c r="AL64" s="1488"/>
      <c r="AM64" s="97"/>
      <c r="AN64" s="67"/>
    </row>
    <row r="65" spans="1:40" s="33" customFormat="1" ht="50.25" customHeight="1">
      <c r="A65" s="1510"/>
      <c r="B65" s="68" t="s">
        <v>314</v>
      </c>
      <c r="C65" s="20">
        <v>123</v>
      </c>
      <c r="D65" s="21" t="str">
        <f>+IFERROR(INDEX(DESEMPATE!$D$3:$D$83,MATCH('EXP GENERAL '!B65,DESEMPATE!$C$3:$C$83,0)),"")</f>
        <v>EUROESTUDIOS INGENIEROS DE CONSULTA S.A.S</v>
      </c>
      <c r="E65" s="22" t="s">
        <v>147</v>
      </c>
      <c r="F65" s="22" t="s">
        <v>148</v>
      </c>
      <c r="G65" s="22" t="s">
        <v>315</v>
      </c>
      <c r="H65" s="23" t="s">
        <v>316</v>
      </c>
      <c r="I65" s="1388" t="s">
        <v>22</v>
      </c>
      <c r="J65" s="1388" t="s">
        <v>22</v>
      </c>
      <c r="K65" s="24">
        <v>0.75</v>
      </c>
      <c r="L65" s="25">
        <v>39521</v>
      </c>
      <c r="M65" s="25">
        <v>40999</v>
      </c>
      <c r="N65" s="26">
        <v>2012</v>
      </c>
      <c r="O65" s="27">
        <v>566700</v>
      </c>
      <c r="P65" s="895">
        <v>7072964150</v>
      </c>
      <c r="Q65" s="1080" t="s">
        <v>151</v>
      </c>
      <c r="R65" s="19" t="s">
        <v>140</v>
      </c>
      <c r="S65" s="30" t="s">
        <v>140</v>
      </c>
      <c r="T65" s="31">
        <v>1</v>
      </c>
      <c r="U65" s="27">
        <v>7072964150</v>
      </c>
      <c r="V65" s="16">
        <v>12480.967266631375</v>
      </c>
      <c r="W65" s="16">
        <v>9360.7254499735318</v>
      </c>
      <c r="X65" s="1506"/>
      <c r="Y65" s="1506"/>
      <c r="Z65" s="1388" t="str">
        <f>+IF(W65="","",IF(W65&gt;=PARAMETROS!$K$5,"CUMPLE","NO CUMPLE"))</f>
        <v>CUMPLE</v>
      </c>
      <c r="AA65" s="32">
        <v>31</v>
      </c>
      <c r="AB65" s="1485" t="s">
        <v>129</v>
      </c>
      <c r="AC65" s="1485"/>
      <c r="AD65" s="1485"/>
      <c r="AE65" s="1485" t="s">
        <v>22</v>
      </c>
      <c r="AF65" s="1485"/>
      <c r="AG65" s="1485"/>
      <c r="AH65" s="1485" t="s">
        <v>22</v>
      </c>
      <c r="AI65" s="1485"/>
      <c r="AJ65" s="1485"/>
      <c r="AK65" s="1388" t="s">
        <v>22</v>
      </c>
      <c r="AL65" s="1488"/>
      <c r="AM65" s="98"/>
      <c r="AN65" s="67"/>
    </row>
    <row r="66" spans="1:40" s="33" customFormat="1" ht="52.5" customHeight="1">
      <c r="A66" s="1510"/>
      <c r="B66" s="19" t="s">
        <v>314</v>
      </c>
      <c r="C66" s="20">
        <v>142</v>
      </c>
      <c r="D66" s="21" t="str">
        <f>+IFERROR(INDEX(DESEMPATE!$D$3:$D$83,MATCH('EXP GENERAL '!B66,DESEMPATE!$C$3:$C$83,0)),"")</f>
        <v>EUROESTUDIOS INGENIEROS DE CONSULTA S.A.S</v>
      </c>
      <c r="E66" s="22" t="s">
        <v>263</v>
      </c>
      <c r="F66" s="22" t="s">
        <v>148</v>
      </c>
      <c r="G66" s="22" t="s">
        <v>264</v>
      </c>
      <c r="H66" s="23" t="s">
        <v>317</v>
      </c>
      <c r="I66" s="1388" t="s">
        <v>22</v>
      </c>
      <c r="J66" s="1388" t="s">
        <v>22</v>
      </c>
      <c r="K66" s="24">
        <v>0.5</v>
      </c>
      <c r="L66" s="25">
        <v>39694</v>
      </c>
      <c r="M66" s="25">
        <v>40283</v>
      </c>
      <c r="N66" s="26">
        <v>2010</v>
      </c>
      <c r="O66" s="27">
        <v>515000</v>
      </c>
      <c r="P66" s="895">
        <v>3136622318</v>
      </c>
      <c r="Q66" s="1080" t="s">
        <v>151</v>
      </c>
      <c r="R66" s="19" t="s">
        <v>140</v>
      </c>
      <c r="S66" s="78" t="s">
        <v>140</v>
      </c>
      <c r="T66" s="79">
        <v>1</v>
      </c>
      <c r="U66" s="75">
        <v>3136622318</v>
      </c>
      <c r="V66" s="16">
        <v>6090.5287728155336</v>
      </c>
      <c r="W66" s="16">
        <v>3045.2643864077668</v>
      </c>
      <c r="X66" s="1506"/>
      <c r="Y66" s="1506"/>
      <c r="Z66" s="1388" t="str">
        <f>+IF(W66="","",IF(W66&gt;=PARAMETROS!$K$5,"CUMPLE","NO CUMPLE"))</f>
        <v>CUMPLE</v>
      </c>
      <c r="AA66" s="32">
        <v>33</v>
      </c>
      <c r="AB66" s="1496" t="s">
        <v>129</v>
      </c>
      <c r="AC66" s="1497"/>
      <c r="AD66" s="1498"/>
      <c r="AE66" s="1496" t="s">
        <v>22</v>
      </c>
      <c r="AF66" s="1497"/>
      <c r="AG66" s="1498"/>
      <c r="AH66" s="1496" t="s">
        <v>22</v>
      </c>
      <c r="AI66" s="1497"/>
      <c r="AJ66" s="1498"/>
      <c r="AK66" s="1388" t="s">
        <v>22</v>
      </c>
      <c r="AL66" s="1488"/>
      <c r="AM66" s="98"/>
      <c r="AN66" s="67"/>
    </row>
    <row r="67" spans="1:40" s="33" customFormat="1" ht="6.75" customHeight="1">
      <c r="A67" s="1510"/>
      <c r="B67" s="19"/>
      <c r="C67" s="20"/>
      <c r="D67" s="21" t="str">
        <f>+IFERROR(INDEX(DESEMPATE!$D$3:$D$83,MATCH('EXP GENERAL '!B67,DESEMPATE!$C$3:$C$83,0)),"")</f>
        <v/>
      </c>
      <c r="E67" s="22"/>
      <c r="F67" s="22"/>
      <c r="G67" s="22"/>
      <c r="H67" s="23"/>
      <c r="I67" s="1388"/>
      <c r="J67" s="1388"/>
      <c r="K67" s="24"/>
      <c r="L67" s="25"/>
      <c r="M67" s="25"/>
      <c r="N67" s="26" t="str">
        <f>IF(M67="","",YEAR(M67))</f>
        <v/>
      </c>
      <c r="O67" s="27" t="str">
        <f>+IFERROR(INDEX(PARAMETROS!$B$46:$B$72,MATCH(N67,PARAMETROS!$A$46:$A$72,0)),"")</f>
        <v/>
      </c>
      <c r="P67" s="895"/>
      <c r="Q67" s="1080"/>
      <c r="R67" s="19"/>
      <c r="S67" s="30"/>
      <c r="T67" s="31"/>
      <c r="U67" s="27" t="str">
        <f>IF(T67&lt;&gt;"",P67*T67,"")</f>
        <v/>
      </c>
      <c r="V67" s="16" t="str">
        <f>+IFERROR(U67/O67,"")</f>
        <v/>
      </c>
      <c r="W67" s="16" t="str">
        <f>IFERROR(V67*K67,"")</f>
        <v/>
      </c>
      <c r="X67" s="1506"/>
      <c r="Y67" s="1506"/>
      <c r="Z67" s="1388" t="str">
        <f>+IF(W67="","",IF(W67&gt;=PARAMETROS!$K$5,"CUMPLE","NO CUMPLE"))</f>
        <v/>
      </c>
      <c r="AA67" s="32"/>
      <c r="AB67" s="1485"/>
      <c r="AC67" s="1485"/>
      <c r="AD67" s="1485"/>
      <c r="AE67" s="1485"/>
      <c r="AF67" s="1485"/>
      <c r="AG67" s="1485"/>
      <c r="AH67" s="1485"/>
      <c r="AI67" s="1485"/>
      <c r="AJ67" s="1485"/>
      <c r="AK67" s="1388"/>
      <c r="AL67" s="1488"/>
      <c r="AM67" s="98"/>
      <c r="AN67" s="67"/>
    </row>
    <row r="68" spans="1:40" s="33" customFormat="1" ht="9" customHeight="1" thickBot="1">
      <c r="A68" s="1511"/>
      <c r="B68" s="99"/>
      <c r="C68" s="784"/>
      <c r="D68" s="101" t="str">
        <f>+IFERROR(INDEX(DESEMPATE!$D$3:$D$83,MATCH('EXP GENERAL '!B68,DESEMPATE!$C$3:$C$83,0)),"")</f>
        <v/>
      </c>
      <c r="E68" s="102"/>
      <c r="F68" s="102"/>
      <c r="G68" s="102"/>
      <c r="H68" s="103"/>
      <c r="I68" s="1392"/>
      <c r="J68" s="1392"/>
      <c r="K68" s="104"/>
      <c r="L68" s="105"/>
      <c r="M68" s="105"/>
      <c r="N68" s="106" t="str">
        <f>IF(M68="","",YEAR(M68))</f>
        <v/>
      </c>
      <c r="O68" s="75" t="str">
        <f>+IFERROR(INDEX(PARAMETROS!$B$46:$B$72,MATCH(N68,PARAMETROS!$A$46:$A$72,0)),"")</f>
        <v/>
      </c>
      <c r="P68" s="896"/>
      <c r="Q68" s="475"/>
      <c r="R68" s="99"/>
      <c r="S68" s="110"/>
      <c r="T68" s="111"/>
      <c r="U68" s="107" t="str">
        <f>IF(T68&lt;&gt;"",P68*T68,"")</f>
        <v/>
      </c>
      <c r="V68" s="112" t="str">
        <f>+IFERROR(U68/O68,"")</f>
        <v/>
      </c>
      <c r="W68" s="112" t="str">
        <f>IFERROR(V68*K68,"")</f>
        <v/>
      </c>
      <c r="X68" s="1507"/>
      <c r="Y68" s="1507"/>
      <c r="Z68" s="1401" t="str">
        <f>+IF(W68="","",IF(W68&gt;=PARAMETROS!$K$5,"CUMPLE","NO CUMPLE"))</f>
        <v/>
      </c>
      <c r="AA68" s="112"/>
      <c r="AB68" s="1486"/>
      <c r="AC68" s="1486"/>
      <c r="AD68" s="1486"/>
      <c r="AE68" s="1486"/>
      <c r="AF68" s="1486"/>
      <c r="AG68" s="1486"/>
      <c r="AH68" s="1486"/>
      <c r="AI68" s="1486"/>
      <c r="AJ68" s="1486"/>
      <c r="AK68" s="1392"/>
      <c r="AL68" s="1489"/>
      <c r="AM68" s="113"/>
      <c r="AN68" s="67"/>
    </row>
    <row r="69" spans="1:40" s="33" customFormat="1" ht="47.25" customHeight="1">
      <c r="A69" s="1509" t="s">
        <v>32</v>
      </c>
      <c r="B69" s="68" t="s">
        <v>318</v>
      </c>
      <c r="C69" s="781">
        <v>256</v>
      </c>
      <c r="D69" s="70" t="str">
        <f>+IFERROR(INDEX(DESEMPATE!$D$3:$D$83,MATCH('EXP GENERAL '!B69,DESEMPATE!$C$3:$C$83,0)),"")</f>
        <v>GEOTECNIA Y CIMIENTOS INGEOCIM S.A.S.</v>
      </c>
      <c r="E69" s="71" t="s">
        <v>319</v>
      </c>
      <c r="F69" s="71" t="s">
        <v>148</v>
      </c>
      <c r="G69" s="71" t="s">
        <v>320</v>
      </c>
      <c r="H69" s="72" t="s">
        <v>321</v>
      </c>
      <c r="I69" s="1394" t="s">
        <v>22</v>
      </c>
      <c r="J69" s="1394" t="s">
        <v>22</v>
      </c>
      <c r="K69" s="73">
        <v>0.9</v>
      </c>
      <c r="L69" s="74">
        <v>35730</v>
      </c>
      <c r="M69" s="74">
        <v>36459</v>
      </c>
      <c r="N69" s="116">
        <v>1999</v>
      </c>
      <c r="O69" s="298">
        <v>236460</v>
      </c>
      <c r="P69" s="897">
        <v>1343799332.5</v>
      </c>
      <c r="Q69" s="1343" t="s">
        <v>151</v>
      </c>
      <c r="R69" s="68" t="s">
        <v>140</v>
      </c>
      <c r="S69" s="78" t="s">
        <v>140</v>
      </c>
      <c r="T69" s="79">
        <v>1</v>
      </c>
      <c r="U69" s="75">
        <v>1343799332.5</v>
      </c>
      <c r="V69" s="80">
        <v>5682.9879577941301</v>
      </c>
      <c r="W69" s="80">
        <v>5114.6891620147171</v>
      </c>
      <c r="X69" s="1505" t="str">
        <f>IF(W69="","",IF(SUM(W69:W72)&gt;=PARAMETROS!$G$5,"CUMPLE","NO CUMPLE"))</f>
        <v>CUMPLE</v>
      </c>
      <c r="Y69" s="1505" t="str">
        <f>IF(W69="","",IF(W69+W70+W71&gt;=PARAMETROS!$I$5,"CUMPLE","NO CUMPLE"))</f>
        <v>CUMPLE</v>
      </c>
      <c r="Z69" s="1400" t="str">
        <f>+IF(W69="","",IF(W69&gt;=PARAMETROS!$K$5,"CUMPLE","NO CUMPLE"))</f>
        <v>CUMPLE</v>
      </c>
      <c r="AA69" s="32">
        <v>51</v>
      </c>
      <c r="AB69" s="1508" t="s">
        <v>22</v>
      </c>
      <c r="AC69" s="1508"/>
      <c r="AD69" s="1508"/>
      <c r="AE69" s="1508" t="s">
        <v>22</v>
      </c>
      <c r="AF69" s="1508"/>
      <c r="AG69" s="1508"/>
      <c r="AH69" s="1508" t="s">
        <v>22</v>
      </c>
      <c r="AI69" s="1508"/>
      <c r="AJ69" s="1508"/>
      <c r="AK69" s="1394" t="s">
        <v>22</v>
      </c>
      <c r="AL69" s="1487" t="s">
        <v>21</v>
      </c>
      <c r="AM69" s="122"/>
      <c r="AN69" s="67"/>
    </row>
    <row r="70" spans="1:40" s="33" customFormat="1" ht="168.75" customHeight="1">
      <c r="A70" s="1510"/>
      <c r="B70" s="68" t="s">
        <v>318</v>
      </c>
      <c r="C70" s="782">
        <v>272</v>
      </c>
      <c r="D70" s="21" t="str">
        <f>+IFERROR(INDEX(DESEMPATE!$D$3:$D$83,MATCH('EXP GENERAL '!B70,DESEMPATE!$C$3:$C$83,0)),"")</f>
        <v>GEOTECNIA Y CIMIENTOS INGEOCIM S.A.S.</v>
      </c>
      <c r="E70" s="22" t="s">
        <v>281</v>
      </c>
      <c r="F70" s="22" t="s">
        <v>148</v>
      </c>
      <c r="G70" s="22" t="s">
        <v>322</v>
      </c>
      <c r="H70" s="23" t="s">
        <v>323</v>
      </c>
      <c r="I70" s="1388" t="s">
        <v>22</v>
      </c>
      <c r="J70" s="1388" t="s">
        <v>22</v>
      </c>
      <c r="K70" s="24">
        <v>0.5</v>
      </c>
      <c r="L70" s="25">
        <v>38772</v>
      </c>
      <c r="M70" s="25">
        <v>40656</v>
      </c>
      <c r="N70" s="26">
        <v>2011</v>
      </c>
      <c r="O70" s="27">
        <v>535600</v>
      </c>
      <c r="P70" s="895">
        <v>4960831409</v>
      </c>
      <c r="Q70" s="1080" t="s">
        <v>151</v>
      </c>
      <c r="R70" s="19" t="s">
        <v>140</v>
      </c>
      <c r="S70" s="30" t="s">
        <v>140</v>
      </c>
      <c r="T70" s="31">
        <v>1</v>
      </c>
      <c r="U70" s="27">
        <v>4960831409</v>
      </c>
      <c r="V70" s="16">
        <v>9262.1945649738609</v>
      </c>
      <c r="W70" s="16">
        <v>4631.0972824869305</v>
      </c>
      <c r="X70" s="1506"/>
      <c r="Y70" s="1506"/>
      <c r="Z70" s="1388" t="str">
        <f>+IF(W70="","",IF(W70&gt;=PARAMETROS!$K$5,"CUMPLE","NO CUMPLE"))</f>
        <v>CUMPLE</v>
      </c>
      <c r="AA70" s="32">
        <v>26</v>
      </c>
      <c r="AB70" s="1485" t="s">
        <v>22</v>
      </c>
      <c r="AC70" s="1485"/>
      <c r="AD70" s="1485"/>
      <c r="AE70" s="1485" t="s">
        <v>22</v>
      </c>
      <c r="AF70" s="1485"/>
      <c r="AG70" s="1485"/>
      <c r="AH70" s="1485" t="s">
        <v>22</v>
      </c>
      <c r="AI70" s="1485"/>
      <c r="AJ70" s="1485"/>
      <c r="AK70" s="1388" t="s">
        <v>22</v>
      </c>
      <c r="AL70" s="1488"/>
      <c r="AM70" s="97"/>
      <c r="AN70" s="67"/>
    </row>
    <row r="71" spans="1:40" s="33" customFormat="1" ht="66" customHeight="1">
      <c r="A71" s="1510"/>
      <c r="B71" s="68" t="s">
        <v>318</v>
      </c>
      <c r="C71" s="782">
        <v>278</v>
      </c>
      <c r="D71" s="21" t="str">
        <f>+IFERROR(INDEX(DESEMPATE!$D$3:$D$83,MATCH('EXP GENERAL '!B71,DESEMPATE!$C$3:$C$83,0)),"")</f>
        <v>GEOTECNIA Y CIMIENTOS INGEOCIM S.A.S.</v>
      </c>
      <c r="E71" s="22" t="s">
        <v>147</v>
      </c>
      <c r="F71" s="22" t="s">
        <v>148</v>
      </c>
      <c r="G71" s="22" t="s">
        <v>324</v>
      </c>
      <c r="H71" s="23" t="s">
        <v>325</v>
      </c>
      <c r="I71" s="1388" t="s">
        <v>22</v>
      </c>
      <c r="J71" s="1388" t="s">
        <v>22</v>
      </c>
      <c r="K71" s="24">
        <v>0.6</v>
      </c>
      <c r="L71" s="25">
        <v>41568</v>
      </c>
      <c r="M71" s="25">
        <v>42008</v>
      </c>
      <c r="N71" s="26">
        <v>2015</v>
      </c>
      <c r="O71" s="27">
        <v>644350</v>
      </c>
      <c r="P71" s="895">
        <v>2992430016</v>
      </c>
      <c r="Q71" s="1080" t="s">
        <v>151</v>
      </c>
      <c r="R71" s="19" t="s">
        <v>140</v>
      </c>
      <c r="S71" s="30" t="s">
        <v>140</v>
      </c>
      <c r="T71" s="31">
        <v>1</v>
      </c>
      <c r="U71" s="27">
        <v>2992430016</v>
      </c>
      <c r="V71" s="16">
        <v>4644.1064887095527</v>
      </c>
      <c r="W71" s="16">
        <v>2786.4638932257317</v>
      </c>
      <c r="X71" s="1506"/>
      <c r="Y71" s="1506"/>
      <c r="Z71" s="1388" t="str">
        <f>+IF(W71="","",IF(W71&gt;=PARAMETROS!$K$5,"CUMPLE","NO CUMPLE"))</f>
        <v>CUMPLE</v>
      </c>
      <c r="AA71" s="32" t="s">
        <v>326</v>
      </c>
      <c r="AB71" s="1485" t="s">
        <v>129</v>
      </c>
      <c r="AC71" s="1485"/>
      <c r="AD71" s="1485"/>
      <c r="AE71" s="1485" t="s">
        <v>129</v>
      </c>
      <c r="AF71" s="1485"/>
      <c r="AG71" s="1485"/>
      <c r="AH71" s="1485" t="s">
        <v>129</v>
      </c>
      <c r="AI71" s="1485"/>
      <c r="AJ71" s="1485"/>
      <c r="AK71" s="1388" t="s">
        <v>129</v>
      </c>
      <c r="AL71" s="1488"/>
      <c r="AM71" s="97"/>
      <c r="AN71" s="67"/>
    </row>
    <row r="72" spans="1:40" s="33" customFormat="1" ht="42.75" customHeight="1">
      <c r="A72" s="1510"/>
      <c r="B72" s="68" t="s">
        <v>327</v>
      </c>
      <c r="C72" s="782">
        <v>284</v>
      </c>
      <c r="D72" s="21" t="str">
        <f>+IFERROR(INDEX(DESEMPATE!$D$3:$D$83,MATCH('EXP GENERAL '!B72,DESEMPATE!$C$3:$C$83,0)),"")</f>
        <v>CULMEN INTERNATIONAL CONSULTING S.A.S.</v>
      </c>
      <c r="E72" s="22" t="s">
        <v>214</v>
      </c>
      <c r="F72" s="22" t="s">
        <v>139</v>
      </c>
      <c r="G72" s="22">
        <v>200630830</v>
      </c>
      <c r="H72" s="23" t="s">
        <v>328</v>
      </c>
      <c r="I72" s="1388" t="s">
        <v>22</v>
      </c>
      <c r="J72" s="1388" t="s">
        <v>22</v>
      </c>
      <c r="K72" s="24">
        <v>0.5</v>
      </c>
      <c r="L72" s="25">
        <v>39077</v>
      </c>
      <c r="M72" s="25">
        <v>40354</v>
      </c>
      <c r="N72" s="26">
        <v>2010</v>
      </c>
      <c r="O72" s="27">
        <v>515000</v>
      </c>
      <c r="P72" s="895">
        <v>1724238.72</v>
      </c>
      <c r="Q72" s="1080" t="s">
        <v>142</v>
      </c>
      <c r="R72" s="19">
        <v>1.23166</v>
      </c>
      <c r="S72" s="78">
        <v>2123675.8618751997</v>
      </c>
      <c r="T72" s="79">
        <v>1896.87</v>
      </c>
      <c r="U72" s="75">
        <v>4028337032.1152101</v>
      </c>
      <c r="V72" s="16">
        <v>7822.0136545926407</v>
      </c>
      <c r="W72" s="16">
        <v>3911.0068272963204</v>
      </c>
      <c r="X72" s="1506"/>
      <c r="Y72" s="1506"/>
      <c r="Z72" s="1388" t="str">
        <f>+IF(W72="","",IF(W72&gt;=PARAMETROS!$K$5,"CUMPLE","NO CUMPLE"))</f>
        <v>CUMPLE</v>
      </c>
      <c r="AA72" s="32">
        <v>5</v>
      </c>
      <c r="AB72" s="1485" t="s">
        <v>22</v>
      </c>
      <c r="AC72" s="1485"/>
      <c r="AD72" s="1485"/>
      <c r="AE72" s="1485" t="s">
        <v>22</v>
      </c>
      <c r="AF72" s="1485"/>
      <c r="AG72" s="1485"/>
      <c r="AH72" s="1485" t="s">
        <v>22</v>
      </c>
      <c r="AI72" s="1485"/>
      <c r="AJ72" s="1485"/>
      <c r="AK72" s="1388" t="s">
        <v>22</v>
      </c>
      <c r="AL72" s="1488"/>
      <c r="AM72" s="97"/>
      <c r="AN72" s="67"/>
    </row>
    <row r="73" spans="1:40" s="33" customFormat="1" ht="11.25" customHeight="1">
      <c r="A73" s="1510"/>
      <c r="B73" s="19"/>
      <c r="C73" s="782"/>
      <c r="D73" s="21" t="str">
        <f>+IFERROR(INDEX(DESEMPATE!$D$3:$D$83,MATCH('EXP GENERAL '!B73,DESEMPATE!$C$3:$C$83,0)),"")</f>
        <v/>
      </c>
      <c r="E73" s="22"/>
      <c r="F73" s="22"/>
      <c r="G73" s="22"/>
      <c r="H73" s="23"/>
      <c r="I73" s="1388"/>
      <c r="J73" s="1388"/>
      <c r="K73" s="24"/>
      <c r="L73" s="25"/>
      <c r="M73" s="25"/>
      <c r="N73" s="26" t="s">
        <v>158</v>
      </c>
      <c r="O73" s="27" t="s">
        <v>158</v>
      </c>
      <c r="P73" s="895"/>
      <c r="Q73" s="1080"/>
      <c r="R73" s="19"/>
      <c r="S73" s="30"/>
      <c r="T73" s="31"/>
      <c r="U73" s="27" t="s">
        <v>158</v>
      </c>
      <c r="V73" s="16" t="s">
        <v>158</v>
      </c>
      <c r="W73" s="16" t="s">
        <v>158</v>
      </c>
      <c r="X73" s="1506"/>
      <c r="Y73" s="1506"/>
      <c r="Z73" s="1388" t="str">
        <f>+IF(W73="","",IF(W73&gt;=PARAMETROS!$K$5,"CUMPLE","NO CUMPLE"))</f>
        <v/>
      </c>
      <c r="AA73" s="32"/>
      <c r="AB73" s="1485"/>
      <c r="AC73" s="1485"/>
      <c r="AD73" s="1485"/>
      <c r="AE73" s="1485"/>
      <c r="AF73" s="1485"/>
      <c r="AG73" s="1485"/>
      <c r="AH73" s="1485"/>
      <c r="AI73" s="1485"/>
      <c r="AJ73" s="1485"/>
      <c r="AK73" s="1388"/>
      <c r="AL73" s="1488"/>
      <c r="AM73" s="97"/>
      <c r="AN73" s="67"/>
    </row>
    <row r="74" spans="1:40" s="33" customFormat="1" ht="15" customHeight="1" thickBot="1">
      <c r="A74" s="1511"/>
      <c r="B74" s="99"/>
      <c r="C74" s="784"/>
      <c r="D74" s="101" t="str">
        <f>+IFERROR(INDEX(DESEMPATE!$D$3:$D$83,MATCH('EXP GENERAL '!B74,DESEMPATE!$C$3:$C$83,0)),"")</f>
        <v/>
      </c>
      <c r="E74" s="102"/>
      <c r="F74" s="102"/>
      <c r="G74" s="102"/>
      <c r="H74" s="103"/>
      <c r="I74" s="1392"/>
      <c r="J74" s="1392"/>
      <c r="K74" s="104"/>
      <c r="L74" s="105"/>
      <c r="M74" s="105"/>
      <c r="N74" s="106" t="s">
        <v>158</v>
      </c>
      <c r="O74" s="75" t="s">
        <v>158</v>
      </c>
      <c r="P74" s="896"/>
      <c r="Q74" s="475"/>
      <c r="R74" s="99"/>
      <c r="S74" s="110"/>
      <c r="T74" s="111"/>
      <c r="U74" s="107" t="s">
        <v>158</v>
      </c>
      <c r="V74" s="112" t="s">
        <v>158</v>
      </c>
      <c r="W74" s="112" t="s">
        <v>158</v>
      </c>
      <c r="X74" s="1507"/>
      <c r="Y74" s="1507"/>
      <c r="Z74" s="1401" t="str">
        <f>+IF(W74="","",IF(W74&gt;=PARAMETROS!$K$5,"CUMPLE","NO CUMPLE"))</f>
        <v/>
      </c>
      <c r="AA74" s="112"/>
      <c r="AB74" s="1486"/>
      <c r="AC74" s="1486"/>
      <c r="AD74" s="1486"/>
      <c r="AE74" s="1486"/>
      <c r="AF74" s="1486"/>
      <c r="AG74" s="1486"/>
      <c r="AH74" s="1486"/>
      <c r="AI74" s="1486"/>
      <c r="AJ74" s="1486"/>
      <c r="AK74" s="1392"/>
      <c r="AL74" s="1489"/>
      <c r="AM74" s="113"/>
      <c r="AN74" s="67"/>
    </row>
    <row r="75" spans="1:40" s="33" customFormat="1" ht="92.25" customHeight="1">
      <c r="A75" s="1509" t="s">
        <v>33</v>
      </c>
      <c r="B75" s="81" t="s">
        <v>329</v>
      </c>
      <c r="C75" s="783">
        <v>303</v>
      </c>
      <c r="D75" s="83" t="str">
        <f>+IFERROR(INDEX(DESEMPATE!$D$3:$D$83,MATCH('EXP GENERAL '!B75,DESEMPATE!$C$3:$C$83,0)),"")</f>
        <v>ESTUDIOS TÉCNICOS Y ASESORÍAS S.A. - ETA S.A.</v>
      </c>
      <c r="E75" s="84" t="s">
        <v>330</v>
      </c>
      <c r="F75" s="84" t="s">
        <v>148</v>
      </c>
      <c r="G75" s="84" t="s">
        <v>331</v>
      </c>
      <c r="H75" s="85" t="s">
        <v>332</v>
      </c>
      <c r="I75" s="1393" t="s">
        <v>22</v>
      </c>
      <c r="J75" s="1393" t="s">
        <v>22</v>
      </c>
      <c r="K75" s="86">
        <v>0.5</v>
      </c>
      <c r="L75" s="87">
        <v>39004</v>
      </c>
      <c r="M75" s="87">
        <v>39667</v>
      </c>
      <c r="N75" s="88">
        <v>2008</v>
      </c>
      <c r="O75" s="298">
        <v>461500</v>
      </c>
      <c r="P75" s="893">
        <v>3848051306</v>
      </c>
      <c r="Q75" s="242" t="s">
        <v>151</v>
      </c>
      <c r="R75" s="81" t="s">
        <v>140</v>
      </c>
      <c r="S75" s="92" t="s">
        <v>140</v>
      </c>
      <c r="T75" s="93">
        <v>1</v>
      </c>
      <c r="U75" s="89">
        <v>3848051306</v>
      </c>
      <c r="V75" s="94">
        <v>8338.13934127844</v>
      </c>
      <c r="W75" s="94">
        <v>4169.06967063922</v>
      </c>
      <c r="X75" s="1505" t="str">
        <f>IF(W75="","",IF(SUM(W75:W78)&gt;=PARAMETROS!$G$5,"CUMPLE","NO CUMPLE"))</f>
        <v>CUMPLE</v>
      </c>
      <c r="Y75" s="1505" t="str">
        <f>IF(W75="","",IF(W75+W76+W77&gt;=PARAMETROS!$I$5,"CUMPLE","NO CUMPLE"))</f>
        <v>CUMPLE</v>
      </c>
      <c r="Z75" s="1400" t="str">
        <f>+IF(W75="","",IF(W75&gt;=PARAMETROS!$K$5,"CUMPLE","NO CUMPLE"))</f>
        <v>CUMPLE</v>
      </c>
      <c r="AA75" s="207">
        <v>7</v>
      </c>
      <c r="AB75" s="1485" t="s">
        <v>129</v>
      </c>
      <c r="AC75" s="1485"/>
      <c r="AD75" s="1485"/>
      <c r="AE75" s="1484" t="s">
        <v>22</v>
      </c>
      <c r="AF75" s="1484"/>
      <c r="AG75" s="1484"/>
      <c r="AH75" s="1484" t="s">
        <v>22</v>
      </c>
      <c r="AI75" s="1484"/>
      <c r="AJ75" s="1484"/>
      <c r="AK75" s="1393" t="s">
        <v>22</v>
      </c>
      <c r="AL75" s="1487" t="s">
        <v>21</v>
      </c>
      <c r="AM75" s="96"/>
      <c r="AN75" s="67"/>
    </row>
    <row r="76" spans="1:40" s="33" customFormat="1" ht="41.25" customHeight="1">
      <c r="A76" s="1510"/>
      <c r="B76" s="19" t="s">
        <v>329</v>
      </c>
      <c r="C76" s="782">
        <v>314</v>
      </c>
      <c r="D76" s="21" t="str">
        <f>+IFERROR(INDEX(DESEMPATE!$D$3:$D$83,MATCH('EXP GENERAL '!B76,DESEMPATE!$C$3:$C$83,0)),"")</f>
        <v>ESTUDIOS TÉCNICOS Y ASESORÍAS S.A. - ETA S.A.</v>
      </c>
      <c r="E76" s="22" t="s">
        <v>333</v>
      </c>
      <c r="F76" s="22" t="s">
        <v>148</v>
      </c>
      <c r="G76" s="22" t="s">
        <v>334</v>
      </c>
      <c r="H76" s="22" t="s">
        <v>335</v>
      </c>
      <c r="I76" s="1388" t="s">
        <v>22</v>
      </c>
      <c r="J76" s="1388" t="s">
        <v>22</v>
      </c>
      <c r="K76" s="34">
        <v>0.33</v>
      </c>
      <c r="L76" s="25">
        <v>40368</v>
      </c>
      <c r="M76" s="25">
        <v>42094</v>
      </c>
      <c r="N76" s="26">
        <v>2015</v>
      </c>
      <c r="O76" s="27">
        <v>644350</v>
      </c>
      <c r="P76" s="894">
        <v>10689723675</v>
      </c>
      <c r="Q76" s="470" t="s">
        <v>151</v>
      </c>
      <c r="R76" s="19" t="s">
        <v>140</v>
      </c>
      <c r="S76" s="30" t="s">
        <v>140</v>
      </c>
      <c r="T76" s="31">
        <v>1</v>
      </c>
      <c r="U76" s="27">
        <v>10689723675</v>
      </c>
      <c r="V76" s="16">
        <v>16589.933537673624</v>
      </c>
      <c r="W76" s="16">
        <v>5474.6780674322963</v>
      </c>
      <c r="X76" s="1506"/>
      <c r="Y76" s="1506"/>
      <c r="Z76" s="1388" t="str">
        <f>+IF(W76="","",IF(W76&gt;=PARAMETROS!$K$5,"CUMPLE","NO CUMPLE"))</f>
        <v>CUMPLE</v>
      </c>
      <c r="AA76" s="208">
        <v>302</v>
      </c>
      <c r="AB76" s="1485" t="s">
        <v>129</v>
      </c>
      <c r="AC76" s="1485"/>
      <c r="AD76" s="1485"/>
      <c r="AE76" s="1485" t="s">
        <v>22</v>
      </c>
      <c r="AF76" s="1485"/>
      <c r="AG76" s="1485"/>
      <c r="AH76" s="1485" t="s">
        <v>22</v>
      </c>
      <c r="AI76" s="1485"/>
      <c r="AJ76" s="1485"/>
      <c r="AK76" s="1388" t="s">
        <v>22</v>
      </c>
      <c r="AL76" s="1488"/>
      <c r="AM76" s="97"/>
      <c r="AN76" s="67"/>
    </row>
    <row r="77" spans="1:40" s="33" customFormat="1" ht="42" customHeight="1">
      <c r="A77" s="1510"/>
      <c r="B77" s="19" t="s">
        <v>329</v>
      </c>
      <c r="C77" s="782">
        <v>327</v>
      </c>
      <c r="D77" s="21" t="str">
        <f>+IFERROR(INDEX(DESEMPATE!$D$3:$D$83,MATCH('EXP GENERAL '!B77,DESEMPATE!$C$3:$C$83,0)),"")</f>
        <v>ESTUDIOS TÉCNICOS Y ASESORÍAS S.A. - ETA S.A.</v>
      </c>
      <c r="E77" s="22" t="s">
        <v>207</v>
      </c>
      <c r="F77" s="22" t="s">
        <v>148</v>
      </c>
      <c r="G77" s="22" t="s">
        <v>336</v>
      </c>
      <c r="H77" s="23" t="s">
        <v>337</v>
      </c>
      <c r="I77" s="1388" t="s">
        <v>22</v>
      </c>
      <c r="J77" s="1388" t="s">
        <v>22</v>
      </c>
      <c r="K77" s="24">
        <v>1</v>
      </c>
      <c r="L77" s="25">
        <v>39211</v>
      </c>
      <c r="M77" s="25">
        <v>40227</v>
      </c>
      <c r="N77" s="26">
        <v>2010</v>
      </c>
      <c r="O77" s="27">
        <v>515000</v>
      </c>
      <c r="P77" s="895">
        <v>4313621278</v>
      </c>
      <c r="Q77" s="1080" t="s">
        <v>151</v>
      </c>
      <c r="R77" s="19" t="s">
        <v>140</v>
      </c>
      <c r="S77" s="30" t="s">
        <v>140</v>
      </c>
      <c r="T77" s="31">
        <v>1</v>
      </c>
      <c r="U77" s="27">
        <v>4313621278</v>
      </c>
      <c r="V77" s="16">
        <v>8375.9636466019419</v>
      </c>
      <c r="W77" s="16">
        <v>8375.9636466019419</v>
      </c>
      <c r="X77" s="1506"/>
      <c r="Y77" s="1506"/>
      <c r="Z77" s="1388" t="str">
        <f>+IF(W77="","",IF(W77&gt;=PARAMETROS!$K$5,"CUMPLE","NO CUMPLE"))</f>
        <v>CUMPLE</v>
      </c>
      <c r="AA77" s="208">
        <v>5</v>
      </c>
      <c r="AB77" s="1485" t="s">
        <v>129</v>
      </c>
      <c r="AC77" s="1485"/>
      <c r="AD77" s="1485"/>
      <c r="AE77" s="1485" t="s">
        <v>22</v>
      </c>
      <c r="AF77" s="1485"/>
      <c r="AG77" s="1485"/>
      <c r="AH77" s="1485" t="s">
        <v>22</v>
      </c>
      <c r="AI77" s="1485"/>
      <c r="AJ77" s="1485"/>
      <c r="AK77" s="1388" t="s">
        <v>22</v>
      </c>
      <c r="AL77" s="1488"/>
      <c r="AM77" s="97"/>
      <c r="AN77" s="67"/>
    </row>
    <row r="78" spans="1:40" s="33" customFormat="1" ht="42" customHeight="1">
      <c r="A78" s="1510"/>
      <c r="B78" s="19" t="s">
        <v>338</v>
      </c>
      <c r="C78" s="782">
        <v>342</v>
      </c>
      <c r="D78" s="21" t="str">
        <f>+IFERROR(INDEX(DESEMPATE!$D$3:$D$83,MATCH('EXP GENERAL '!B78,DESEMPATE!$C$3:$C$83,0)),"")</f>
        <v>INTECSA - INARSA COLOMBIA S.A.S.</v>
      </c>
      <c r="E78" s="22" t="s">
        <v>214</v>
      </c>
      <c r="F78" s="22" t="s">
        <v>139</v>
      </c>
      <c r="G78" s="22" t="s">
        <v>311</v>
      </c>
      <c r="H78" s="1115" t="s">
        <v>339</v>
      </c>
      <c r="I78" s="1388" t="s">
        <v>22</v>
      </c>
      <c r="J78" s="1388" t="s">
        <v>22</v>
      </c>
      <c r="K78" s="24">
        <v>1</v>
      </c>
      <c r="L78" s="25">
        <v>39381</v>
      </c>
      <c r="M78" s="25">
        <v>40538</v>
      </c>
      <c r="N78" s="26">
        <v>2010</v>
      </c>
      <c r="O78" s="27">
        <v>515000</v>
      </c>
      <c r="P78" s="895">
        <v>1850149.47</v>
      </c>
      <c r="Q78" s="1080" t="s">
        <v>142</v>
      </c>
      <c r="R78" s="19">
        <v>1.23166</v>
      </c>
      <c r="S78" s="78">
        <v>2278755.0962202</v>
      </c>
      <c r="T78" s="79">
        <v>1939.54</v>
      </c>
      <c r="U78" s="75">
        <v>4419736659.3229265</v>
      </c>
      <c r="V78" s="16">
        <v>8582.0129307241295</v>
      </c>
      <c r="W78" s="16">
        <v>8582.0129307241295</v>
      </c>
      <c r="X78" s="1506"/>
      <c r="Y78" s="1506"/>
      <c r="Z78" s="1388" t="str">
        <f>+IF(W78="","",IF(W78&gt;=PARAMETROS!$K$5,"CUMPLE","NO CUMPLE"))</f>
        <v>CUMPLE</v>
      </c>
      <c r="AA78" s="208">
        <v>69</v>
      </c>
      <c r="AB78" s="1485" t="s">
        <v>22</v>
      </c>
      <c r="AC78" s="1485"/>
      <c r="AD78" s="1485"/>
      <c r="AE78" s="1485" t="s">
        <v>22</v>
      </c>
      <c r="AF78" s="1485"/>
      <c r="AG78" s="1485"/>
      <c r="AH78" s="1485" t="s">
        <v>22</v>
      </c>
      <c r="AI78" s="1485"/>
      <c r="AJ78" s="1485"/>
      <c r="AK78" s="1388" t="s">
        <v>22</v>
      </c>
      <c r="AL78" s="1488"/>
      <c r="AM78" s="97"/>
      <c r="AN78" s="67"/>
    </row>
    <row r="79" spans="1:40" s="33" customFormat="1" ht="11.25" customHeight="1">
      <c r="A79" s="1510"/>
      <c r="B79" s="19"/>
      <c r="C79" s="782"/>
      <c r="D79" s="21" t="str">
        <f>+IFERROR(INDEX(DESEMPATE!$D$3:$D$83,MATCH('EXP GENERAL '!B79,DESEMPATE!$C$3:$C$83,0)),"")</f>
        <v/>
      </c>
      <c r="E79" s="22"/>
      <c r="F79" s="22"/>
      <c r="G79" s="22"/>
      <c r="H79" s="23"/>
      <c r="I79" s="1388"/>
      <c r="J79" s="1388"/>
      <c r="K79" s="24"/>
      <c r="L79" s="25"/>
      <c r="M79" s="25"/>
      <c r="N79" s="26" t="s">
        <v>158</v>
      </c>
      <c r="O79" s="27" t="s">
        <v>158</v>
      </c>
      <c r="P79" s="895"/>
      <c r="Q79" s="1080"/>
      <c r="R79" s="19"/>
      <c r="S79" s="30"/>
      <c r="T79" s="31"/>
      <c r="U79" s="27"/>
      <c r="V79" s="16" t="s">
        <v>158</v>
      </c>
      <c r="W79" s="16" t="s">
        <v>158</v>
      </c>
      <c r="X79" s="1506"/>
      <c r="Y79" s="1506"/>
      <c r="Z79" s="1388" t="str">
        <f>+IF(W79="","",IF(W79&gt;=PARAMETROS!$K$5,"CUMPLE","NO CUMPLE"))</f>
        <v/>
      </c>
      <c r="AA79" s="208"/>
      <c r="AB79" s="1485"/>
      <c r="AC79" s="1485"/>
      <c r="AD79" s="1485"/>
      <c r="AE79" s="1485"/>
      <c r="AF79" s="1485"/>
      <c r="AG79" s="1485"/>
      <c r="AH79" s="1485"/>
      <c r="AI79" s="1485"/>
      <c r="AJ79" s="1485"/>
      <c r="AK79" s="1388"/>
      <c r="AL79" s="1488"/>
      <c r="AM79" s="97"/>
      <c r="AN79" s="67"/>
    </row>
    <row r="80" spans="1:40" s="33" customFormat="1" ht="6.75" customHeight="1" thickBot="1">
      <c r="A80" s="1511"/>
      <c r="B80" s="99"/>
      <c r="C80" s="784"/>
      <c r="D80" s="101" t="str">
        <f>+IFERROR(INDEX(DESEMPATE!$D$3:$D$83,MATCH('EXP GENERAL '!B80,DESEMPATE!$C$3:$C$83,0)),"")</f>
        <v/>
      </c>
      <c r="E80" s="102"/>
      <c r="F80" s="102"/>
      <c r="G80" s="102"/>
      <c r="H80" s="103"/>
      <c r="I80" s="1392"/>
      <c r="J80" s="1392"/>
      <c r="K80" s="104"/>
      <c r="L80" s="105"/>
      <c r="M80" s="105"/>
      <c r="N80" s="106" t="s">
        <v>158</v>
      </c>
      <c r="O80" s="75" t="s">
        <v>158</v>
      </c>
      <c r="P80" s="896"/>
      <c r="Q80" s="475"/>
      <c r="R80" s="99"/>
      <c r="S80" s="110"/>
      <c r="T80" s="111"/>
      <c r="U80" s="107" t="s">
        <v>158</v>
      </c>
      <c r="V80" s="112" t="s">
        <v>158</v>
      </c>
      <c r="W80" s="112" t="s">
        <v>158</v>
      </c>
      <c r="X80" s="1507"/>
      <c r="Y80" s="1507"/>
      <c r="Z80" s="1401" t="str">
        <f>+IF(W80="","",IF(W80&gt;=PARAMETROS!$K$5,"CUMPLE","NO CUMPLE"))</f>
        <v/>
      </c>
      <c r="AA80" s="213"/>
      <c r="AB80" s="1486"/>
      <c r="AC80" s="1486"/>
      <c r="AD80" s="1486"/>
      <c r="AE80" s="1486"/>
      <c r="AF80" s="1486"/>
      <c r="AG80" s="1486"/>
      <c r="AH80" s="1486"/>
      <c r="AI80" s="1486"/>
      <c r="AJ80" s="1486"/>
      <c r="AK80" s="1392"/>
      <c r="AL80" s="1489"/>
      <c r="AM80" s="113"/>
      <c r="AN80" s="67"/>
    </row>
    <row r="81" spans="1:40" s="33" customFormat="1" ht="45.75" customHeight="1">
      <c r="A81" s="1509" t="s">
        <v>34</v>
      </c>
      <c r="B81" s="81" t="s">
        <v>340</v>
      </c>
      <c r="C81" s="234" t="s">
        <v>341</v>
      </c>
      <c r="D81" s="83" t="str">
        <f>+IFERROR(INDEX(DESEMPATE!$D$3:$D$83,MATCH('EXP GENERAL '!B81,DESEMPATE!$C$3:$C$83,0)),"")</f>
        <v>CPS INGENIEROS OBRA CIVIL Y MEDIO AMBIENTE SUCURSAL COLOMBIA S.L.</v>
      </c>
      <c r="E81" s="84" t="s">
        <v>214</v>
      </c>
      <c r="F81" s="84" t="s">
        <v>139</v>
      </c>
      <c r="G81" s="84" t="s">
        <v>311</v>
      </c>
      <c r="H81" s="85" t="s">
        <v>342</v>
      </c>
      <c r="I81" s="1393" t="s">
        <v>22</v>
      </c>
      <c r="J81" s="1393" t="s">
        <v>22</v>
      </c>
      <c r="K81" s="86">
        <v>1</v>
      </c>
      <c r="L81" s="87">
        <v>39070</v>
      </c>
      <c r="M81" s="87">
        <v>40359</v>
      </c>
      <c r="N81" s="88">
        <v>2010</v>
      </c>
      <c r="O81" s="298">
        <v>515000</v>
      </c>
      <c r="P81" s="893">
        <v>977604.33</v>
      </c>
      <c r="Q81" s="242" t="s">
        <v>142</v>
      </c>
      <c r="R81" s="81">
        <v>1.22055</v>
      </c>
      <c r="S81" s="92">
        <v>1193214.9649815001</v>
      </c>
      <c r="T81" s="93">
        <v>1916.46</v>
      </c>
      <c r="U81" s="89">
        <v>2286748751.7884455</v>
      </c>
      <c r="V81" s="94">
        <v>4440.288838424166</v>
      </c>
      <c r="W81" s="94">
        <v>4440.288838424166</v>
      </c>
      <c r="X81" s="1505" t="str">
        <f>IF(W81="","",IF(SUM(W81:W84)&gt;=PARAMETROS!$G$5,"CUMPLE","NO CUMPLE"))</f>
        <v>CUMPLE</v>
      </c>
      <c r="Y81" s="1505" t="str">
        <f>IF(W81="","",IF(W81+W83&gt;=PARAMETROS!$I$5,"CUMPLE","NO CUMPLE"))</f>
        <v>CUMPLE</v>
      </c>
      <c r="Z81" s="1400" t="str">
        <f>+IF(W81="","",IF(W81&gt;=PARAMETROS!$K$5,"CUMPLE","NO CUMPLE"))</f>
        <v>CUMPLE</v>
      </c>
      <c r="AA81" s="207">
        <v>2</v>
      </c>
      <c r="AB81" s="1484" t="s">
        <v>129</v>
      </c>
      <c r="AC81" s="1484"/>
      <c r="AD81" s="1484"/>
      <c r="AE81" s="1484" t="s">
        <v>22</v>
      </c>
      <c r="AF81" s="1484"/>
      <c r="AG81" s="1484"/>
      <c r="AH81" s="1484" t="s">
        <v>22</v>
      </c>
      <c r="AI81" s="1484"/>
      <c r="AJ81" s="1484"/>
      <c r="AK81" s="1393" t="s">
        <v>22</v>
      </c>
      <c r="AL81" s="1487" t="s">
        <v>21</v>
      </c>
      <c r="AM81" s="96"/>
      <c r="AN81" s="67"/>
    </row>
    <row r="82" spans="1:40" s="33" customFormat="1" ht="77.25" customHeight="1">
      <c r="A82" s="1510"/>
      <c r="B82" s="19" t="s">
        <v>340</v>
      </c>
      <c r="C82" s="910" t="s">
        <v>341</v>
      </c>
      <c r="D82" s="21" t="str">
        <f>+IFERROR(INDEX(DESEMPATE!$D$3:$D$83,MATCH('EXP GENERAL '!B82,DESEMPATE!$C$3:$C$83,0)),"")</f>
        <v>CPS INGENIEROS OBRA CIVIL Y MEDIO AMBIENTE SUCURSAL COLOMBIA S.L.</v>
      </c>
      <c r="E82" s="22" t="s">
        <v>343</v>
      </c>
      <c r="F82" s="22" t="s">
        <v>139</v>
      </c>
      <c r="G82" s="22" t="s">
        <v>311</v>
      </c>
      <c r="H82" s="23" t="s">
        <v>344</v>
      </c>
      <c r="I82" s="1388" t="s">
        <v>129</v>
      </c>
      <c r="J82" s="1388" t="s">
        <v>22</v>
      </c>
      <c r="K82" s="24">
        <v>1</v>
      </c>
      <c r="L82" s="25">
        <v>39024</v>
      </c>
      <c r="M82" s="25">
        <v>40189</v>
      </c>
      <c r="N82" s="26">
        <v>2010</v>
      </c>
      <c r="O82" s="27">
        <v>515000</v>
      </c>
      <c r="P82" s="895">
        <v>741925.82</v>
      </c>
      <c r="Q82" s="1080" t="s">
        <v>142</v>
      </c>
      <c r="R82" s="19"/>
      <c r="S82" s="30"/>
      <c r="T82" s="31"/>
      <c r="U82" s="27"/>
      <c r="V82" s="16"/>
      <c r="W82" s="16"/>
      <c r="X82" s="1506"/>
      <c r="Y82" s="1506"/>
      <c r="Z82" s="921" t="s">
        <v>345</v>
      </c>
      <c r="AA82" s="208"/>
      <c r="AB82" s="1485"/>
      <c r="AC82" s="1485"/>
      <c r="AD82" s="1485"/>
      <c r="AE82" s="1485"/>
      <c r="AF82" s="1485"/>
      <c r="AG82" s="1485"/>
      <c r="AH82" s="1485"/>
      <c r="AI82" s="1485"/>
      <c r="AJ82" s="1485"/>
      <c r="AK82" s="1388" t="s">
        <v>129</v>
      </c>
      <c r="AL82" s="1488"/>
      <c r="AM82" s="97"/>
      <c r="AN82" s="67"/>
    </row>
    <row r="83" spans="1:40" s="33" customFormat="1" ht="69.75" customHeight="1">
      <c r="A83" s="1510"/>
      <c r="B83" s="19" t="s">
        <v>340</v>
      </c>
      <c r="C83" s="910" t="s">
        <v>341</v>
      </c>
      <c r="D83" s="21" t="str">
        <f>+IFERROR(INDEX(DESEMPATE!$D$3:$D$83,MATCH('EXP GENERAL '!B83,DESEMPATE!$C$3:$C$83,0)),"")</f>
        <v>CPS INGENIEROS OBRA CIVIL Y MEDIO AMBIENTE SUCURSAL COLOMBIA S.L.</v>
      </c>
      <c r="E83" s="22" t="s">
        <v>343</v>
      </c>
      <c r="F83" s="22" t="s">
        <v>139</v>
      </c>
      <c r="G83" s="22" t="s">
        <v>311</v>
      </c>
      <c r="H83" s="23" t="s">
        <v>346</v>
      </c>
      <c r="I83" s="1388" t="s">
        <v>22</v>
      </c>
      <c r="J83" s="1388" t="s">
        <v>22</v>
      </c>
      <c r="K83" s="24">
        <v>1</v>
      </c>
      <c r="L83" s="25">
        <v>38107</v>
      </c>
      <c r="M83" s="25">
        <v>40747</v>
      </c>
      <c r="N83" s="26">
        <v>2011</v>
      </c>
      <c r="O83" s="27">
        <v>535600</v>
      </c>
      <c r="P83" s="895">
        <v>1048263.23</v>
      </c>
      <c r="Q83" s="1080" t="s">
        <v>142</v>
      </c>
      <c r="R83" s="19">
        <v>1.43862</v>
      </c>
      <c r="S83" s="30">
        <v>1508052.4479425999</v>
      </c>
      <c r="T83" s="31">
        <v>1757.35</v>
      </c>
      <c r="U83" s="27">
        <v>2650175969.3919277</v>
      </c>
      <c r="V83" s="16">
        <v>4948.0507270200296</v>
      </c>
      <c r="W83" s="16">
        <v>4948.0507270200296</v>
      </c>
      <c r="X83" s="1506"/>
      <c r="Y83" s="1506"/>
      <c r="Z83" s="1388" t="str">
        <f>+IF(W83="","",IF(W83&gt;=PARAMETROS!$K$5,"CUMPLE","NO CUMPLE"))</f>
        <v>CUMPLE</v>
      </c>
      <c r="AA83" s="208">
        <v>9</v>
      </c>
      <c r="AB83" s="1485" t="s">
        <v>129</v>
      </c>
      <c r="AC83" s="1485"/>
      <c r="AD83" s="1485"/>
      <c r="AE83" s="1485" t="s">
        <v>22</v>
      </c>
      <c r="AF83" s="1485"/>
      <c r="AG83" s="1485"/>
      <c r="AH83" s="1485" t="s">
        <v>22</v>
      </c>
      <c r="AI83" s="1485"/>
      <c r="AJ83" s="1485"/>
      <c r="AK83" s="1388" t="s">
        <v>22</v>
      </c>
      <c r="AL83" s="1488"/>
      <c r="AM83" s="122"/>
      <c r="AN83" s="67"/>
    </row>
    <row r="84" spans="1:40" s="33" customFormat="1" ht="98.25" customHeight="1">
      <c r="A84" s="1510"/>
      <c r="B84" s="19" t="s">
        <v>347</v>
      </c>
      <c r="C84" s="910" t="s">
        <v>341</v>
      </c>
      <c r="D84" s="21" t="str">
        <f>+IFERROR(INDEX(DESEMPATE!$D$3:$D$83,MATCH('EXP GENERAL '!B84,DESEMPATE!$C$3:$C$83,0)),"")</f>
        <v>SERTIC S.A.S.</v>
      </c>
      <c r="E84" s="22" t="s">
        <v>147</v>
      </c>
      <c r="F84" s="22" t="s">
        <v>148</v>
      </c>
      <c r="G84" s="22" t="s">
        <v>348</v>
      </c>
      <c r="H84" s="23" t="s">
        <v>349</v>
      </c>
      <c r="I84" s="1388" t="s">
        <v>22</v>
      </c>
      <c r="J84" s="1388" t="s">
        <v>22</v>
      </c>
      <c r="K84" s="24">
        <v>0.25</v>
      </c>
      <c r="L84" s="25">
        <v>40954</v>
      </c>
      <c r="M84" s="25">
        <v>42398</v>
      </c>
      <c r="N84" s="26">
        <v>2016</v>
      </c>
      <c r="O84" s="27">
        <v>689554</v>
      </c>
      <c r="P84" s="895">
        <v>6977164104</v>
      </c>
      <c r="Q84" s="1080" t="s">
        <v>151</v>
      </c>
      <c r="R84" s="19" t="s">
        <v>140</v>
      </c>
      <c r="S84" s="30" t="s">
        <v>140</v>
      </c>
      <c r="T84" s="31">
        <v>1</v>
      </c>
      <c r="U84" s="27">
        <v>6977164104</v>
      </c>
      <c r="V84" s="16">
        <v>10118.37231601876</v>
      </c>
      <c r="W84" s="16">
        <v>2529.59307900469</v>
      </c>
      <c r="X84" s="1506"/>
      <c r="Y84" s="1506"/>
      <c r="Z84" s="1388" t="str">
        <f>+IF(W84="","",IF(W84&gt;=PARAMETROS!$K$5,"CUMPLE","NO CUMPLE"))</f>
        <v>CUMPLE</v>
      </c>
      <c r="AA84" s="208" t="s">
        <v>326</v>
      </c>
      <c r="AB84" s="1485"/>
      <c r="AC84" s="1485"/>
      <c r="AD84" s="1485"/>
      <c r="AE84" s="1485"/>
      <c r="AF84" s="1485"/>
      <c r="AG84" s="1485"/>
      <c r="AH84" s="1485"/>
      <c r="AI84" s="1485"/>
      <c r="AJ84" s="1485"/>
      <c r="AK84" s="1388" t="s">
        <v>129</v>
      </c>
      <c r="AL84" s="1488"/>
      <c r="AM84" s="97"/>
      <c r="AN84" s="67"/>
    </row>
    <row r="85" spans="1:40" s="33" customFormat="1" ht="11.25" customHeight="1">
      <c r="A85" s="1510"/>
      <c r="B85" s="19"/>
      <c r="C85" s="910"/>
      <c r="D85" s="21" t="str">
        <f>+IFERROR(INDEX(DESEMPATE!$D$3:$D$83,MATCH('EXP GENERAL '!B85,DESEMPATE!$C$3:$C$83,0)),"")</f>
        <v/>
      </c>
      <c r="E85" s="22"/>
      <c r="F85" s="22"/>
      <c r="G85" s="22"/>
      <c r="H85" s="23"/>
      <c r="I85" s="1388"/>
      <c r="J85" s="1388"/>
      <c r="K85" s="24"/>
      <c r="L85" s="25"/>
      <c r="M85" s="25"/>
      <c r="N85" s="26" t="s">
        <v>158</v>
      </c>
      <c r="O85" s="27" t="s">
        <v>158</v>
      </c>
      <c r="P85" s="895"/>
      <c r="Q85" s="1080"/>
      <c r="R85" s="19"/>
      <c r="S85" s="30"/>
      <c r="T85" s="31"/>
      <c r="U85" s="27" t="s">
        <v>158</v>
      </c>
      <c r="V85" s="16" t="s">
        <v>158</v>
      </c>
      <c r="W85" s="16" t="s">
        <v>158</v>
      </c>
      <c r="X85" s="1506"/>
      <c r="Y85" s="1506"/>
      <c r="Z85" s="1388" t="str">
        <f>+IF(W85="","",IF(W85&gt;=PARAMETROS!$K$5,"CUMPLE","NO CUMPLE"))</f>
        <v/>
      </c>
      <c r="AA85" s="16"/>
      <c r="AB85" s="1485"/>
      <c r="AC85" s="1485"/>
      <c r="AD85" s="1485"/>
      <c r="AE85" s="1485"/>
      <c r="AF85" s="1485"/>
      <c r="AG85" s="1485"/>
      <c r="AH85" s="1485"/>
      <c r="AI85" s="1485"/>
      <c r="AJ85" s="1485"/>
      <c r="AK85" s="1388"/>
      <c r="AL85" s="1488"/>
      <c r="AM85" s="97"/>
      <c r="AN85" s="67"/>
    </row>
    <row r="86" spans="1:40" s="33" customFormat="1" ht="11.25" customHeight="1" thickBot="1">
      <c r="A86" s="1511"/>
      <c r="B86" s="99"/>
      <c r="C86" s="784"/>
      <c r="D86" s="101" t="str">
        <f>+IFERROR(INDEX(DESEMPATE!$D$3:$D$83,MATCH('EXP GENERAL '!B86,DESEMPATE!$C$3:$C$83,0)),"")</f>
        <v/>
      </c>
      <c r="E86" s="102"/>
      <c r="F86" s="102"/>
      <c r="G86" s="102"/>
      <c r="H86" s="103"/>
      <c r="I86" s="1392"/>
      <c r="J86" s="1392"/>
      <c r="K86" s="104"/>
      <c r="L86" s="105"/>
      <c r="M86" s="105"/>
      <c r="N86" s="106" t="s">
        <v>158</v>
      </c>
      <c r="O86" s="107" t="s">
        <v>158</v>
      </c>
      <c r="P86" s="896"/>
      <c r="Q86" s="475"/>
      <c r="R86" s="99"/>
      <c r="S86" s="110"/>
      <c r="T86" s="111"/>
      <c r="U86" s="107" t="s">
        <v>158</v>
      </c>
      <c r="V86" s="112" t="s">
        <v>158</v>
      </c>
      <c r="W86" s="112" t="s">
        <v>158</v>
      </c>
      <c r="X86" s="1507"/>
      <c r="Y86" s="1507"/>
      <c r="Z86" s="1401" t="str">
        <f>+IF(W86="","",IF(W86&gt;=PARAMETROS!$K$5,"CUMPLE","NO CUMPLE"))</f>
        <v/>
      </c>
      <c r="AA86" s="112"/>
      <c r="AB86" s="1486"/>
      <c r="AC86" s="1486"/>
      <c r="AD86" s="1486"/>
      <c r="AE86" s="1486"/>
      <c r="AF86" s="1486"/>
      <c r="AG86" s="1486"/>
      <c r="AH86" s="1486"/>
      <c r="AI86" s="1486"/>
      <c r="AJ86" s="1486"/>
      <c r="AK86" s="1392"/>
      <c r="AL86" s="1489"/>
      <c r="AM86" s="113"/>
      <c r="AN86" s="67"/>
    </row>
    <row r="87" spans="1:40" s="33" customFormat="1" ht="44.25" customHeight="1">
      <c r="A87" s="1509" t="s">
        <v>35</v>
      </c>
      <c r="B87" s="81" t="s">
        <v>350</v>
      </c>
      <c r="C87" s="783">
        <v>149</v>
      </c>
      <c r="D87" s="83" t="str">
        <f>+IFERROR(INDEX(DESEMPATE!$D$3:$D$83,MATCH('EXP GENERAL '!B87,DESEMPATE!$C$3:$C$83,0)),"")</f>
        <v>ECOVIAS S.A.S.</v>
      </c>
      <c r="E87" s="992" t="s">
        <v>351</v>
      </c>
      <c r="F87" s="84" t="s">
        <v>148</v>
      </c>
      <c r="G87" s="84" t="s">
        <v>352</v>
      </c>
      <c r="H87" s="1115" t="s">
        <v>353</v>
      </c>
      <c r="I87" s="1393" t="s">
        <v>22</v>
      </c>
      <c r="J87" s="1393" t="s">
        <v>22</v>
      </c>
      <c r="K87" s="86">
        <v>0.5</v>
      </c>
      <c r="L87" s="1128">
        <v>36752</v>
      </c>
      <c r="M87" s="1129">
        <v>42429</v>
      </c>
      <c r="N87" s="88">
        <v>2016</v>
      </c>
      <c r="O87" s="75">
        <v>689554</v>
      </c>
      <c r="P87" s="893">
        <v>5392236983</v>
      </c>
      <c r="Q87" s="242" t="s">
        <v>151</v>
      </c>
      <c r="R87" s="81" t="s">
        <v>140</v>
      </c>
      <c r="S87" s="92" t="s">
        <v>140</v>
      </c>
      <c r="T87" s="93">
        <v>1</v>
      </c>
      <c r="U87" s="89">
        <v>5392236983</v>
      </c>
      <c r="V87" s="94">
        <v>7819.8908033308489</v>
      </c>
      <c r="W87" s="94">
        <v>3909.9454016654245</v>
      </c>
      <c r="X87" s="1505" t="str">
        <f>IF(W87="","",IF(SUM(W87:W91)&gt;=PARAMETROS!$G$5,"CUMPLE","NO CUMPLE"))</f>
        <v>CUMPLE</v>
      </c>
      <c r="Y87" s="1505" t="str">
        <f>IF(W87="","",IF(W87+W88&gt;=PARAMETROS!$I$5,"CUMPLE","NO CUMPLE"))</f>
        <v>CUMPLE</v>
      </c>
      <c r="Z87" s="1400" t="str">
        <f>+IF(W87="","",IF(W87&gt;=PARAMETROS!$K$5,"CUMPLE","NO CUMPLE"))</f>
        <v>CUMPLE</v>
      </c>
      <c r="AA87" s="207" t="s">
        <v>326</v>
      </c>
      <c r="AB87" s="1484"/>
      <c r="AC87" s="1484"/>
      <c r="AD87" s="1484"/>
      <c r="AE87" s="1484"/>
      <c r="AF87" s="1484"/>
      <c r="AG87" s="1484"/>
      <c r="AH87" s="1484"/>
      <c r="AI87" s="1484"/>
      <c r="AJ87" s="1484"/>
      <c r="AK87" s="1393" t="s">
        <v>129</v>
      </c>
      <c r="AL87" s="1487" t="s">
        <v>21</v>
      </c>
      <c r="AM87" s="96"/>
      <c r="AN87" s="67"/>
    </row>
    <row r="88" spans="1:40" s="33" customFormat="1" ht="83.25" customHeight="1">
      <c r="A88" s="1510"/>
      <c r="B88" s="19" t="s">
        <v>354</v>
      </c>
      <c r="C88" s="782">
        <v>157</v>
      </c>
      <c r="D88" s="21" t="str">
        <f>+IFERROR(INDEX(DESEMPATE!$D$3:$D$83,MATCH('EXP GENERAL '!B88,DESEMPATE!$C$3:$C$83,0)),"")</f>
        <v>ESTRUCTURADOR COLOMBIA S.A.S.</v>
      </c>
      <c r="E88" s="22" t="s">
        <v>355</v>
      </c>
      <c r="F88" s="22" t="s">
        <v>148</v>
      </c>
      <c r="G88" s="22" t="s">
        <v>356</v>
      </c>
      <c r="H88" s="1115" t="s">
        <v>357</v>
      </c>
      <c r="I88" s="1388" t="s">
        <v>22</v>
      </c>
      <c r="J88" s="1388" t="s">
        <v>22</v>
      </c>
      <c r="K88" s="24">
        <v>0.5</v>
      </c>
      <c r="L88" s="25">
        <v>40099</v>
      </c>
      <c r="M88" s="1130">
        <v>40558</v>
      </c>
      <c r="N88" s="26">
        <v>2011</v>
      </c>
      <c r="O88" s="27">
        <v>535600</v>
      </c>
      <c r="P88" s="895">
        <v>4561047955</v>
      </c>
      <c r="Q88" s="1080" t="s">
        <v>151</v>
      </c>
      <c r="R88" s="19" t="s">
        <v>140</v>
      </c>
      <c r="S88" s="30" t="s">
        <v>140</v>
      </c>
      <c r="T88" s="31">
        <v>1</v>
      </c>
      <c r="U88" s="27">
        <v>4561047955</v>
      </c>
      <c r="V88" s="16">
        <v>8515.7728808812553</v>
      </c>
      <c r="W88" s="16">
        <v>4257.8864404406277</v>
      </c>
      <c r="X88" s="1506"/>
      <c r="Y88" s="1506"/>
      <c r="Z88" s="1388" t="str">
        <f>+IF(W88="","",IF(W88&gt;=PARAMETROS!$K$5,"CUMPLE","NO CUMPLE"))</f>
        <v>CUMPLE</v>
      </c>
      <c r="AA88" s="208">
        <v>17</v>
      </c>
      <c r="AB88" s="1485" t="s">
        <v>22</v>
      </c>
      <c r="AC88" s="1485"/>
      <c r="AD88" s="1485"/>
      <c r="AE88" s="1485" t="s">
        <v>22</v>
      </c>
      <c r="AF88" s="1485"/>
      <c r="AG88" s="1485"/>
      <c r="AH88" s="1485" t="s">
        <v>22</v>
      </c>
      <c r="AI88" s="1485"/>
      <c r="AJ88" s="1485"/>
      <c r="AK88" s="1388" t="s">
        <v>22</v>
      </c>
      <c r="AL88" s="1488"/>
      <c r="AM88" s="97"/>
      <c r="AN88" s="67"/>
    </row>
    <row r="89" spans="1:40" s="33" customFormat="1" ht="54" customHeight="1">
      <c r="A89" s="1510"/>
      <c r="B89" s="19" t="s">
        <v>354</v>
      </c>
      <c r="C89" s="782">
        <v>176</v>
      </c>
      <c r="D89" s="21" t="str">
        <f>+IFERROR(INDEX(DESEMPATE!$D$3:$D$83,MATCH('EXP GENERAL '!B89,DESEMPATE!$C$3:$C$83,0)),"")</f>
        <v>ESTRUCTURADOR COLOMBIA S.A.S.</v>
      </c>
      <c r="E89" s="37" t="s">
        <v>358</v>
      </c>
      <c r="F89" s="37" t="s">
        <v>148</v>
      </c>
      <c r="G89" s="37" t="s">
        <v>359</v>
      </c>
      <c r="H89" s="1115" t="s">
        <v>360</v>
      </c>
      <c r="I89" s="1388" t="s">
        <v>22</v>
      </c>
      <c r="J89" s="1388" t="s">
        <v>22</v>
      </c>
      <c r="K89" s="38">
        <v>0.5</v>
      </c>
      <c r="L89" s="25">
        <v>41533</v>
      </c>
      <c r="M89" s="25">
        <v>42369</v>
      </c>
      <c r="N89" s="26">
        <v>2015</v>
      </c>
      <c r="O89" s="27">
        <v>644350</v>
      </c>
      <c r="P89" s="895">
        <v>3374227837</v>
      </c>
      <c r="Q89" s="1080" t="s">
        <v>151</v>
      </c>
      <c r="R89" s="19" t="s">
        <v>140</v>
      </c>
      <c r="S89" s="30" t="s">
        <v>140</v>
      </c>
      <c r="T89" s="31">
        <v>1</v>
      </c>
      <c r="U89" s="27">
        <v>3374227837</v>
      </c>
      <c r="V89" s="16">
        <v>5236.6382199115387</v>
      </c>
      <c r="W89" s="16">
        <v>2618.3191099557694</v>
      </c>
      <c r="X89" s="1506"/>
      <c r="Y89" s="1506"/>
      <c r="Z89" s="1388" t="str">
        <f>+IF(W89="","",IF(W89&gt;=PARAMETROS!$K$5,"CUMPLE","NO CUMPLE"))</f>
        <v>CUMPLE</v>
      </c>
      <c r="AA89" s="208">
        <v>7</v>
      </c>
      <c r="AB89" s="1485" t="s">
        <v>22</v>
      </c>
      <c r="AC89" s="1485"/>
      <c r="AD89" s="1485"/>
      <c r="AE89" s="1485" t="s">
        <v>22</v>
      </c>
      <c r="AF89" s="1485"/>
      <c r="AG89" s="1485"/>
      <c r="AH89" s="1485" t="s">
        <v>22</v>
      </c>
      <c r="AI89" s="1485"/>
      <c r="AJ89" s="1485"/>
      <c r="AK89" s="1388" t="s">
        <v>22</v>
      </c>
      <c r="AL89" s="1488"/>
      <c r="AM89" s="121"/>
      <c r="AN89" s="67"/>
    </row>
    <row r="90" spans="1:40" s="43" customFormat="1" ht="69" customHeight="1">
      <c r="A90" s="1510"/>
      <c r="B90" s="19" t="s">
        <v>361</v>
      </c>
      <c r="C90" s="782">
        <v>188</v>
      </c>
      <c r="D90" s="21" t="str">
        <f>+IFERROR(INDEX(DESEMPATE!$D$3:$D$83,MATCH('EXP GENERAL '!B90,DESEMPATE!$C$3:$C$83,0)),"")</f>
        <v>PROES CONSULTORES S.A. SUCURSAL COLOMBIA</v>
      </c>
      <c r="E90" s="22" t="s">
        <v>362</v>
      </c>
      <c r="F90" s="22" t="s">
        <v>148</v>
      </c>
      <c r="G90" s="22" t="s">
        <v>311</v>
      </c>
      <c r="H90" s="23" t="s">
        <v>363</v>
      </c>
      <c r="I90" s="1388" t="s">
        <v>22</v>
      </c>
      <c r="J90" s="1388" t="s">
        <v>22</v>
      </c>
      <c r="K90" s="39">
        <v>1</v>
      </c>
      <c r="L90" s="40">
        <v>39673</v>
      </c>
      <c r="M90" s="41">
        <v>40678</v>
      </c>
      <c r="N90" s="26">
        <v>2011</v>
      </c>
      <c r="O90" s="27">
        <v>535600</v>
      </c>
      <c r="P90" s="898">
        <v>3323000</v>
      </c>
      <c r="Q90" s="1080" t="s">
        <v>179</v>
      </c>
      <c r="R90" s="898">
        <v>1</v>
      </c>
      <c r="S90" s="78">
        <v>3323000</v>
      </c>
      <c r="T90" s="29">
        <v>1805.37</v>
      </c>
      <c r="U90" s="27">
        <v>5999244510</v>
      </c>
      <c r="V90" s="16">
        <v>11200.97929424944</v>
      </c>
      <c r="W90" s="16">
        <v>11200.97929424944</v>
      </c>
      <c r="X90" s="1506"/>
      <c r="Y90" s="1506"/>
      <c r="Z90" s="1388" t="str">
        <f>+IF(W90="","",IF(W90&gt;=PARAMETROS!$K$5,"CUMPLE","NO CUMPLE"))</f>
        <v>CUMPLE</v>
      </c>
      <c r="AA90" s="208">
        <v>6</v>
      </c>
      <c r="AB90" s="1485" t="s">
        <v>22</v>
      </c>
      <c r="AC90" s="1485"/>
      <c r="AD90" s="1485"/>
      <c r="AE90" s="1485" t="s">
        <v>22</v>
      </c>
      <c r="AF90" s="1485"/>
      <c r="AG90" s="1485"/>
      <c r="AH90" s="1485" t="s">
        <v>22</v>
      </c>
      <c r="AI90" s="1485"/>
      <c r="AJ90" s="1485"/>
      <c r="AK90" s="1388" t="s">
        <v>22</v>
      </c>
      <c r="AL90" s="1488"/>
      <c r="AM90" s="97"/>
      <c r="AN90" s="115"/>
    </row>
    <row r="91" spans="1:40" s="33" customFormat="1" ht="15.75" customHeight="1">
      <c r="A91" s="1510"/>
      <c r="B91" s="19"/>
      <c r="C91" s="782"/>
      <c r="D91" s="21" t="str">
        <f>+IFERROR(INDEX(DESEMPATE!$D$3:$D$83,MATCH('EXP GENERAL '!B91,DESEMPATE!$C$3:$C$83,0)),"")</f>
        <v/>
      </c>
      <c r="E91" s="22"/>
      <c r="F91" s="22"/>
      <c r="G91" s="22"/>
      <c r="H91" s="23"/>
      <c r="I91" s="1388"/>
      <c r="J91" s="1388"/>
      <c r="K91" s="24"/>
      <c r="L91" s="25"/>
      <c r="M91" s="25"/>
      <c r="N91" s="26" t="str">
        <f>IF(M91="","",YEAR(M91))</f>
        <v/>
      </c>
      <c r="O91" s="27" t="str">
        <f>+IFERROR(INDEX(PARAMETROS!$B$46:$B$72,MATCH(N91,PARAMETROS!$A$46:$A$72,0)),"")</f>
        <v/>
      </c>
      <c r="P91" s="895"/>
      <c r="Q91" s="1080"/>
      <c r="R91" s="19"/>
      <c r="S91" s="30"/>
      <c r="T91" s="31"/>
      <c r="U91" s="27" t="str">
        <f>IF(T91&lt;&gt;"",P91*T91,"")</f>
        <v/>
      </c>
      <c r="V91" s="16" t="str">
        <f>+IFERROR(U91/O91,"")</f>
        <v/>
      </c>
      <c r="W91" s="16" t="str">
        <f>IFERROR(V91*K91,"")</f>
        <v/>
      </c>
      <c r="X91" s="1506"/>
      <c r="Y91" s="1506"/>
      <c r="Z91" s="1388" t="str">
        <f>+IF(W91="","",IF(W91&gt;=PARAMETROS!$K$5,"CUMPLE","NO CUMPLE"))</f>
        <v/>
      </c>
      <c r="AA91" s="277"/>
      <c r="AB91" s="1485"/>
      <c r="AC91" s="1485"/>
      <c r="AD91" s="1485"/>
      <c r="AE91" s="1485"/>
      <c r="AF91" s="1485"/>
      <c r="AG91" s="1485"/>
      <c r="AH91" s="1485"/>
      <c r="AI91" s="1485"/>
      <c r="AJ91" s="1485"/>
      <c r="AK91" s="1388"/>
      <c r="AL91" s="1488"/>
      <c r="AM91" s="97"/>
      <c r="AN91" s="67"/>
    </row>
    <row r="92" spans="1:40" s="179" customFormat="1" ht="18" customHeight="1" thickBot="1">
      <c r="A92" s="1511"/>
      <c r="B92" s="99"/>
      <c r="C92" s="784"/>
      <c r="D92" s="101" t="str">
        <f>+IFERROR(INDEX(DESEMPATE!$D$3:$D$83,MATCH('EXP GENERAL '!B92,DESEMPATE!$C$3:$C$83,0)),"")</f>
        <v/>
      </c>
      <c r="E92" s="102"/>
      <c r="F92" s="102"/>
      <c r="G92" s="102"/>
      <c r="H92" s="103"/>
      <c r="I92" s="1392"/>
      <c r="J92" s="1392"/>
      <c r="K92" s="104"/>
      <c r="L92" s="105"/>
      <c r="M92" s="105"/>
      <c r="N92" s="106" t="str">
        <f>IF(M92="","",YEAR(M92))</f>
        <v/>
      </c>
      <c r="O92" s="328" t="str">
        <f>+IFERROR(INDEX(PARAMETROS!$B$46:$B$72,MATCH(N92,PARAMETROS!$A$46:$A$72,0)),"")</f>
        <v/>
      </c>
      <c r="P92" s="896"/>
      <c r="Q92" s="475"/>
      <c r="R92" s="99"/>
      <c r="S92" s="110"/>
      <c r="T92" s="111"/>
      <c r="U92" s="107" t="str">
        <f>IF(T92&lt;&gt;"",P92*T92,"")</f>
        <v/>
      </c>
      <c r="V92" s="112" t="str">
        <f>+IFERROR(U92/O92,"")</f>
        <v/>
      </c>
      <c r="W92" s="112" t="str">
        <f>IFERROR(V92*K92,"")</f>
        <v/>
      </c>
      <c r="X92" s="1507"/>
      <c r="Y92" s="1507"/>
      <c r="Z92" s="1402" t="str">
        <f>+IF(W92="","",IF(W92&gt;=PARAMETROS!$K$5,"CUMPLE","NO CUMPLE"))</f>
        <v/>
      </c>
      <c r="AA92" s="213"/>
      <c r="AB92" s="1486"/>
      <c r="AC92" s="1486"/>
      <c r="AD92" s="1486"/>
      <c r="AE92" s="1486"/>
      <c r="AF92" s="1486"/>
      <c r="AG92" s="1486"/>
      <c r="AH92" s="1486"/>
      <c r="AI92" s="1486"/>
      <c r="AJ92" s="1486"/>
      <c r="AK92" s="1392"/>
      <c r="AL92" s="1489"/>
      <c r="AM92" s="113"/>
      <c r="AN92" s="903"/>
    </row>
    <row r="93" spans="1:40" s="58" customFormat="1" ht="119.25" customHeight="1">
      <c r="A93" s="1509" t="s">
        <v>36</v>
      </c>
      <c r="B93" s="233" t="s">
        <v>364</v>
      </c>
      <c r="C93" s="234">
        <v>169</v>
      </c>
      <c r="D93" s="274" t="s">
        <v>365</v>
      </c>
      <c r="E93" s="235" t="s">
        <v>147</v>
      </c>
      <c r="F93" s="235" t="s">
        <v>148</v>
      </c>
      <c r="G93" s="235" t="s">
        <v>366</v>
      </c>
      <c r="H93" s="235" t="s">
        <v>367</v>
      </c>
      <c r="I93" s="1393" t="s">
        <v>22</v>
      </c>
      <c r="J93" s="1393" t="s">
        <v>22</v>
      </c>
      <c r="K93" s="86">
        <v>0.51</v>
      </c>
      <c r="L93" s="87">
        <v>41878</v>
      </c>
      <c r="M93" s="157">
        <v>42414</v>
      </c>
      <c r="N93" s="88">
        <v>2016</v>
      </c>
      <c r="O93" s="298">
        <v>689554</v>
      </c>
      <c r="P93" s="996">
        <v>7951355182</v>
      </c>
      <c r="Q93" s="91" t="s">
        <v>151</v>
      </c>
      <c r="R93" s="81" t="s">
        <v>140</v>
      </c>
      <c r="S93" s="92" t="s">
        <v>140</v>
      </c>
      <c r="T93" s="79">
        <v>1</v>
      </c>
      <c r="U93" s="89">
        <v>7951355182</v>
      </c>
      <c r="V93" s="94">
        <v>11531.156634578292</v>
      </c>
      <c r="W93" s="94">
        <v>5880.889883634929</v>
      </c>
      <c r="X93" s="1505" t="str">
        <f>IF(W93="","",IF(SUM(W93:W97)&gt;=PARAMETROS!$G$5,"CUMPLE","NO CUMPLE"))</f>
        <v>CUMPLE</v>
      </c>
      <c r="Y93" s="1505" t="str">
        <f>IF(W93="","",IF(W93+W94&gt;=PARAMETROS!$I$5,"CUMPLE","NO CUMPLE"))</f>
        <v>CUMPLE</v>
      </c>
      <c r="Z93" s="1393" t="str">
        <f>+IF(W93="","",IF(W93&gt;=PARAMETROS!$K$5,"CUMPLE","NO CUMPLE"))</f>
        <v>CUMPLE</v>
      </c>
      <c r="AA93" s="95"/>
      <c r="AB93" s="1484"/>
      <c r="AC93" s="1484"/>
      <c r="AD93" s="1484"/>
      <c r="AE93" s="1484"/>
      <c r="AF93" s="1484"/>
      <c r="AG93" s="1484"/>
      <c r="AH93" s="1484"/>
      <c r="AI93" s="1484"/>
      <c r="AJ93" s="1484"/>
      <c r="AK93" s="1393" t="s">
        <v>22</v>
      </c>
      <c r="AL93" s="1487" t="s">
        <v>21</v>
      </c>
      <c r="AM93" s="1124"/>
      <c r="AN93" s="791"/>
    </row>
    <row r="94" spans="1:40" s="58" customFormat="1" ht="42.75" customHeight="1">
      <c r="A94" s="1510"/>
      <c r="B94" s="687" t="s">
        <v>368</v>
      </c>
      <c r="C94" s="910">
        <v>239</v>
      </c>
      <c r="D94" s="489" t="s">
        <v>369</v>
      </c>
      <c r="E94" s="716" t="s">
        <v>370</v>
      </c>
      <c r="F94" s="716" t="s">
        <v>139</v>
      </c>
      <c r="G94" s="716"/>
      <c r="H94" s="716" t="s">
        <v>371</v>
      </c>
      <c r="I94" s="1388" t="s">
        <v>22</v>
      </c>
      <c r="J94" s="1388" t="s">
        <v>22</v>
      </c>
      <c r="K94" s="34">
        <v>1</v>
      </c>
      <c r="L94" s="25">
        <v>39329</v>
      </c>
      <c r="M94" s="25">
        <v>40578</v>
      </c>
      <c r="N94" s="26">
        <v>2011</v>
      </c>
      <c r="O94" s="27">
        <v>535600</v>
      </c>
      <c r="P94" s="995">
        <v>1551350.29</v>
      </c>
      <c r="Q94" s="1080" t="s">
        <v>142</v>
      </c>
      <c r="R94" s="1004">
        <v>1.3747400000000001</v>
      </c>
      <c r="S94" s="30">
        <v>2132703.2976746</v>
      </c>
      <c r="T94" s="79">
        <v>1863.03</v>
      </c>
      <c r="U94" s="27">
        <v>3973290224.6667099</v>
      </c>
      <c r="V94" s="16">
        <v>7418.3910094598768</v>
      </c>
      <c r="W94" s="16">
        <v>7418.3910094598768</v>
      </c>
      <c r="X94" s="1506"/>
      <c r="Y94" s="1506"/>
      <c r="Z94" s="1388" t="str">
        <f>+IF(W94="","",IF(W94&gt;=PARAMETROS!$K$5,"CUMPLE","NO CUMPLE"))</f>
        <v>CUMPLE</v>
      </c>
      <c r="AA94" s="32">
        <v>5</v>
      </c>
      <c r="AB94" s="1485" t="s">
        <v>129</v>
      </c>
      <c r="AC94" s="1485"/>
      <c r="AD94" s="1485"/>
      <c r="AE94" s="1485" t="s">
        <v>22</v>
      </c>
      <c r="AF94" s="1485"/>
      <c r="AG94" s="1485"/>
      <c r="AH94" s="1485" t="s">
        <v>22</v>
      </c>
      <c r="AI94" s="1485"/>
      <c r="AJ94" s="1485"/>
      <c r="AK94" s="1388" t="s">
        <v>22</v>
      </c>
      <c r="AL94" s="1488"/>
      <c r="AM94" s="98"/>
      <c r="AN94" s="791"/>
    </row>
    <row r="95" spans="1:40" s="58" customFormat="1" ht="44.25" customHeight="1">
      <c r="A95" s="1510"/>
      <c r="B95" s="687" t="s">
        <v>368</v>
      </c>
      <c r="C95" s="910">
        <v>258</v>
      </c>
      <c r="D95" s="489" t="s">
        <v>369</v>
      </c>
      <c r="E95" s="716" t="s">
        <v>370</v>
      </c>
      <c r="F95" s="716" t="s">
        <v>139</v>
      </c>
      <c r="G95" s="716"/>
      <c r="H95" s="716" t="s">
        <v>372</v>
      </c>
      <c r="I95" s="1388" t="s">
        <v>22</v>
      </c>
      <c r="J95" s="1388" t="s">
        <v>22</v>
      </c>
      <c r="K95" s="24">
        <v>1</v>
      </c>
      <c r="L95" s="25">
        <v>37774</v>
      </c>
      <c r="M95" s="25">
        <v>38597</v>
      </c>
      <c r="N95" s="26">
        <v>2005</v>
      </c>
      <c r="O95" s="787">
        <v>381500</v>
      </c>
      <c r="P95" s="996">
        <v>1207476.71</v>
      </c>
      <c r="Q95" s="1080" t="s">
        <v>142</v>
      </c>
      <c r="R95" s="1004">
        <v>1.2487999999999999</v>
      </c>
      <c r="S95" s="30">
        <v>1507896.915448</v>
      </c>
      <c r="T95" s="79">
        <v>2298.85</v>
      </c>
      <c r="U95" s="27">
        <v>3466428824.0776343</v>
      </c>
      <c r="V95" s="16">
        <v>9086.3140867041529</v>
      </c>
      <c r="W95" s="16">
        <v>9086.3140867041529</v>
      </c>
      <c r="X95" s="1506"/>
      <c r="Y95" s="1506"/>
      <c r="Z95" s="1388" t="str">
        <f>+IF(W95="","",IF(W95&gt;=PARAMETROS!$K$5,"CUMPLE","NO CUMPLE"))</f>
        <v>CUMPLE</v>
      </c>
      <c r="AA95" s="32">
        <v>6</v>
      </c>
      <c r="AB95" s="1485" t="s">
        <v>22</v>
      </c>
      <c r="AC95" s="1485"/>
      <c r="AD95" s="1485"/>
      <c r="AE95" s="1485" t="s">
        <v>129</v>
      </c>
      <c r="AF95" s="1485"/>
      <c r="AG95" s="1485"/>
      <c r="AH95" s="1485" t="s">
        <v>22</v>
      </c>
      <c r="AI95" s="1485"/>
      <c r="AJ95" s="1485"/>
      <c r="AK95" s="1388" t="s">
        <v>22</v>
      </c>
      <c r="AL95" s="1488"/>
      <c r="AM95" s="98"/>
      <c r="AN95" s="791"/>
    </row>
    <row r="96" spans="1:40" s="58" customFormat="1" ht="65.25" customHeight="1">
      <c r="A96" s="1510"/>
      <c r="B96" s="687" t="s">
        <v>368</v>
      </c>
      <c r="C96" s="910">
        <v>264</v>
      </c>
      <c r="D96" s="489" t="s">
        <v>369</v>
      </c>
      <c r="E96" s="716" t="s">
        <v>370</v>
      </c>
      <c r="F96" s="716" t="s">
        <v>139</v>
      </c>
      <c r="G96" s="716"/>
      <c r="H96" s="716" t="s">
        <v>373</v>
      </c>
      <c r="I96" s="1388" t="s">
        <v>22</v>
      </c>
      <c r="J96" s="1388" t="s">
        <v>22</v>
      </c>
      <c r="K96" s="341">
        <v>0.33300000000000002</v>
      </c>
      <c r="L96" s="25">
        <v>40424</v>
      </c>
      <c r="M96" s="25">
        <v>40728</v>
      </c>
      <c r="N96" s="26">
        <v>2011</v>
      </c>
      <c r="O96" s="27">
        <v>535600</v>
      </c>
      <c r="P96" s="997">
        <v>1156386.77</v>
      </c>
      <c r="Q96" s="1080" t="s">
        <v>142</v>
      </c>
      <c r="R96" s="1004">
        <v>1.45208</v>
      </c>
      <c r="S96" s="30">
        <v>1679166.1009816001</v>
      </c>
      <c r="T96" s="79">
        <v>1762.59</v>
      </c>
      <c r="U96" s="27">
        <v>2959681377.9291582</v>
      </c>
      <c r="V96" s="16">
        <v>5525.9174345204601</v>
      </c>
      <c r="W96" s="16">
        <v>1840.1305056953133</v>
      </c>
      <c r="X96" s="1506"/>
      <c r="Y96" s="1506"/>
      <c r="Z96" s="1388" t="str">
        <f>+IF(W96="","",IF(W96&gt;=PARAMETROS!$K$5,"CUMPLE","NO CUMPLE"))</f>
        <v>CUMPLE</v>
      </c>
      <c r="AA96" s="32">
        <v>29</v>
      </c>
      <c r="AB96" s="1496" t="s">
        <v>22</v>
      </c>
      <c r="AC96" s="1497"/>
      <c r="AD96" s="1498"/>
      <c r="AE96" s="1496" t="s">
        <v>22</v>
      </c>
      <c r="AF96" s="1497"/>
      <c r="AG96" s="1498"/>
      <c r="AH96" s="1496" t="s">
        <v>22</v>
      </c>
      <c r="AI96" s="1497"/>
      <c r="AJ96" s="1498"/>
      <c r="AK96" s="1388" t="s">
        <v>22</v>
      </c>
      <c r="AL96" s="1488"/>
      <c r="AM96" s="98"/>
      <c r="AN96" s="791"/>
    </row>
    <row r="97" spans="1:40" s="58" customFormat="1" ht="11.25" customHeight="1">
      <c r="A97" s="1510"/>
      <c r="B97" s="687"/>
      <c r="C97" s="910"/>
      <c r="D97" s="489"/>
      <c r="E97" s="716"/>
      <c r="F97" s="716"/>
      <c r="G97" s="716"/>
      <c r="H97" s="716"/>
      <c r="I97" s="1388"/>
      <c r="J97" s="1388"/>
      <c r="K97" s="24"/>
      <c r="L97" s="25"/>
      <c r="M97" s="25"/>
      <c r="N97" s="26" t="s">
        <v>158</v>
      </c>
      <c r="O97" s="27" t="s">
        <v>158</v>
      </c>
      <c r="P97" s="997"/>
      <c r="Q97" s="1080"/>
      <c r="R97" s="19"/>
      <c r="S97" s="30"/>
      <c r="T97" s="79" t="s">
        <v>158</v>
      </c>
      <c r="U97" s="27" t="s">
        <v>158</v>
      </c>
      <c r="V97" s="16" t="s">
        <v>158</v>
      </c>
      <c r="W97" s="16" t="s">
        <v>158</v>
      </c>
      <c r="X97" s="1506"/>
      <c r="Y97" s="1506"/>
      <c r="Z97" s="1388"/>
      <c r="AA97" s="32"/>
      <c r="AB97" s="1485"/>
      <c r="AC97" s="1485"/>
      <c r="AD97" s="1485"/>
      <c r="AE97" s="1485"/>
      <c r="AF97" s="1485"/>
      <c r="AG97" s="1485"/>
      <c r="AH97" s="1485"/>
      <c r="AI97" s="1485"/>
      <c r="AJ97" s="1485"/>
      <c r="AK97" s="1388"/>
      <c r="AL97" s="1488"/>
      <c r="AM97" s="98"/>
      <c r="AN97" s="791"/>
    </row>
    <row r="98" spans="1:40" s="58" customFormat="1" ht="6" customHeight="1" thickBot="1">
      <c r="A98" s="1511"/>
      <c r="B98" s="476"/>
      <c r="C98" s="1075"/>
      <c r="D98" s="493" t="s">
        <v>158</v>
      </c>
      <c r="E98" s="718"/>
      <c r="F98" s="718"/>
      <c r="G98" s="718"/>
      <c r="H98" s="718"/>
      <c r="I98" s="1392"/>
      <c r="J98" s="1392"/>
      <c r="K98" s="104"/>
      <c r="L98" s="105"/>
      <c r="M98" s="105"/>
      <c r="N98" s="106" t="s">
        <v>158</v>
      </c>
      <c r="O98" s="75" t="s">
        <v>158</v>
      </c>
      <c r="P98" s="998"/>
      <c r="Q98" s="475"/>
      <c r="R98" s="99"/>
      <c r="S98" s="110"/>
      <c r="T98" s="111" t="s">
        <v>158</v>
      </c>
      <c r="U98" s="107" t="s">
        <v>158</v>
      </c>
      <c r="V98" s="112" t="s">
        <v>158</v>
      </c>
      <c r="W98" s="112" t="s">
        <v>158</v>
      </c>
      <c r="X98" s="1507"/>
      <c r="Y98" s="1507"/>
      <c r="Z98" s="1392"/>
      <c r="AA98" s="112"/>
      <c r="AB98" s="1486"/>
      <c r="AC98" s="1486"/>
      <c r="AD98" s="1486"/>
      <c r="AE98" s="1486"/>
      <c r="AF98" s="1486"/>
      <c r="AG98" s="1486"/>
      <c r="AH98" s="1486"/>
      <c r="AI98" s="1486"/>
      <c r="AJ98" s="1486"/>
      <c r="AK98" s="1392"/>
      <c r="AL98" s="1489"/>
      <c r="AM98" s="124"/>
      <c r="AN98" s="791"/>
    </row>
    <row r="99" spans="1:40" s="58" customFormat="1" ht="30" customHeight="1">
      <c r="A99" s="1509" t="s">
        <v>37</v>
      </c>
      <c r="B99" s="233" t="s">
        <v>374</v>
      </c>
      <c r="C99" s="234" t="s">
        <v>375</v>
      </c>
      <c r="D99" s="274" t="s">
        <v>376</v>
      </c>
      <c r="E99" s="235" t="s">
        <v>214</v>
      </c>
      <c r="F99" s="235" t="s">
        <v>139</v>
      </c>
      <c r="G99" s="235" t="s">
        <v>377</v>
      </c>
      <c r="H99" s="235" t="s">
        <v>378</v>
      </c>
      <c r="I99" s="1394" t="s">
        <v>22</v>
      </c>
      <c r="J99" s="1394" t="s">
        <v>22</v>
      </c>
      <c r="K99" s="73">
        <v>0.5</v>
      </c>
      <c r="L99" s="74">
        <v>37915</v>
      </c>
      <c r="M99" s="74">
        <v>40421</v>
      </c>
      <c r="N99" s="116">
        <v>2010</v>
      </c>
      <c r="O99" s="298">
        <v>515000</v>
      </c>
      <c r="P99" s="996">
        <v>3262404.56</v>
      </c>
      <c r="Q99" s="1343" t="s">
        <v>142</v>
      </c>
      <c r="R99" s="68">
        <v>1.2700199999999999</v>
      </c>
      <c r="S99" s="30">
        <v>4143319.0392911998</v>
      </c>
      <c r="T99" s="79">
        <v>1823.74</v>
      </c>
      <c r="U99" s="75">
        <v>7556336664.7169323</v>
      </c>
      <c r="V99" s="80">
        <v>14672.49837809113</v>
      </c>
      <c r="W99" s="80">
        <v>7336.2491890455649</v>
      </c>
      <c r="X99" s="1484" t="str">
        <f>IF(W99="","",IF(SUM(W99:W103)&gt;=PARAMETROS!$G$5,"CUMPLE","NO CUMPLE"))</f>
        <v>CUMPLE</v>
      </c>
      <c r="Y99" s="1484" t="str">
        <f>IF(W99="","",IF(W99&gt;=PARAMETROS!$I$5,"CUMPLE","NO CUMPLE"))</f>
        <v>CUMPLE</v>
      </c>
      <c r="Z99" s="1393" t="str">
        <f>+IF(W99="","",IF(W99&gt;=PARAMETROS!$K$5,"CUMPLE","NO CUMPLE"))</f>
        <v>CUMPLE</v>
      </c>
      <c r="AA99" s="80">
        <v>5</v>
      </c>
      <c r="AB99" s="1484" t="s">
        <v>22</v>
      </c>
      <c r="AC99" s="1484"/>
      <c r="AD99" s="1484"/>
      <c r="AE99" s="1508" t="s">
        <v>22</v>
      </c>
      <c r="AF99" s="1508"/>
      <c r="AG99" s="1508"/>
      <c r="AH99" s="1508" t="s">
        <v>22</v>
      </c>
      <c r="AI99" s="1508"/>
      <c r="AJ99" s="1508"/>
      <c r="AK99" s="1394" t="s">
        <v>22</v>
      </c>
      <c r="AL99" s="1487" t="s">
        <v>21</v>
      </c>
      <c r="AM99" s="98"/>
      <c r="AN99" s="791"/>
    </row>
    <row r="100" spans="1:40" s="58" customFormat="1" ht="78.75" customHeight="1">
      <c r="A100" s="1510"/>
      <c r="B100" s="687" t="s">
        <v>379</v>
      </c>
      <c r="C100" s="910">
        <v>113</v>
      </c>
      <c r="D100" s="489" t="s">
        <v>380</v>
      </c>
      <c r="E100" s="716" t="s">
        <v>155</v>
      </c>
      <c r="F100" s="716" t="s">
        <v>148</v>
      </c>
      <c r="G100" s="716" t="s">
        <v>381</v>
      </c>
      <c r="H100" s="716" t="s">
        <v>382</v>
      </c>
      <c r="I100" s="1388" t="s">
        <v>22</v>
      </c>
      <c r="J100" s="1388" t="s">
        <v>22</v>
      </c>
      <c r="K100" s="24">
        <v>0.75</v>
      </c>
      <c r="L100" s="25">
        <v>38343</v>
      </c>
      <c r="M100" s="25">
        <v>40482</v>
      </c>
      <c r="N100" s="26">
        <v>2010</v>
      </c>
      <c r="O100" s="27">
        <v>515000</v>
      </c>
      <c r="P100" s="997">
        <v>5279626507</v>
      </c>
      <c r="Q100" s="1080" t="s">
        <v>151</v>
      </c>
      <c r="R100" s="19" t="s">
        <v>140</v>
      </c>
      <c r="S100" s="30" t="s">
        <v>140</v>
      </c>
      <c r="T100" s="79">
        <v>1</v>
      </c>
      <c r="U100" s="27">
        <v>5279626507</v>
      </c>
      <c r="V100" s="16">
        <v>10251.701955339806</v>
      </c>
      <c r="W100" s="16">
        <v>7688.7764665048544</v>
      </c>
      <c r="X100" s="1485"/>
      <c r="Y100" s="1485"/>
      <c r="Z100" s="1388" t="str">
        <f>+IF(W100="","",IF(W100&gt;=PARAMETROS!$K$5,"CUMPLE","NO CUMPLE"))</f>
        <v>CUMPLE</v>
      </c>
      <c r="AA100" s="16">
        <v>3</v>
      </c>
      <c r="AB100" s="1485" t="s">
        <v>22</v>
      </c>
      <c r="AC100" s="1485"/>
      <c r="AD100" s="1485"/>
      <c r="AE100" s="1485" t="s">
        <v>22</v>
      </c>
      <c r="AF100" s="1485"/>
      <c r="AG100" s="1485"/>
      <c r="AH100" s="1485" t="s">
        <v>129</v>
      </c>
      <c r="AI100" s="1485"/>
      <c r="AJ100" s="1485"/>
      <c r="AK100" s="1388" t="s">
        <v>22</v>
      </c>
      <c r="AL100" s="1488"/>
      <c r="AM100" s="98"/>
      <c r="AN100" s="791"/>
    </row>
    <row r="101" spans="1:40" s="58" customFormat="1" ht="51.75" customHeight="1">
      <c r="A101" s="1510"/>
      <c r="B101" s="687" t="s">
        <v>383</v>
      </c>
      <c r="C101" s="910">
        <v>113</v>
      </c>
      <c r="D101" s="489" t="s">
        <v>384</v>
      </c>
      <c r="E101" s="716" t="s">
        <v>155</v>
      </c>
      <c r="F101" s="716" t="s">
        <v>148</v>
      </c>
      <c r="G101" s="716" t="s">
        <v>381</v>
      </c>
      <c r="H101" s="716" t="s">
        <v>382</v>
      </c>
      <c r="I101" s="1388" t="s">
        <v>22</v>
      </c>
      <c r="J101" s="1388" t="s">
        <v>22</v>
      </c>
      <c r="K101" s="24">
        <v>0.25</v>
      </c>
      <c r="L101" s="25">
        <v>38343</v>
      </c>
      <c r="M101" s="25">
        <v>40482</v>
      </c>
      <c r="N101" s="26">
        <v>2010</v>
      </c>
      <c r="O101" s="27">
        <v>515000</v>
      </c>
      <c r="P101" s="997">
        <v>5279626507</v>
      </c>
      <c r="Q101" s="1080" t="s">
        <v>151</v>
      </c>
      <c r="R101" s="19" t="s">
        <v>140</v>
      </c>
      <c r="S101" s="30" t="s">
        <v>140</v>
      </c>
      <c r="T101" s="79">
        <v>1</v>
      </c>
      <c r="U101" s="27">
        <v>5279626507</v>
      </c>
      <c r="V101" s="16">
        <v>10251.701955339806</v>
      </c>
      <c r="W101" s="16">
        <v>2562.9254888349515</v>
      </c>
      <c r="X101" s="1485"/>
      <c r="Y101" s="1485"/>
      <c r="Z101" s="1388" t="str">
        <f>+IF(W101="","",IF(W101&gt;=PARAMETROS!$K$5,"CUMPLE","NO CUMPLE"))</f>
        <v>CUMPLE</v>
      </c>
      <c r="AA101" s="16">
        <v>7</v>
      </c>
      <c r="AB101" s="1485" t="s">
        <v>22</v>
      </c>
      <c r="AC101" s="1485"/>
      <c r="AD101" s="1485"/>
      <c r="AE101" s="1485" t="s">
        <v>22</v>
      </c>
      <c r="AF101" s="1485"/>
      <c r="AG101" s="1485"/>
      <c r="AH101" s="1485" t="s">
        <v>129</v>
      </c>
      <c r="AI101" s="1485"/>
      <c r="AJ101" s="1485"/>
      <c r="AK101" s="1388" t="s">
        <v>22</v>
      </c>
      <c r="AL101" s="1488"/>
      <c r="AM101" s="97"/>
      <c r="AN101" s="791"/>
    </row>
    <row r="102" spans="1:40" s="58" customFormat="1" ht="65.25" customHeight="1">
      <c r="A102" s="1510"/>
      <c r="B102" s="687" t="s">
        <v>383</v>
      </c>
      <c r="C102" s="910">
        <v>111</v>
      </c>
      <c r="D102" s="489" t="s">
        <v>384</v>
      </c>
      <c r="E102" s="716" t="s">
        <v>155</v>
      </c>
      <c r="F102" s="716" t="s">
        <v>148</v>
      </c>
      <c r="G102" s="716" t="s">
        <v>385</v>
      </c>
      <c r="H102" s="716" t="s">
        <v>386</v>
      </c>
      <c r="I102" s="1388" t="s">
        <v>22</v>
      </c>
      <c r="J102" s="1388" t="s">
        <v>22</v>
      </c>
      <c r="K102" s="24">
        <v>0.95</v>
      </c>
      <c r="L102" s="25">
        <v>39479</v>
      </c>
      <c r="M102" s="25">
        <v>40056</v>
      </c>
      <c r="N102" s="26">
        <v>2009</v>
      </c>
      <c r="O102" s="27">
        <v>496900</v>
      </c>
      <c r="P102" s="997">
        <v>988262400</v>
      </c>
      <c r="Q102" s="1080" t="s">
        <v>151</v>
      </c>
      <c r="R102" s="19" t="s">
        <v>140</v>
      </c>
      <c r="S102" s="30" t="s">
        <v>140</v>
      </c>
      <c r="T102" s="79">
        <v>1</v>
      </c>
      <c r="U102" s="27">
        <v>988262400</v>
      </c>
      <c r="V102" s="16">
        <v>1988.8557053733145</v>
      </c>
      <c r="W102" s="16">
        <v>1889.4129201046487</v>
      </c>
      <c r="X102" s="1485"/>
      <c r="Y102" s="1485"/>
      <c r="Z102" s="1388" t="str">
        <f>+IF(W102="","",IF(W102&gt;=PARAMETROS!$K$5,"CUMPLE","NO CUMPLE"))</f>
        <v>CUMPLE</v>
      </c>
      <c r="AA102" s="16">
        <v>8</v>
      </c>
      <c r="AB102" s="1485" t="s">
        <v>22</v>
      </c>
      <c r="AC102" s="1485"/>
      <c r="AD102" s="1485"/>
      <c r="AE102" s="1485" t="s">
        <v>22</v>
      </c>
      <c r="AF102" s="1485"/>
      <c r="AG102" s="1485"/>
      <c r="AH102" s="1485" t="s">
        <v>22</v>
      </c>
      <c r="AI102" s="1485"/>
      <c r="AJ102" s="1485"/>
      <c r="AK102" s="1388" t="s">
        <v>22</v>
      </c>
      <c r="AL102" s="1488"/>
      <c r="AM102" s="97"/>
      <c r="AN102" s="791"/>
    </row>
    <row r="103" spans="1:40" s="58" customFormat="1" ht="11.25" customHeight="1">
      <c r="A103" s="1510"/>
      <c r="B103" s="687"/>
      <c r="C103" s="910"/>
      <c r="D103" s="489" t="s">
        <v>158</v>
      </c>
      <c r="E103" s="716"/>
      <c r="F103" s="716"/>
      <c r="G103" s="716"/>
      <c r="H103" s="716"/>
      <c r="I103" s="1388"/>
      <c r="J103" s="1388"/>
      <c r="K103" s="24"/>
      <c r="L103" s="25"/>
      <c r="M103" s="25"/>
      <c r="N103" s="26" t="s">
        <v>158</v>
      </c>
      <c r="O103" s="27" t="s">
        <v>158</v>
      </c>
      <c r="P103" s="997"/>
      <c r="Q103" s="1080"/>
      <c r="R103" s="19"/>
      <c r="S103" s="30"/>
      <c r="T103" s="79" t="s">
        <v>158</v>
      </c>
      <c r="U103" s="27" t="s">
        <v>158</v>
      </c>
      <c r="V103" s="16" t="s">
        <v>158</v>
      </c>
      <c r="W103" s="16" t="s">
        <v>158</v>
      </c>
      <c r="X103" s="1485"/>
      <c r="Y103" s="1485"/>
      <c r="Z103" s="1388"/>
      <c r="AA103" s="16"/>
      <c r="AB103" s="1485"/>
      <c r="AC103" s="1485"/>
      <c r="AD103" s="1485"/>
      <c r="AE103" s="1485"/>
      <c r="AF103" s="1485"/>
      <c r="AG103" s="1485"/>
      <c r="AH103" s="1485"/>
      <c r="AI103" s="1485"/>
      <c r="AJ103" s="1485"/>
      <c r="AK103" s="1388"/>
      <c r="AL103" s="1488"/>
      <c r="AM103" s="97"/>
      <c r="AN103" s="791"/>
    </row>
    <row r="104" spans="1:40" s="58" customFormat="1" ht="14.25" customHeight="1" thickBot="1">
      <c r="A104" s="1511"/>
      <c r="B104" s="476"/>
      <c r="C104" s="1075"/>
      <c r="D104" s="493" t="s">
        <v>158</v>
      </c>
      <c r="E104" s="718"/>
      <c r="F104" s="718"/>
      <c r="G104" s="718"/>
      <c r="H104" s="718"/>
      <c r="I104" s="1392"/>
      <c r="J104" s="1392"/>
      <c r="K104" s="104"/>
      <c r="L104" s="105"/>
      <c r="M104" s="105"/>
      <c r="N104" s="106" t="s">
        <v>158</v>
      </c>
      <c r="O104" s="75" t="s">
        <v>158</v>
      </c>
      <c r="P104" s="998"/>
      <c r="Q104" s="475"/>
      <c r="R104" s="99"/>
      <c r="S104" s="110"/>
      <c r="T104" s="111" t="s">
        <v>158</v>
      </c>
      <c r="U104" s="107" t="s">
        <v>158</v>
      </c>
      <c r="V104" s="112" t="s">
        <v>158</v>
      </c>
      <c r="W104" s="112" t="s">
        <v>158</v>
      </c>
      <c r="X104" s="1486"/>
      <c r="Y104" s="1486"/>
      <c r="Z104" s="1392"/>
      <c r="AA104" s="112"/>
      <c r="AB104" s="1486"/>
      <c r="AC104" s="1486"/>
      <c r="AD104" s="1486"/>
      <c r="AE104" s="1486"/>
      <c r="AF104" s="1486"/>
      <c r="AG104" s="1486"/>
      <c r="AH104" s="1486"/>
      <c r="AI104" s="1486"/>
      <c r="AJ104" s="1486"/>
      <c r="AK104" s="1392"/>
      <c r="AL104" s="1489"/>
      <c r="AM104" s="113"/>
      <c r="AN104" s="791"/>
    </row>
    <row r="105" spans="1:40" s="58" customFormat="1" ht="65.25" customHeight="1">
      <c r="A105" s="1509" t="s">
        <v>38</v>
      </c>
      <c r="B105" s="233" t="s">
        <v>387</v>
      </c>
      <c r="C105" s="234">
        <v>230</v>
      </c>
      <c r="D105" s="274" t="s">
        <v>388</v>
      </c>
      <c r="E105" s="235" t="s">
        <v>147</v>
      </c>
      <c r="F105" s="235" t="s">
        <v>148</v>
      </c>
      <c r="G105" s="235" t="s">
        <v>389</v>
      </c>
      <c r="H105" s="235" t="s">
        <v>390</v>
      </c>
      <c r="I105" s="1393" t="s">
        <v>22</v>
      </c>
      <c r="J105" s="1393" t="s">
        <v>22</v>
      </c>
      <c r="K105" s="86">
        <v>0.5</v>
      </c>
      <c r="L105" s="87">
        <v>41059</v>
      </c>
      <c r="M105" s="999">
        <v>40907</v>
      </c>
      <c r="N105" s="116">
        <v>2011</v>
      </c>
      <c r="O105" s="298">
        <v>535600</v>
      </c>
      <c r="P105" s="1000">
        <v>8536213800</v>
      </c>
      <c r="Q105" s="242" t="s">
        <v>151</v>
      </c>
      <c r="R105" s="81" t="s">
        <v>140</v>
      </c>
      <c r="S105" s="92" t="s">
        <v>140</v>
      </c>
      <c r="T105" s="79">
        <v>1</v>
      </c>
      <c r="U105" s="298">
        <v>8536213800</v>
      </c>
      <c r="V105" s="94">
        <v>15937.665795369679</v>
      </c>
      <c r="W105" s="94">
        <v>7968.8328976848397</v>
      </c>
      <c r="X105" s="1484" t="str">
        <f>IF(W105="","",IF(SUM(W105:W109)&gt;=PARAMETROS!$G$5,"CUMPLE","NO CUMPLE"))</f>
        <v>CUMPLE</v>
      </c>
      <c r="Y105" s="1484" t="str">
        <f>IF(W105="","",IF(W105+W106&gt;=PARAMETROS!$I$5,"CUMPLE","NO CUMPLE"))</f>
        <v>CUMPLE</v>
      </c>
      <c r="Z105" s="1393" t="str">
        <f>+IF(W105="","",IF(W105&gt;=PARAMETROS!$K$5,"CUMPLE","NO CUMPLE"))</f>
        <v>CUMPLE</v>
      </c>
      <c r="AA105" s="94"/>
      <c r="AB105" s="1484"/>
      <c r="AC105" s="1484"/>
      <c r="AD105" s="1484"/>
      <c r="AE105" s="1484"/>
      <c r="AF105" s="1484"/>
      <c r="AG105" s="1484"/>
      <c r="AH105" s="1484"/>
      <c r="AI105" s="1484"/>
      <c r="AJ105" s="1484"/>
      <c r="AK105" s="1393" t="s">
        <v>22</v>
      </c>
      <c r="AL105" s="1487" t="s">
        <v>21</v>
      </c>
      <c r="AM105" s="96"/>
      <c r="AN105" s="791"/>
    </row>
    <row r="106" spans="1:40" s="58" customFormat="1" ht="86.25" customHeight="1">
      <c r="A106" s="1510"/>
      <c r="B106" s="687" t="s">
        <v>387</v>
      </c>
      <c r="C106" s="910">
        <v>235</v>
      </c>
      <c r="D106" s="489" t="s">
        <v>388</v>
      </c>
      <c r="E106" s="716" t="s">
        <v>391</v>
      </c>
      <c r="F106" s="716" t="s">
        <v>174</v>
      </c>
      <c r="G106" s="716"/>
      <c r="H106" s="716" t="s">
        <v>392</v>
      </c>
      <c r="I106" s="1388" t="s">
        <v>22</v>
      </c>
      <c r="J106" s="1388" t="s">
        <v>22</v>
      </c>
      <c r="K106" s="34">
        <v>0.5</v>
      </c>
      <c r="L106" s="25">
        <v>38636</v>
      </c>
      <c r="M106" s="25">
        <v>39483</v>
      </c>
      <c r="N106" s="26">
        <v>2008</v>
      </c>
      <c r="O106" s="27">
        <v>461500</v>
      </c>
      <c r="P106" s="995">
        <v>775371434.58700001</v>
      </c>
      <c r="Q106" s="470" t="s">
        <v>177</v>
      </c>
      <c r="R106" s="1004">
        <v>2.14E-3</v>
      </c>
      <c r="S106" s="30">
        <v>1659294.87001618</v>
      </c>
      <c r="T106" s="79">
        <v>1917.26</v>
      </c>
      <c r="U106" s="27">
        <v>3181299682.4872212</v>
      </c>
      <c r="V106" s="16">
        <v>6893.3904279246399</v>
      </c>
      <c r="W106" s="16">
        <v>3446.6952139623199</v>
      </c>
      <c r="X106" s="1485"/>
      <c r="Y106" s="1485"/>
      <c r="Z106" s="1388" t="str">
        <f>+IF(W106="","",IF(W106&gt;=PARAMETROS!$K$5,"CUMPLE","NO CUMPLE"))</f>
        <v>CUMPLE</v>
      </c>
      <c r="AA106" s="16">
        <v>13</v>
      </c>
      <c r="AB106" s="1485" t="s">
        <v>22</v>
      </c>
      <c r="AC106" s="1485"/>
      <c r="AD106" s="1485"/>
      <c r="AE106" s="1485" t="s">
        <v>22</v>
      </c>
      <c r="AF106" s="1485"/>
      <c r="AG106" s="1485"/>
      <c r="AH106" s="1485" t="s">
        <v>22</v>
      </c>
      <c r="AI106" s="1485"/>
      <c r="AJ106" s="1485"/>
      <c r="AK106" s="1388" t="s">
        <v>22</v>
      </c>
      <c r="AL106" s="1488"/>
      <c r="AM106" s="1294" t="s">
        <v>393</v>
      </c>
      <c r="AN106" s="791"/>
    </row>
    <row r="107" spans="1:40" s="58" customFormat="1" ht="102" customHeight="1">
      <c r="A107" s="1510"/>
      <c r="B107" s="687" t="s">
        <v>394</v>
      </c>
      <c r="C107" s="910">
        <v>241</v>
      </c>
      <c r="D107" s="489" t="s">
        <v>395</v>
      </c>
      <c r="E107" s="716" t="s">
        <v>147</v>
      </c>
      <c r="F107" s="716" t="s">
        <v>148</v>
      </c>
      <c r="G107" s="716" t="s">
        <v>396</v>
      </c>
      <c r="H107" s="716" t="s">
        <v>397</v>
      </c>
      <c r="I107" s="1388" t="s">
        <v>22</v>
      </c>
      <c r="J107" s="1388" t="s">
        <v>22</v>
      </c>
      <c r="K107" s="24">
        <v>1</v>
      </c>
      <c r="L107" s="25">
        <v>41185</v>
      </c>
      <c r="M107" s="25">
        <v>42090</v>
      </c>
      <c r="N107" s="26">
        <v>2015</v>
      </c>
      <c r="O107" s="27">
        <v>644350</v>
      </c>
      <c r="P107" s="997">
        <v>3783362852</v>
      </c>
      <c r="Q107" s="1080" t="s">
        <v>151</v>
      </c>
      <c r="R107" s="19" t="s">
        <v>140</v>
      </c>
      <c r="S107" s="30" t="s">
        <v>140</v>
      </c>
      <c r="T107" s="79">
        <v>1</v>
      </c>
      <c r="U107" s="27">
        <v>3783362852</v>
      </c>
      <c r="V107" s="16">
        <v>5871.5959525102817</v>
      </c>
      <c r="W107" s="16">
        <v>5871.5959525102817</v>
      </c>
      <c r="X107" s="1485"/>
      <c r="Y107" s="1485"/>
      <c r="Z107" s="1388" t="str">
        <f>+IF(W107="","",IF(W107&gt;=PARAMETROS!$K$5,"CUMPLE","NO CUMPLE"))</f>
        <v>CUMPLE</v>
      </c>
      <c r="AA107" s="16"/>
      <c r="AB107" s="1485"/>
      <c r="AC107" s="1485"/>
      <c r="AD107" s="1485"/>
      <c r="AE107" s="1485"/>
      <c r="AF107" s="1485"/>
      <c r="AG107" s="1485"/>
      <c r="AH107" s="1485"/>
      <c r="AI107" s="1485"/>
      <c r="AJ107" s="1485"/>
      <c r="AK107" s="1388" t="s">
        <v>22</v>
      </c>
      <c r="AL107" s="1488"/>
      <c r="AM107" s="97"/>
      <c r="AN107" s="791"/>
    </row>
    <row r="108" spans="1:40" s="58" customFormat="1" ht="30" customHeight="1">
      <c r="A108" s="1510"/>
      <c r="B108" s="687" t="s">
        <v>394</v>
      </c>
      <c r="C108" s="910">
        <v>246</v>
      </c>
      <c r="D108" s="489" t="s">
        <v>395</v>
      </c>
      <c r="E108" s="716" t="s">
        <v>398</v>
      </c>
      <c r="F108" s="716" t="s">
        <v>174</v>
      </c>
      <c r="G108" s="716"/>
      <c r="H108" s="716" t="s">
        <v>399</v>
      </c>
      <c r="I108" s="1388" t="s">
        <v>22</v>
      </c>
      <c r="J108" s="1388" t="s">
        <v>22</v>
      </c>
      <c r="K108" s="24">
        <v>1</v>
      </c>
      <c r="L108" s="25">
        <v>35711</v>
      </c>
      <c r="M108" s="25">
        <v>37444</v>
      </c>
      <c r="N108" s="26">
        <v>2002</v>
      </c>
      <c r="O108" s="27">
        <v>309000</v>
      </c>
      <c r="P108" s="997">
        <v>1736939.39</v>
      </c>
      <c r="Q108" s="1080" t="s">
        <v>400</v>
      </c>
      <c r="R108" s="19">
        <v>1</v>
      </c>
      <c r="S108" s="30">
        <v>1736939.39</v>
      </c>
      <c r="T108" s="79">
        <v>2434.3200000000002</v>
      </c>
      <c r="U108" s="27">
        <v>4228266295.8648</v>
      </c>
      <c r="V108" s="16">
        <v>13683.709695355339</v>
      </c>
      <c r="W108" s="16">
        <v>13683.709695355339</v>
      </c>
      <c r="X108" s="1485"/>
      <c r="Y108" s="1485"/>
      <c r="Z108" s="1388" t="str">
        <f>+IF(W108="","",IF(W108&gt;=PARAMETROS!$K$5,"CUMPLE","NO CUMPLE"))</f>
        <v>CUMPLE</v>
      </c>
      <c r="AA108" s="16">
        <v>4</v>
      </c>
      <c r="AB108" s="1485" t="s">
        <v>22</v>
      </c>
      <c r="AC108" s="1485"/>
      <c r="AD108" s="1485"/>
      <c r="AE108" s="1485" t="s">
        <v>22</v>
      </c>
      <c r="AF108" s="1485"/>
      <c r="AG108" s="1485"/>
      <c r="AH108" s="1485" t="s">
        <v>22</v>
      </c>
      <c r="AI108" s="1485"/>
      <c r="AJ108" s="1485"/>
      <c r="AK108" s="1388" t="s">
        <v>22</v>
      </c>
      <c r="AL108" s="1488"/>
      <c r="AM108" s="97"/>
      <c r="AN108" s="791"/>
    </row>
    <row r="109" spans="1:40" s="58" customFormat="1" ht="12" customHeight="1">
      <c r="A109" s="1510"/>
      <c r="B109" s="687"/>
      <c r="C109" s="910"/>
      <c r="D109" s="489" t="s">
        <v>158</v>
      </c>
      <c r="E109" s="716"/>
      <c r="F109" s="716"/>
      <c r="G109" s="716"/>
      <c r="H109" s="716"/>
      <c r="I109" s="1388"/>
      <c r="J109" s="1388"/>
      <c r="K109" s="24"/>
      <c r="L109" s="25"/>
      <c r="M109" s="25"/>
      <c r="N109" s="26" t="s">
        <v>158</v>
      </c>
      <c r="O109" s="27" t="s">
        <v>158</v>
      </c>
      <c r="P109" s="997"/>
      <c r="Q109" s="1080"/>
      <c r="R109" s="19"/>
      <c r="S109" s="30"/>
      <c r="T109" s="79" t="s">
        <v>158</v>
      </c>
      <c r="U109" s="27" t="s">
        <v>158</v>
      </c>
      <c r="V109" s="16" t="s">
        <v>158</v>
      </c>
      <c r="W109" s="16" t="s">
        <v>158</v>
      </c>
      <c r="X109" s="1485"/>
      <c r="Y109" s="1485"/>
      <c r="Z109" s="1388"/>
      <c r="AA109" s="16"/>
      <c r="AB109" s="1485"/>
      <c r="AC109" s="1485"/>
      <c r="AD109" s="1485"/>
      <c r="AE109" s="1485"/>
      <c r="AF109" s="1485"/>
      <c r="AG109" s="1485"/>
      <c r="AH109" s="1485"/>
      <c r="AI109" s="1485"/>
      <c r="AJ109" s="1485"/>
      <c r="AK109" s="1388"/>
      <c r="AL109" s="1488"/>
      <c r="AM109" s="97"/>
      <c r="AN109" s="791"/>
    </row>
    <row r="110" spans="1:40" s="58" customFormat="1" ht="9.75" customHeight="1" thickBot="1">
      <c r="A110" s="1511"/>
      <c r="B110" s="476"/>
      <c r="C110" s="1075"/>
      <c r="D110" s="493" t="s">
        <v>158</v>
      </c>
      <c r="E110" s="718"/>
      <c r="F110" s="718"/>
      <c r="G110" s="718"/>
      <c r="H110" s="718"/>
      <c r="I110" s="1392"/>
      <c r="J110" s="1392"/>
      <c r="K110" s="104"/>
      <c r="L110" s="105"/>
      <c r="M110" s="105"/>
      <c r="N110" s="106" t="s">
        <v>158</v>
      </c>
      <c r="O110" s="75" t="s">
        <v>158</v>
      </c>
      <c r="P110" s="998"/>
      <c r="Q110" s="475"/>
      <c r="R110" s="99"/>
      <c r="S110" s="110"/>
      <c r="T110" s="111" t="s">
        <v>158</v>
      </c>
      <c r="U110" s="107" t="s">
        <v>158</v>
      </c>
      <c r="V110" s="112" t="s">
        <v>158</v>
      </c>
      <c r="W110" s="112" t="s">
        <v>158</v>
      </c>
      <c r="X110" s="1486"/>
      <c r="Y110" s="1486"/>
      <c r="Z110" s="1392"/>
      <c r="AA110" s="112"/>
      <c r="AB110" s="1486"/>
      <c r="AC110" s="1486"/>
      <c r="AD110" s="1486"/>
      <c r="AE110" s="1486"/>
      <c r="AF110" s="1486"/>
      <c r="AG110" s="1486"/>
      <c r="AH110" s="1486"/>
      <c r="AI110" s="1486"/>
      <c r="AJ110" s="1486"/>
      <c r="AK110" s="1392"/>
      <c r="AL110" s="1489"/>
      <c r="AM110" s="113"/>
      <c r="AN110" s="791"/>
    </row>
    <row r="111" spans="1:40" s="58" customFormat="1" ht="56.25" customHeight="1">
      <c r="A111" s="1509" t="s">
        <v>39</v>
      </c>
      <c r="B111" s="233" t="s">
        <v>401</v>
      </c>
      <c r="C111" s="234">
        <v>247</v>
      </c>
      <c r="D111" s="274" t="s">
        <v>402</v>
      </c>
      <c r="E111" s="235" t="s">
        <v>214</v>
      </c>
      <c r="F111" s="235" t="s">
        <v>139</v>
      </c>
      <c r="G111" s="235" t="s">
        <v>403</v>
      </c>
      <c r="H111" s="235" t="s">
        <v>404</v>
      </c>
      <c r="I111" s="1393" t="s">
        <v>22</v>
      </c>
      <c r="J111" s="1393" t="s">
        <v>22</v>
      </c>
      <c r="K111" s="86">
        <v>0.5</v>
      </c>
      <c r="L111" s="87">
        <v>38864</v>
      </c>
      <c r="M111" s="87">
        <v>40052</v>
      </c>
      <c r="N111" s="116">
        <v>2009</v>
      </c>
      <c r="O111" s="298">
        <v>496900</v>
      </c>
      <c r="P111" s="1000">
        <v>1298619.92</v>
      </c>
      <c r="Q111" s="242" t="s">
        <v>142</v>
      </c>
      <c r="R111" s="81">
        <v>1.42787</v>
      </c>
      <c r="S111" s="92">
        <v>1854260.4251703999</v>
      </c>
      <c r="T111" s="79">
        <v>2044.79</v>
      </c>
      <c r="U111" s="89">
        <v>3791573174.7841821</v>
      </c>
      <c r="V111" s="94">
        <v>7630.4551716324859</v>
      </c>
      <c r="W111" s="94">
        <v>3815.2275858162429</v>
      </c>
      <c r="X111" s="1484" t="str">
        <f>IF(W111="","",IF(SUM(W111:W115)&gt;=PARAMETROS!$G$5,"CUMPLE","NO CUMPLE"))</f>
        <v>CUMPLE</v>
      </c>
      <c r="Y111" s="1484" t="str">
        <f>IF(W111="","",IF(W111+W112+W113&gt;=PARAMETROS!$I$5,"CUMPLE","NO CUMPLE"))</f>
        <v>CUMPLE</v>
      </c>
      <c r="Z111" s="1393" t="str">
        <f>+IF(W111="","",IF(W111&gt;=PARAMETROS!$K$5,"CUMPLE","NO CUMPLE"))</f>
        <v>CUMPLE</v>
      </c>
      <c r="AA111" s="94" t="s">
        <v>140</v>
      </c>
      <c r="AB111" s="1484"/>
      <c r="AC111" s="1484"/>
      <c r="AD111" s="1484"/>
      <c r="AE111" s="1484"/>
      <c r="AF111" s="1484"/>
      <c r="AG111" s="1484"/>
      <c r="AH111" s="1484"/>
      <c r="AI111" s="1484"/>
      <c r="AJ111" s="1484"/>
      <c r="AK111" s="1393" t="s">
        <v>22</v>
      </c>
      <c r="AL111" s="1487" t="s">
        <v>21</v>
      </c>
      <c r="AM111" s="1006"/>
      <c r="AN111" s="791"/>
    </row>
    <row r="112" spans="1:40" s="58" customFormat="1" ht="52.5" customHeight="1">
      <c r="A112" s="1510"/>
      <c r="B112" s="687" t="s">
        <v>401</v>
      </c>
      <c r="C112" s="910">
        <v>256</v>
      </c>
      <c r="D112" s="489" t="s">
        <v>402</v>
      </c>
      <c r="E112" s="716" t="s">
        <v>214</v>
      </c>
      <c r="F112" s="716" t="s">
        <v>139</v>
      </c>
      <c r="G112" s="716"/>
      <c r="H112" s="716" t="s">
        <v>405</v>
      </c>
      <c r="I112" s="1388" t="s">
        <v>22</v>
      </c>
      <c r="J112" s="1388" t="s">
        <v>22</v>
      </c>
      <c r="K112" s="24">
        <v>1</v>
      </c>
      <c r="L112" s="25">
        <v>38661</v>
      </c>
      <c r="M112" s="25">
        <v>40122</v>
      </c>
      <c r="N112" s="26">
        <v>2009</v>
      </c>
      <c r="O112" s="27">
        <v>496900</v>
      </c>
      <c r="P112" s="997">
        <v>949157.05</v>
      </c>
      <c r="Q112" s="1080" t="s">
        <v>142</v>
      </c>
      <c r="R112" s="19">
        <v>1.42787</v>
      </c>
      <c r="S112" s="30">
        <v>1355272.8769835001</v>
      </c>
      <c r="T112" s="79">
        <v>1963.7</v>
      </c>
      <c r="U112" s="27">
        <v>2661349348.5324993</v>
      </c>
      <c r="V112" s="16">
        <v>5355.9053099869179</v>
      </c>
      <c r="W112" s="16">
        <v>5355.9053099869179</v>
      </c>
      <c r="X112" s="1485"/>
      <c r="Y112" s="1485"/>
      <c r="Z112" s="1388" t="str">
        <f>+IF(W112="","",IF(W112&gt;=PARAMETROS!$K$5,"CUMPLE","NO CUMPLE"))</f>
        <v>CUMPLE</v>
      </c>
      <c r="AA112" s="16" t="s">
        <v>140</v>
      </c>
      <c r="AB112" s="1485"/>
      <c r="AC112" s="1485"/>
      <c r="AD112" s="1485"/>
      <c r="AE112" s="1485"/>
      <c r="AF112" s="1485"/>
      <c r="AG112" s="1485"/>
      <c r="AH112" s="1485"/>
      <c r="AI112" s="1485"/>
      <c r="AJ112" s="1485"/>
      <c r="AK112" s="1388" t="s">
        <v>22</v>
      </c>
      <c r="AL112" s="1488"/>
      <c r="AM112" s="150"/>
      <c r="AN112" s="791"/>
    </row>
    <row r="113" spans="1:40" s="58" customFormat="1" ht="57" customHeight="1">
      <c r="A113" s="1510"/>
      <c r="B113" s="687" t="s">
        <v>401</v>
      </c>
      <c r="C113" s="910">
        <v>265</v>
      </c>
      <c r="D113" s="489" t="s">
        <v>402</v>
      </c>
      <c r="E113" s="716" t="s">
        <v>214</v>
      </c>
      <c r="F113" s="716" t="s">
        <v>139</v>
      </c>
      <c r="G113" s="716"/>
      <c r="H113" s="716" t="s">
        <v>406</v>
      </c>
      <c r="I113" s="1388" t="s">
        <v>22</v>
      </c>
      <c r="J113" s="1388" t="s">
        <v>22</v>
      </c>
      <c r="K113" s="24">
        <v>1</v>
      </c>
      <c r="L113" s="25">
        <v>38296</v>
      </c>
      <c r="M113" s="25">
        <v>39360</v>
      </c>
      <c r="N113" s="26">
        <v>2007</v>
      </c>
      <c r="O113" s="27">
        <v>433700</v>
      </c>
      <c r="P113" s="997">
        <v>1248500.53</v>
      </c>
      <c r="Q113" s="1080" t="s">
        <v>142</v>
      </c>
      <c r="R113" s="19">
        <v>1.4105700000000001</v>
      </c>
      <c r="S113" s="30">
        <v>1761097.3926021003</v>
      </c>
      <c r="T113" s="79">
        <v>2018.45</v>
      </c>
      <c r="U113" s="27">
        <v>3554687032.0977092</v>
      </c>
      <c r="V113" s="16">
        <v>8196.188683647013</v>
      </c>
      <c r="W113" s="16">
        <v>8196.188683647013</v>
      </c>
      <c r="X113" s="1485"/>
      <c r="Y113" s="1485"/>
      <c r="Z113" s="1388" t="str">
        <f>+IF(W113="","",IF(W113&gt;=PARAMETROS!$K$5,"CUMPLE","NO CUMPLE"))</f>
        <v>CUMPLE</v>
      </c>
      <c r="AA113" s="16" t="s">
        <v>140</v>
      </c>
      <c r="AB113" s="1485"/>
      <c r="AC113" s="1485"/>
      <c r="AD113" s="1485"/>
      <c r="AE113" s="1485"/>
      <c r="AF113" s="1485"/>
      <c r="AG113" s="1485"/>
      <c r="AH113" s="1485"/>
      <c r="AI113" s="1485"/>
      <c r="AJ113" s="1485"/>
      <c r="AK113" s="1388" t="s">
        <v>22</v>
      </c>
      <c r="AL113" s="1488"/>
      <c r="AM113" s="1007"/>
      <c r="AN113" s="791"/>
    </row>
    <row r="114" spans="1:40" s="58" customFormat="1" ht="54.75" customHeight="1" thickBot="1">
      <c r="A114" s="1510"/>
      <c r="B114" s="687" t="s">
        <v>407</v>
      </c>
      <c r="C114" s="910">
        <v>276</v>
      </c>
      <c r="D114" s="489" t="s">
        <v>408</v>
      </c>
      <c r="E114" s="716" t="s">
        <v>292</v>
      </c>
      <c r="F114" s="716" t="s">
        <v>148</v>
      </c>
      <c r="G114" s="716"/>
      <c r="H114" s="716" t="s">
        <v>409</v>
      </c>
      <c r="I114" s="1388" t="s">
        <v>22</v>
      </c>
      <c r="J114" s="1388" t="s">
        <v>22</v>
      </c>
      <c r="K114" s="24">
        <v>0.55000000000000004</v>
      </c>
      <c r="L114" s="25">
        <v>34338</v>
      </c>
      <c r="M114" s="25">
        <v>36305</v>
      </c>
      <c r="N114" s="26">
        <v>1999</v>
      </c>
      <c r="O114" s="27">
        <v>236460</v>
      </c>
      <c r="P114" s="997">
        <v>4491569047</v>
      </c>
      <c r="Q114" s="1080" t="s">
        <v>151</v>
      </c>
      <c r="R114" s="19" t="s">
        <v>140</v>
      </c>
      <c r="S114" s="30" t="s">
        <v>140</v>
      </c>
      <c r="T114" s="79">
        <v>1</v>
      </c>
      <c r="U114" s="27">
        <v>4491569047</v>
      </c>
      <c r="V114" s="16">
        <v>18995.04798697454</v>
      </c>
      <c r="W114" s="16">
        <v>10447.276392835998</v>
      </c>
      <c r="X114" s="1485"/>
      <c r="Y114" s="1485"/>
      <c r="Z114" s="1388" t="str">
        <f>+IF(W114="","",IF(W114&gt;=PARAMETROS!$K$5,"CUMPLE","NO CUMPLE"))</f>
        <v>CUMPLE</v>
      </c>
      <c r="AA114" s="16">
        <v>2</v>
      </c>
      <c r="AB114" s="1485" t="s">
        <v>22</v>
      </c>
      <c r="AC114" s="1485"/>
      <c r="AD114" s="1485"/>
      <c r="AE114" s="1485" t="s">
        <v>22</v>
      </c>
      <c r="AF114" s="1485"/>
      <c r="AG114" s="1485"/>
      <c r="AH114" s="1485" t="s">
        <v>22</v>
      </c>
      <c r="AI114" s="1485"/>
      <c r="AJ114" s="1485"/>
      <c r="AK114" s="1388" t="s">
        <v>22</v>
      </c>
      <c r="AL114" s="1488"/>
      <c r="AM114" s="1005"/>
      <c r="AN114" s="791"/>
    </row>
    <row r="115" spans="1:40" s="58" customFormat="1" ht="62.25" customHeight="1">
      <c r="A115" s="1510"/>
      <c r="B115" s="687" t="s">
        <v>410</v>
      </c>
      <c r="C115" s="910">
        <v>278</v>
      </c>
      <c r="D115" s="489" t="s">
        <v>411</v>
      </c>
      <c r="E115" s="716" t="s">
        <v>412</v>
      </c>
      <c r="F115" s="716" t="s">
        <v>413</v>
      </c>
      <c r="G115" s="716"/>
      <c r="H115" s="716" t="s">
        <v>414</v>
      </c>
      <c r="I115" s="1388" t="s">
        <v>22</v>
      </c>
      <c r="J115" s="1388" t="s">
        <v>22</v>
      </c>
      <c r="K115" s="24">
        <v>1</v>
      </c>
      <c r="L115" s="25">
        <v>39353</v>
      </c>
      <c r="M115" s="25">
        <v>41273</v>
      </c>
      <c r="N115" s="26">
        <v>2012</v>
      </c>
      <c r="O115" s="27">
        <v>566700</v>
      </c>
      <c r="P115" s="997">
        <v>25074000000</v>
      </c>
      <c r="Q115" s="1080" t="s">
        <v>415</v>
      </c>
      <c r="R115" s="19">
        <v>2.3000000000000001E-4</v>
      </c>
      <c r="S115" s="30">
        <v>5767020</v>
      </c>
      <c r="T115" s="79">
        <v>1768.23</v>
      </c>
      <c r="U115" s="27">
        <v>10197417774.6</v>
      </c>
      <c r="V115" s="16">
        <v>17994.384638433035</v>
      </c>
      <c r="W115" s="16">
        <v>17994.384638433035</v>
      </c>
      <c r="X115" s="1485"/>
      <c r="Y115" s="1485"/>
      <c r="Z115" s="1393" t="str">
        <f>+IF(W115="","",IF(W115&gt;=PARAMETROS!$K$5,"CUMPLE","NO CUMPLE"))</f>
        <v>CUMPLE</v>
      </c>
      <c r="AA115" s="16">
        <v>35</v>
      </c>
      <c r="AB115" s="1485" t="s">
        <v>22</v>
      </c>
      <c r="AC115" s="1485"/>
      <c r="AD115" s="1485"/>
      <c r="AE115" s="1485" t="s">
        <v>22</v>
      </c>
      <c r="AF115" s="1485"/>
      <c r="AG115" s="1485"/>
      <c r="AH115" s="1485" t="s">
        <v>22</v>
      </c>
      <c r="AI115" s="1485"/>
      <c r="AJ115" s="1485"/>
      <c r="AK115" s="1388" t="s">
        <v>22</v>
      </c>
      <c r="AL115" s="1488"/>
      <c r="AM115" s="1007"/>
      <c r="AN115" s="791"/>
    </row>
    <row r="116" spans="1:40" s="58" customFormat="1" ht="30" customHeight="1" thickBot="1">
      <c r="A116" s="1511"/>
      <c r="B116" s="476"/>
      <c r="C116" s="1075"/>
      <c r="D116" s="493" t="s">
        <v>158</v>
      </c>
      <c r="E116" s="718"/>
      <c r="F116" s="718"/>
      <c r="G116" s="718"/>
      <c r="H116" s="718"/>
      <c r="I116" s="1392"/>
      <c r="J116" s="1392"/>
      <c r="K116" s="104"/>
      <c r="L116" s="105"/>
      <c r="M116" s="105"/>
      <c r="N116" s="106" t="s">
        <v>158</v>
      </c>
      <c r="O116" s="75" t="s">
        <v>158</v>
      </c>
      <c r="P116" s="998"/>
      <c r="Q116" s="475"/>
      <c r="R116" s="99"/>
      <c r="S116" s="110">
        <v>0</v>
      </c>
      <c r="T116" s="111" t="s">
        <v>158</v>
      </c>
      <c r="U116" s="107" t="s">
        <v>158</v>
      </c>
      <c r="V116" s="112" t="s">
        <v>158</v>
      </c>
      <c r="W116" s="112" t="s">
        <v>158</v>
      </c>
      <c r="X116" s="1486"/>
      <c r="Y116" s="1486"/>
      <c r="Z116" s="1392"/>
      <c r="AA116" s="112"/>
      <c r="AB116" s="1486"/>
      <c r="AC116" s="1486"/>
      <c r="AD116" s="1486"/>
      <c r="AE116" s="1486"/>
      <c r="AF116" s="1486"/>
      <c r="AG116" s="1486"/>
      <c r="AH116" s="1486"/>
      <c r="AI116" s="1486"/>
      <c r="AJ116" s="1486"/>
      <c r="AK116" s="1392"/>
      <c r="AL116" s="1489"/>
      <c r="AM116" s="113"/>
      <c r="AN116" s="791"/>
    </row>
    <row r="117" spans="1:40" s="58" customFormat="1" ht="53.25" customHeight="1" thickBot="1">
      <c r="A117" s="1509" t="s">
        <v>40</v>
      </c>
      <c r="B117" s="233" t="s">
        <v>416</v>
      </c>
      <c r="C117" s="234">
        <v>142</v>
      </c>
      <c r="D117" s="274" t="s">
        <v>417</v>
      </c>
      <c r="E117" s="235" t="s">
        <v>418</v>
      </c>
      <c r="F117" s="235" t="s">
        <v>419</v>
      </c>
      <c r="G117" s="235"/>
      <c r="H117" s="235" t="s">
        <v>420</v>
      </c>
      <c r="I117" s="1393" t="s">
        <v>22</v>
      </c>
      <c r="J117" s="1393" t="s">
        <v>22</v>
      </c>
      <c r="K117" s="284">
        <v>0.60419999999999996</v>
      </c>
      <c r="L117" s="87">
        <v>38397</v>
      </c>
      <c r="M117" s="87">
        <v>40529</v>
      </c>
      <c r="N117" s="116">
        <v>2010</v>
      </c>
      <c r="O117" s="298">
        <v>515000</v>
      </c>
      <c r="P117" s="1000">
        <v>1449512.87</v>
      </c>
      <c r="Q117" s="317" t="s">
        <v>142</v>
      </c>
      <c r="R117" s="81">
        <v>1.32236</v>
      </c>
      <c r="S117" s="92">
        <v>1916777.8387732001</v>
      </c>
      <c r="T117" s="79">
        <v>1916.09</v>
      </c>
      <c r="U117" s="89">
        <v>3672718849.0949407</v>
      </c>
      <c r="V117" s="94">
        <v>7131.4929108639626</v>
      </c>
      <c r="W117" s="94">
        <v>4308.8480167440057</v>
      </c>
      <c r="X117" s="1484" t="str">
        <f>IF(W117="","",IF(SUM(W117:W121)&gt;=PARAMETROS!$G$5,"CUMPLE","NO CUMPLE"))</f>
        <v>CUMPLE</v>
      </c>
      <c r="Y117" s="1484" t="str">
        <f>IF(W117="","",IF(W117+W118&gt;=PARAMETROS!$I$5,"CUMPLE","NO CUMPLE"))</f>
        <v>CUMPLE</v>
      </c>
      <c r="Z117" s="1393" t="str">
        <f>+IF(W117="","",IF(W117&gt;=PARAMETROS!$K$5,"CUMPLE","NO CUMPLE"))</f>
        <v>CUMPLE</v>
      </c>
      <c r="AA117" s="94">
        <v>17</v>
      </c>
      <c r="AB117" s="1485" t="s">
        <v>22</v>
      </c>
      <c r="AC117" s="1485"/>
      <c r="AD117" s="1485"/>
      <c r="AE117" s="1485" t="s">
        <v>22</v>
      </c>
      <c r="AF117" s="1485"/>
      <c r="AG117" s="1485"/>
      <c r="AH117" s="1485" t="s">
        <v>22</v>
      </c>
      <c r="AI117" s="1485"/>
      <c r="AJ117" s="1485"/>
      <c r="AK117" s="1393" t="s">
        <v>22</v>
      </c>
      <c r="AL117" s="1502" t="s">
        <v>21</v>
      </c>
      <c r="AM117" s="1008"/>
      <c r="AN117" s="791"/>
    </row>
    <row r="118" spans="1:40" s="58" customFormat="1" ht="48" customHeight="1">
      <c r="A118" s="1510"/>
      <c r="B118" s="687" t="s">
        <v>416</v>
      </c>
      <c r="C118" s="910"/>
      <c r="D118" s="489" t="s">
        <v>417</v>
      </c>
      <c r="E118" s="716" t="s">
        <v>421</v>
      </c>
      <c r="F118" s="716" t="s">
        <v>419</v>
      </c>
      <c r="G118" s="716"/>
      <c r="H118" s="716" t="s">
        <v>422</v>
      </c>
      <c r="I118" s="1388" t="s">
        <v>22</v>
      </c>
      <c r="J118" s="1388" t="s">
        <v>22</v>
      </c>
      <c r="K118" s="24">
        <v>0.23</v>
      </c>
      <c r="L118" s="25">
        <v>33527</v>
      </c>
      <c r="M118" s="25">
        <v>36734</v>
      </c>
      <c r="N118" s="26">
        <v>2000</v>
      </c>
      <c r="O118" s="27">
        <v>260100</v>
      </c>
      <c r="P118" s="997" t="s">
        <v>423</v>
      </c>
      <c r="Q118" s="1080" t="s">
        <v>142</v>
      </c>
      <c r="R118" s="1004">
        <v>0.94181999999999999</v>
      </c>
      <c r="S118" s="30">
        <v>21754428</v>
      </c>
      <c r="T118" s="79">
        <v>2165.37</v>
      </c>
      <c r="U118" s="27" t="s">
        <v>424</v>
      </c>
      <c r="V118" s="16">
        <v>181108.75</v>
      </c>
      <c r="W118" s="1354">
        <v>41655.01</v>
      </c>
      <c r="X118" s="1485"/>
      <c r="Y118" s="1485"/>
      <c r="Z118" s="1388" t="str">
        <f>+IF(W118="","",IF(W118&gt;=PARAMETROS!$K$5,"CUMPLE","NO CUMPLE"))</f>
        <v>CUMPLE</v>
      </c>
      <c r="AA118" s="16">
        <v>5</v>
      </c>
      <c r="AB118" s="1485" t="s">
        <v>22</v>
      </c>
      <c r="AC118" s="1485"/>
      <c r="AD118" s="1485"/>
      <c r="AE118" s="1485" t="s">
        <v>22</v>
      </c>
      <c r="AF118" s="1485"/>
      <c r="AG118" s="1485"/>
      <c r="AH118" s="1485" t="s">
        <v>22</v>
      </c>
      <c r="AI118" s="1485"/>
      <c r="AJ118" s="1485"/>
      <c r="AK118" s="1388" t="s">
        <v>22</v>
      </c>
      <c r="AL118" s="1503"/>
      <c r="AM118" s="429"/>
      <c r="AN118" s="791"/>
    </row>
    <row r="119" spans="1:40" s="58" customFormat="1" ht="74.25" customHeight="1">
      <c r="A119" s="1510"/>
      <c r="B119" s="687" t="s">
        <v>425</v>
      </c>
      <c r="C119" s="910">
        <v>182</v>
      </c>
      <c r="D119" s="489" t="s">
        <v>426</v>
      </c>
      <c r="E119" s="716" t="s">
        <v>427</v>
      </c>
      <c r="F119" s="716" t="s">
        <v>148</v>
      </c>
      <c r="G119" s="716" t="s">
        <v>428</v>
      </c>
      <c r="H119" s="716" t="s">
        <v>429</v>
      </c>
      <c r="I119" s="1388" t="s">
        <v>22</v>
      </c>
      <c r="J119" s="1388" t="s">
        <v>22</v>
      </c>
      <c r="K119" s="341">
        <v>0.245</v>
      </c>
      <c r="L119" s="25">
        <v>40186</v>
      </c>
      <c r="M119" s="25">
        <v>42052</v>
      </c>
      <c r="N119" s="26">
        <v>2015</v>
      </c>
      <c r="O119" s="27">
        <v>644350</v>
      </c>
      <c r="P119" s="1001">
        <v>10922423850.5</v>
      </c>
      <c r="Q119" s="1080" t="s">
        <v>151</v>
      </c>
      <c r="R119" s="19" t="s">
        <v>140</v>
      </c>
      <c r="S119" s="30" t="s">
        <v>140</v>
      </c>
      <c r="T119" s="79">
        <v>1</v>
      </c>
      <c r="U119" s="27">
        <v>10922423850.5</v>
      </c>
      <c r="V119" s="16">
        <v>16951.072942500195</v>
      </c>
      <c r="W119" s="16">
        <v>4153.0128709125474</v>
      </c>
      <c r="X119" s="1485"/>
      <c r="Y119" s="1485"/>
      <c r="Z119" s="1388" t="str">
        <f>+IF(W119="","",IF(W119&gt;=PARAMETROS!$K$5,"CUMPLE","NO CUMPLE"))</f>
        <v>CUMPLE</v>
      </c>
      <c r="AA119" s="16"/>
      <c r="AB119" s="1485"/>
      <c r="AC119" s="1485"/>
      <c r="AD119" s="1485"/>
      <c r="AE119" s="1485"/>
      <c r="AF119" s="1485"/>
      <c r="AG119" s="1485"/>
      <c r="AH119" s="1485"/>
      <c r="AI119" s="1485"/>
      <c r="AJ119" s="1485"/>
      <c r="AK119" s="1388" t="s">
        <v>22</v>
      </c>
      <c r="AL119" s="1503"/>
      <c r="AM119" s="121"/>
      <c r="AN119" s="791"/>
    </row>
    <row r="120" spans="1:40" s="58" customFormat="1" ht="67.5" customHeight="1">
      <c r="A120" s="1510"/>
      <c r="B120" s="687" t="s">
        <v>425</v>
      </c>
      <c r="C120" s="910">
        <v>184</v>
      </c>
      <c r="D120" s="489" t="s">
        <v>426</v>
      </c>
      <c r="E120" s="716" t="s">
        <v>430</v>
      </c>
      <c r="F120" s="716" t="s">
        <v>148</v>
      </c>
      <c r="G120" s="716" t="s">
        <v>431</v>
      </c>
      <c r="H120" s="716" t="s">
        <v>432</v>
      </c>
      <c r="I120" s="1388" t="s">
        <v>22</v>
      </c>
      <c r="J120" s="1388" t="s">
        <v>22</v>
      </c>
      <c r="K120" s="341">
        <v>0.25</v>
      </c>
      <c r="L120" s="1002">
        <v>38718</v>
      </c>
      <c r="M120" s="41">
        <v>42399</v>
      </c>
      <c r="N120" s="26">
        <v>2016</v>
      </c>
      <c r="O120" s="27">
        <v>689554</v>
      </c>
      <c r="P120" s="997">
        <v>9471953326</v>
      </c>
      <c r="Q120" s="1080" t="s">
        <v>151</v>
      </c>
      <c r="R120" s="19" t="s">
        <v>140</v>
      </c>
      <c r="S120" s="30" t="s">
        <v>140</v>
      </c>
      <c r="T120" s="79">
        <v>1</v>
      </c>
      <c r="U120" s="27">
        <v>9471953326</v>
      </c>
      <c r="V120" s="16">
        <v>13736.347444870162</v>
      </c>
      <c r="W120" s="16">
        <v>3434.0868612175404</v>
      </c>
      <c r="X120" s="1485"/>
      <c r="Y120" s="1485"/>
      <c r="Z120" s="1388" t="str">
        <f>+IF(W120="","",IF(W120&gt;=PARAMETROS!$K$5,"CUMPLE","NO CUMPLE"))</f>
        <v>CUMPLE</v>
      </c>
      <c r="AA120" s="42"/>
      <c r="AB120" s="1485"/>
      <c r="AC120" s="1485"/>
      <c r="AD120" s="1485"/>
      <c r="AE120" s="1485"/>
      <c r="AF120" s="1485"/>
      <c r="AG120" s="1485"/>
      <c r="AH120" s="1485"/>
      <c r="AI120" s="1485"/>
      <c r="AJ120" s="1485"/>
      <c r="AK120" s="1388" t="s">
        <v>22</v>
      </c>
      <c r="AL120" s="1503"/>
      <c r="AM120" s="796"/>
      <c r="AN120" s="791"/>
    </row>
    <row r="121" spans="1:40" s="58" customFormat="1" ht="53.25" customHeight="1">
      <c r="A121" s="1510"/>
      <c r="B121" s="687" t="s">
        <v>425</v>
      </c>
      <c r="C121" s="910">
        <v>188</v>
      </c>
      <c r="D121" s="489" t="s">
        <v>426</v>
      </c>
      <c r="E121" s="716" t="s">
        <v>433</v>
      </c>
      <c r="F121" s="716" t="s">
        <v>148</v>
      </c>
      <c r="G121" s="716" t="s">
        <v>434</v>
      </c>
      <c r="H121" s="716" t="s">
        <v>435</v>
      </c>
      <c r="I121" s="1388" t="s">
        <v>22</v>
      </c>
      <c r="J121" s="1388" t="s">
        <v>22</v>
      </c>
      <c r="K121" s="24">
        <v>0.5</v>
      </c>
      <c r="L121" s="25">
        <v>37288</v>
      </c>
      <c r="M121" s="1003">
        <v>41779</v>
      </c>
      <c r="N121" s="26">
        <v>2014</v>
      </c>
      <c r="O121" s="27">
        <v>616000</v>
      </c>
      <c r="P121" s="997">
        <v>9405420640</v>
      </c>
      <c r="Q121" s="1080" t="s">
        <v>151</v>
      </c>
      <c r="R121" s="19" t="s">
        <v>140</v>
      </c>
      <c r="S121" s="30" t="s">
        <v>140</v>
      </c>
      <c r="T121" s="79">
        <v>1</v>
      </c>
      <c r="U121" s="27">
        <v>9405420640</v>
      </c>
      <c r="V121" s="16">
        <v>15268.54</v>
      </c>
      <c r="W121" s="16">
        <v>7634.27</v>
      </c>
      <c r="X121" s="1485"/>
      <c r="Y121" s="1485"/>
      <c r="Z121" s="1388" t="str">
        <f>+IF(W121="","",IF(W121&gt;=PARAMETROS!$K$5,"CUMPLE","NO CUMPLE"))</f>
        <v>CUMPLE</v>
      </c>
      <c r="AA121" s="16"/>
      <c r="AB121" s="1485"/>
      <c r="AC121" s="1485"/>
      <c r="AD121" s="1485"/>
      <c r="AE121" s="1485"/>
      <c r="AF121" s="1485"/>
      <c r="AG121" s="1485"/>
      <c r="AH121" s="1485"/>
      <c r="AI121" s="1485"/>
      <c r="AJ121" s="1485"/>
      <c r="AK121" s="1388" t="s">
        <v>22</v>
      </c>
      <c r="AL121" s="1503"/>
      <c r="AM121" s="796"/>
      <c r="AN121" s="791"/>
    </row>
    <row r="122" spans="1:40" s="58" customFormat="1" ht="9.75" customHeight="1" thickBot="1">
      <c r="A122" s="1511"/>
      <c r="B122" s="476"/>
      <c r="C122" s="1075"/>
      <c r="D122" s="493" t="s">
        <v>158</v>
      </c>
      <c r="E122" s="718"/>
      <c r="F122" s="718"/>
      <c r="G122" s="718"/>
      <c r="H122" s="718"/>
      <c r="I122" s="1392"/>
      <c r="J122" s="1392"/>
      <c r="K122" s="104"/>
      <c r="L122" s="105"/>
      <c r="M122" s="105"/>
      <c r="N122" s="26" t="s">
        <v>158</v>
      </c>
      <c r="O122" s="75" t="s">
        <v>158</v>
      </c>
      <c r="P122" s="998"/>
      <c r="Q122" s="464"/>
      <c r="R122" s="99"/>
      <c r="S122" s="110"/>
      <c r="T122" s="111"/>
      <c r="U122" s="107"/>
      <c r="V122" s="112"/>
      <c r="W122" s="112"/>
      <c r="X122" s="1486"/>
      <c r="Y122" s="1486"/>
      <c r="Z122" s="1392"/>
      <c r="AA122" s="112"/>
      <c r="AB122" s="1493"/>
      <c r="AC122" s="1494"/>
      <c r="AD122" s="1495"/>
      <c r="AE122" s="1493"/>
      <c r="AF122" s="1494"/>
      <c r="AG122" s="1495"/>
      <c r="AH122" s="1493"/>
      <c r="AI122" s="1494"/>
      <c r="AJ122" s="1495"/>
      <c r="AK122" s="1392"/>
      <c r="AL122" s="1504"/>
      <c r="AM122" s="801"/>
      <c r="AN122" s="791"/>
    </row>
    <row r="123" spans="1:40" s="33" customFormat="1" ht="28.5">
      <c r="A123" s="1509" t="s">
        <v>41</v>
      </c>
      <c r="B123" s="233" t="s">
        <v>436</v>
      </c>
      <c r="C123" s="428">
        <v>319</v>
      </c>
      <c r="D123" s="1301" t="str">
        <f>+IFERROR(INDEX(DESEMPATE!$D$3:$D$83,MATCH('EXP GENERAL '!B123,DESEMPATE!$C$3:$C$83,0)),"")</f>
        <v>SMA S.A.</v>
      </c>
      <c r="E123" s="235" t="s">
        <v>437</v>
      </c>
      <c r="F123" s="1302" t="s">
        <v>148</v>
      </c>
      <c r="G123" s="1302" t="s">
        <v>438</v>
      </c>
      <c r="H123" s="1303" t="s">
        <v>439</v>
      </c>
      <c r="I123" s="1393" t="s">
        <v>22</v>
      </c>
      <c r="J123" s="1393" t="s">
        <v>22</v>
      </c>
      <c r="K123" s="86">
        <v>0.45</v>
      </c>
      <c r="L123" s="87">
        <v>39125</v>
      </c>
      <c r="M123" s="87">
        <v>42012</v>
      </c>
      <c r="N123" s="88">
        <v>2015</v>
      </c>
      <c r="O123" s="298">
        <v>644350</v>
      </c>
      <c r="P123" s="893">
        <v>15319357761</v>
      </c>
      <c r="Q123" s="242" t="s">
        <v>151</v>
      </c>
      <c r="R123" s="81" t="s">
        <v>326</v>
      </c>
      <c r="S123" s="92" t="s">
        <v>326</v>
      </c>
      <c r="T123" s="93">
        <v>1</v>
      </c>
      <c r="U123" s="89">
        <v>15319357761</v>
      </c>
      <c r="V123" s="94">
        <v>23774.901468146192</v>
      </c>
      <c r="W123" s="94">
        <v>10698.705660665786</v>
      </c>
      <c r="X123" s="1484" t="s">
        <v>245</v>
      </c>
      <c r="Y123" s="1484" t="s">
        <v>245</v>
      </c>
      <c r="Z123" s="1400" t="str">
        <f>+IF(W123="","",IF(W123&gt;=PARAMETROS!$K$5,"CUMPLE","NO CUMPLE"))</f>
        <v>CUMPLE</v>
      </c>
      <c r="AA123" s="95" t="s">
        <v>440</v>
      </c>
      <c r="AB123" s="1484"/>
      <c r="AC123" s="1484"/>
      <c r="AD123" s="1484"/>
      <c r="AE123" s="1484"/>
      <c r="AF123" s="1484"/>
      <c r="AG123" s="1484"/>
      <c r="AH123" s="1484"/>
      <c r="AI123" s="1484"/>
      <c r="AJ123" s="1484"/>
      <c r="AK123" s="1393" t="s">
        <v>22</v>
      </c>
      <c r="AL123" s="1487" t="s">
        <v>21</v>
      </c>
      <c r="AM123" s="96"/>
      <c r="AN123" s="67"/>
    </row>
    <row r="124" spans="1:40" s="33" customFormat="1" ht="72.75" customHeight="1">
      <c r="A124" s="1510"/>
      <c r="B124" s="687" t="s">
        <v>441</v>
      </c>
      <c r="C124" s="1304">
        <v>344</v>
      </c>
      <c r="D124" s="489" t="str">
        <f>+IFERROR(INDEX(DESEMPATE!$D$3:$D$83,MATCH('EXP GENERAL '!B124,DESEMPATE!$C$3:$C$83,0)),"")</f>
        <v>WSP SERVICIOS S.A.S.</v>
      </c>
      <c r="E124" s="716" t="s">
        <v>442</v>
      </c>
      <c r="F124" s="1305" t="s">
        <v>148</v>
      </c>
      <c r="G124" s="1305" t="s">
        <v>443</v>
      </c>
      <c r="H124" s="1074" t="s">
        <v>444</v>
      </c>
      <c r="I124" s="1388" t="s">
        <v>22</v>
      </c>
      <c r="J124" s="1388" t="s">
        <v>22</v>
      </c>
      <c r="K124" s="34">
        <v>1</v>
      </c>
      <c r="L124" s="25">
        <v>38279</v>
      </c>
      <c r="M124" s="25">
        <v>39813</v>
      </c>
      <c r="N124" s="26">
        <v>2008</v>
      </c>
      <c r="O124" s="27">
        <v>461500</v>
      </c>
      <c r="P124" s="894">
        <v>3975262277</v>
      </c>
      <c r="Q124" s="470" t="s">
        <v>151</v>
      </c>
      <c r="R124" s="19" t="s">
        <v>326</v>
      </c>
      <c r="S124" s="30" t="s">
        <v>326</v>
      </c>
      <c r="T124" s="31">
        <v>1</v>
      </c>
      <c r="U124" s="27">
        <v>3975262277</v>
      </c>
      <c r="V124" s="16">
        <v>8613.7860823401952</v>
      </c>
      <c r="W124" s="16">
        <v>8613.7860823401952</v>
      </c>
      <c r="X124" s="1485"/>
      <c r="Y124" s="1485"/>
      <c r="Z124" s="1388" t="str">
        <f>+IF(W124="","",IF(W124&gt;=PARAMETROS!$K$5,"CUMPLE","NO CUMPLE"))</f>
        <v>CUMPLE</v>
      </c>
      <c r="AA124" s="32">
        <v>9</v>
      </c>
      <c r="AB124" s="1485" t="s">
        <v>22</v>
      </c>
      <c r="AC124" s="1485"/>
      <c r="AD124" s="1485"/>
      <c r="AE124" s="1485" t="s">
        <v>22</v>
      </c>
      <c r="AF124" s="1485"/>
      <c r="AG124" s="1485"/>
      <c r="AH124" s="1485" t="s">
        <v>22</v>
      </c>
      <c r="AI124" s="1485"/>
      <c r="AJ124" s="1485"/>
      <c r="AK124" s="1388" t="s">
        <v>22</v>
      </c>
      <c r="AL124" s="1488"/>
      <c r="AM124" s="97"/>
      <c r="AN124" s="67"/>
    </row>
    <row r="125" spans="1:40" s="33" customFormat="1" ht="65.099999999999994" customHeight="1">
      <c r="A125" s="1510"/>
      <c r="B125" s="687" t="s">
        <v>441</v>
      </c>
      <c r="C125" s="1304">
        <v>348</v>
      </c>
      <c r="D125" s="489" t="str">
        <f>+IFERROR(INDEX(DESEMPATE!$D$3:$D$83,MATCH('EXP GENERAL '!B125,DESEMPATE!$C$3:$C$83,0)),"")</f>
        <v>WSP SERVICIOS S.A.S.</v>
      </c>
      <c r="E125" s="716" t="s">
        <v>445</v>
      </c>
      <c r="F125" s="1305" t="s">
        <v>148</v>
      </c>
      <c r="G125" s="1305" t="s">
        <v>446</v>
      </c>
      <c r="H125" s="716" t="s">
        <v>447</v>
      </c>
      <c r="I125" s="1388" t="s">
        <v>22</v>
      </c>
      <c r="J125" s="1388" t="s">
        <v>22</v>
      </c>
      <c r="K125" s="24">
        <v>1</v>
      </c>
      <c r="L125" s="25">
        <v>40498</v>
      </c>
      <c r="M125" s="25">
        <v>40973</v>
      </c>
      <c r="N125" s="26">
        <v>2012</v>
      </c>
      <c r="O125" s="27">
        <v>566700</v>
      </c>
      <c r="P125" s="895">
        <v>2159474666</v>
      </c>
      <c r="Q125" s="1080" t="s">
        <v>151</v>
      </c>
      <c r="R125" s="19" t="s">
        <v>326</v>
      </c>
      <c r="S125" s="30" t="s">
        <v>326</v>
      </c>
      <c r="T125" s="31">
        <v>1</v>
      </c>
      <c r="U125" s="27">
        <v>2159474666</v>
      </c>
      <c r="V125" s="16">
        <v>3810.6134921475209</v>
      </c>
      <c r="W125" s="16">
        <v>3810.6134921475209</v>
      </c>
      <c r="X125" s="1485"/>
      <c r="Y125" s="1485"/>
      <c r="Z125" s="1388" t="str">
        <f>+IF(W125="","",IF(W125&gt;=PARAMETROS!$K$5,"CUMPLE","NO CUMPLE"))</f>
        <v>CUMPLE</v>
      </c>
      <c r="AA125" s="32">
        <v>112</v>
      </c>
      <c r="AB125" s="1485" t="s">
        <v>22</v>
      </c>
      <c r="AC125" s="1485"/>
      <c r="AD125" s="1485"/>
      <c r="AE125" s="1485" t="s">
        <v>22</v>
      </c>
      <c r="AF125" s="1485"/>
      <c r="AG125" s="1485"/>
      <c r="AH125" s="1485" t="s">
        <v>22</v>
      </c>
      <c r="AI125" s="1485"/>
      <c r="AJ125" s="1485"/>
      <c r="AK125" s="1388" t="s">
        <v>22</v>
      </c>
      <c r="AL125" s="1488"/>
      <c r="AM125" s="98"/>
      <c r="AN125" s="67"/>
    </row>
    <row r="126" spans="1:40" s="33" customFormat="1" ht="71.25">
      <c r="A126" s="1510"/>
      <c r="B126" s="687" t="s">
        <v>441</v>
      </c>
      <c r="C126" s="1304">
        <v>366</v>
      </c>
      <c r="D126" s="489" t="str">
        <f>+IFERROR(INDEX(DESEMPATE!$D$3:$D$83,MATCH('EXP GENERAL '!B126,DESEMPATE!$C$3:$C$83,0)),"")</f>
        <v>WSP SERVICIOS S.A.S.</v>
      </c>
      <c r="E126" s="716" t="s">
        <v>448</v>
      </c>
      <c r="F126" s="1305" t="s">
        <v>148</v>
      </c>
      <c r="G126" s="1305" t="s">
        <v>449</v>
      </c>
      <c r="H126" s="1074" t="s">
        <v>450</v>
      </c>
      <c r="I126" s="1388" t="s">
        <v>22</v>
      </c>
      <c r="J126" s="1388" t="s">
        <v>22</v>
      </c>
      <c r="K126" s="24">
        <v>0.6</v>
      </c>
      <c r="L126" s="25">
        <v>40143</v>
      </c>
      <c r="M126" s="25">
        <v>41183</v>
      </c>
      <c r="N126" s="26">
        <v>2012</v>
      </c>
      <c r="O126" s="27">
        <v>566700</v>
      </c>
      <c r="P126" s="895">
        <v>4331349652</v>
      </c>
      <c r="Q126" s="1080" t="s">
        <v>151</v>
      </c>
      <c r="R126" s="19" t="s">
        <v>326</v>
      </c>
      <c r="S126" s="30" t="s">
        <v>326</v>
      </c>
      <c r="T126" s="31">
        <v>1</v>
      </c>
      <c r="U126" s="27">
        <v>4331349652</v>
      </c>
      <c r="V126" s="16">
        <v>7643.1086147873657</v>
      </c>
      <c r="W126" s="16">
        <v>4585.8651688724194</v>
      </c>
      <c r="X126" s="1485"/>
      <c r="Y126" s="1485"/>
      <c r="Z126" s="1388" t="str">
        <f>+IF(W126="","",IF(W126&gt;=PARAMETROS!$K$5,"CUMPLE","NO CUMPLE"))</f>
        <v>CUMPLE</v>
      </c>
      <c r="AA126" s="32">
        <v>118</v>
      </c>
      <c r="AB126" s="1496" t="s">
        <v>22</v>
      </c>
      <c r="AC126" s="1497"/>
      <c r="AD126" s="1498"/>
      <c r="AE126" s="1496" t="s">
        <v>22</v>
      </c>
      <c r="AF126" s="1497"/>
      <c r="AG126" s="1498"/>
      <c r="AH126" s="1496" t="s">
        <v>22</v>
      </c>
      <c r="AI126" s="1497"/>
      <c r="AJ126" s="1498"/>
      <c r="AK126" s="1388" t="s">
        <v>22</v>
      </c>
      <c r="AL126" s="1488"/>
      <c r="AM126" s="98"/>
      <c r="AN126" s="67"/>
    </row>
    <row r="127" spans="1:40" s="33" customFormat="1" ht="15.75" customHeight="1">
      <c r="A127" s="1510"/>
      <c r="B127" s="687"/>
      <c r="C127" s="1304"/>
      <c r="D127" s="489" t="str">
        <f>+IFERROR(INDEX([2]DESEMPATE!$D$3:$D$83,MATCH('[2]EXP GEN 21-26'!B127,[2]DESEMPATE!$C$3:$C$83,0)),"")</f>
        <v/>
      </c>
      <c r="E127" s="716"/>
      <c r="F127" s="1305"/>
      <c r="G127" s="1305"/>
      <c r="H127" s="1074"/>
      <c r="I127" s="1388"/>
      <c r="J127" s="1388"/>
      <c r="K127" s="24"/>
      <c r="L127" s="25"/>
      <c r="M127" s="25"/>
      <c r="N127" s="26" t="s">
        <v>158</v>
      </c>
      <c r="O127" s="27" t="s">
        <v>158</v>
      </c>
      <c r="P127" s="895"/>
      <c r="Q127" s="1080"/>
      <c r="R127" s="19"/>
      <c r="S127" s="30"/>
      <c r="T127" s="31"/>
      <c r="U127" s="27" t="s">
        <v>158</v>
      </c>
      <c r="V127" s="16" t="s">
        <v>158</v>
      </c>
      <c r="W127" s="16" t="s">
        <v>158</v>
      </c>
      <c r="X127" s="1485"/>
      <c r="Y127" s="1485"/>
      <c r="Z127" s="1388" t="str">
        <f>+IF(W127="","",IF(W127&gt;=[2]PARAMETROS!$K$5,"CUMPLE","NO CUMPLE"))</f>
        <v/>
      </c>
      <c r="AA127" s="32"/>
      <c r="AB127" s="1485"/>
      <c r="AC127" s="1485"/>
      <c r="AD127" s="1485"/>
      <c r="AE127" s="1485"/>
      <c r="AF127" s="1485"/>
      <c r="AG127" s="1485"/>
      <c r="AH127" s="1485"/>
      <c r="AI127" s="1485"/>
      <c r="AJ127" s="1485"/>
      <c r="AK127" s="1388"/>
      <c r="AL127" s="1488"/>
      <c r="AM127" s="98"/>
      <c r="AN127" s="67"/>
    </row>
    <row r="128" spans="1:40" s="33" customFormat="1" ht="9.75" customHeight="1" thickBot="1">
      <c r="A128" s="1511"/>
      <c r="B128" s="476"/>
      <c r="C128" s="1075"/>
      <c r="D128" s="493" t="str">
        <f>+IFERROR(INDEX([2]DESEMPATE!$D$3:$D$83,MATCH('[2]EXP GEN 21-26'!B128,[2]DESEMPATE!$C$3:$C$83,0)),"")</f>
        <v/>
      </c>
      <c r="E128" s="718"/>
      <c r="F128" s="1306"/>
      <c r="G128" s="1306"/>
      <c r="H128" s="719"/>
      <c r="I128" s="1392"/>
      <c r="J128" s="1392"/>
      <c r="K128" s="104"/>
      <c r="L128" s="105"/>
      <c r="M128" s="105"/>
      <c r="N128" s="106" t="s">
        <v>158</v>
      </c>
      <c r="O128" s="75" t="s">
        <v>158</v>
      </c>
      <c r="P128" s="896"/>
      <c r="Q128" s="475"/>
      <c r="R128" s="99"/>
      <c r="S128" s="110"/>
      <c r="T128" s="111"/>
      <c r="U128" s="107" t="s">
        <v>158</v>
      </c>
      <c r="V128" s="112" t="s">
        <v>158</v>
      </c>
      <c r="W128" s="112" t="s">
        <v>158</v>
      </c>
      <c r="X128" s="1486"/>
      <c r="Y128" s="1486"/>
      <c r="Z128" s="1401" t="str">
        <f>+IF(W128="","",IF(W128&gt;=[2]PARAMETROS!$K$5,"CUMPLE","NO CUMPLE"))</f>
        <v/>
      </c>
      <c r="AA128" s="112"/>
      <c r="AB128" s="1486"/>
      <c r="AC128" s="1486"/>
      <c r="AD128" s="1486"/>
      <c r="AE128" s="1486"/>
      <c r="AF128" s="1486"/>
      <c r="AG128" s="1486"/>
      <c r="AH128" s="1486"/>
      <c r="AI128" s="1486"/>
      <c r="AJ128" s="1486"/>
      <c r="AK128" s="1392"/>
      <c r="AL128" s="1489"/>
      <c r="AM128" s="113"/>
      <c r="AN128" s="67"/>
    </row>
    <row r="129" spans="1:40" s="33" customFormat="1" ht="31.5">
      <c r="A129" s="1509" t="s">
        <v>42</v>
      </c>
      <c r="B129" s="1307" t="s">
        <v>451</v>
      </c>
      <c r="C129" s="1308">
        <v>134</v>
      </c>
      <c r="D129" s="1301" t="str">
        <f>+IFERROR(INDEX(DESEMPATE!$D$3:$D$83,MATCH('EXP GENERAL '!B129,DESEMPATE!$C$3:$C$83,0)),"")</f>
        <v>GC&amp;Q INGENIEROS CONSULTORES S.A.S.</v>
      </c>
      <c r="E129" s="1309" t="s">
        <v>452</v>
      </c>
      <c r="F129" s="1310" t="s">
        <v>174</v>
      </c>
      <c r="G129" s="1310" t="s">
        <v>311</v>
      </c>
      <c r="H129" s="1311" t="s">
        <v>453</v>
      </c>
      <c r="I129" s="1394" t="s">
        <v>22</v>
      </c>
      <c r="J129" s="1394" t="s">
        <v>22</v>
      </c>
      <c r="K129" s="73">
        <v>1</v>
      </c>
      <c r="L129" s="74">
        <v>37585</v>
      </c>
      <c r="M129" s="74">
        <v>38680</v>
      </c>
      <c r="N129" s="116">
        <v>2005</v>
      </c>
      <c r="O129" s="298">
        <v>381500</v>
      </c>
      <c r="P129" s="897">
        <v>1612407</v>
      </c>
      <c r="Q129" s="1343" t="s">
        <v>454</v>
      </c>
      <c r="R129" s="68" t="s">
        <v>326</v>
      </c>
      <c r="S129" s="78" t="s">
        <v>326</v>
      </c>
      <c r="T129" s="79">
        <v>2277.92</v>
      </c>
      <c r="U129" s="75">
        <v>3672934153.4400001</v>
      </c>
      <c r="V129" s="80">
        <v>9627.6124598689385</v>
      </c>
      <c r="W129" s="80">
        <v>9627.6124598689385</v>
      </c>
      <c r="X129" s="1484" t="s">
        <v>245</v>
      </c>
      <c r="Y129" s="1484" t="s">
        <v>245</v>
      </c>
      <c r="Z129" s="1400" t="str">
        <f>+IF(W129="","",IF(W129&gt;=PARAMETROS!$K$5,"CUMPLE","NO CUMPLE"))</f>
        <v>CUMPLE</v>
      </c>
      <c r="AA129" s="1299"/>
      <c r="AB129" s="1484"/>
      <c r="AC129" s="1484"/>
      <c r="AD129" s="1484"/>
      <c r="AE129" s="1508"/>
      <c r="AF129" s="1508"/>
      <c r="AG129" s="1508"/>
      <c r="AH129" s="1508"/>
      <c r="AI129" s="1508"/>
      <c r="AJ129" s="1508"/>
      <c r="AK129" s="1394" t="s">
        <v>22</v>
      </c>
      <c r="AL129" s="1487" t="s">
        <v>21</v>
      </c>
      <c r="AM129" s="122"/>
      <c r="AN129" s="67"/>
    </row>
    <row r="130" spans="1:40" s="33" customFormat="1" ht="75">
      <c r="A130" s="1510"/>
      <c r="B130" s="687" t="s">
        <v>455</v>
      </c>
      <c r="C130" s="910">
        <v>140</v>
      </c>
      <c r="D130" s="489" t="str">
        <f>+IFERROR(INDEX(DESEMPATE!$D$3:$D$83,MATCH('EXP GENERAL '!B130,DESEMPATE!$C$3:$C$83,0)),"")</f>
        <v>SERVICIOS DE INGENIERÍA Y CONSTRUCCIÓN LIMITADA "SERVINC LTDA"</v>
      </c>
      <c r="E130" s="1312" t="s">
        <v>456</v>
      </c>
      <c r="F130" s="1305" t="s">
        <v>148</v>
      </c>
      <c r="G130" s="1305" t="s">
        <v>457</v>
      </c>
      <c r="H130" s="1074" t="s">
        <v>458</v>
      </c>
      <c r="I130" s="1388" t="s">
        <v>22</v>
      </c>
      <c r="J130" s="1388" t="s">
        <v>22</v>
      </c>
      <c r="K130" s="73">
        <v>0.5</v>
      </c>
      <c r="L130" s="74">
        <v>40331</v>
      </c>
      <c r="M130" s="74">
        <v>41215</v>
      </c>
      <c r="N130" s="116">
        <v>2012</v>
      </c>
      <c r="O130" s="27">
        <v>566700</v>
      </c>
      <c r="P130" s="895">
        <v>4264498383</v>
      </c>
      <c r="Q130" s="1080" t="s">
        <v>151</v>
      </c>
      <c r="R130" s="19" t="s">
        <v>326</v>
      </c>
      <c r="S130" s="30" t="s">
        <v>326</v>
      </c>
      <c r="T130" s="31">
        <v>1</v>
      </c>
      <c r="U130" s="27">
        <v>4264498383</v>
      </c>
      <c r="V130" s="16">
        <v>7525.1427263102169</v>
      </c>
      <c r="W130" s="16">
        <v>3762.5713631551084</v>
      </c>
      <c r="X130" s="1485"/>
      <c r="Y130" s="1485"/>
      <c r="Z130" s="1388" t="str">
        <f>+IF(W130="","",IF(W130&gt;=PARAMETROS!$K$5,"CUMPLE","NO CUMPLE"))</f>
        <v>CUMPLE</v>
      </c>
      <c r="AA130" s="923">
        <v>2</v>
      </c>
      <c r="AB130" s="1485" t="s">
        <v>22</v>
      </c>
      <c r="AC130" s="1485"/>
      <c r="AD130" s="1485"/>
      <c r="AE130" s="1485" t="s">
        <v>22</v>
      </c>
      <c r="AF130" s="1485"/>
      <c r="AG130" s="1485"/>
      <c r="AH130" s="1485" t="s">
        <v>22</v>
      </c>
      <c r="AI130" s="1485"/>
      <c r="AJ130" s="1485"/>
      <c r="AK130" s="1388" t="s">
        <v>22</v>
      </c>
      <c r="AL130" s="1488"/>
      <c r="AM130" s="97"/>
      <c r="AN130" s="67"/>
    </row>
    <row r="131" spans="1:40" s="33" customFormat="1" ht="213.75">
      <c r="A131" s="1510"/>
      <c r="B131" s="687" t="s">
        <v>455</v>
      </c>
      <c r="C131" s="910">
        <v>184</v>
      </c>
      <c r="D131" s="489" t="str">
        <f>+IFERROR(INDEX(DESEMPATE!$D$3:$D$83,MATCH('EXP GENERAL '!B131,DESEMPATE!$C$3:$C$83,0)),"")</f>
        <v>SERVICIOS DE INGENIERÍA Y CONSTRUCCIÓN LIMITADA "SERVINC LTDA"</v>
      </c>
      <c r="E131" s="1312" t="s">
        <v>456</v>
      </c>
      <c r="F131" s="1305" t="s">
        <v>148</v>
      </c>
      <c r="G131" s="1305" t="s">
        <v>459</v>
      </c>
      <c r="H131" s="1074" t="s">
        <v>460</v>
      </c>
      <c r="I131" s="1388" t="s">
        <v>22</v>
      </c>
      <c r="J131" s="1388" t="s">
        <v>22</v>
      </c>
      <c r="K131" s="73">
        <v>1</v>
      </c>
      <c r="L131" s="74">
        <v>39021</v>
      </c>
      <c r="M131" s="74">
        <v>40480</v>
      </c>
      <c r="N131" s="116">
        <v>2010</v>
      </c>
      <c r="O131" s="27">
        <v>515000</v>
      </c>
      <c r="P131" s="895">
        <v>5403026800</v>
      </c>
      <c r="Q131" s="1080" t="s">
        <v>151</v>
      </c>
      <c r="R131" s="19" t="s">
        <v>326</v>
      </c>
      <c r="S131" s="30" t="s">
        <v>326</v>
      </c>
      <c r="T131" s="31">
        <v>1</v>
      </c>
      <c r="U131" s="27">
        <v>5403026800</v>
      </c>
      <c r="V131" s="16">
        <v>10491.314174757281</v>
      </c>
      <c r="W131" s="16">
        <v>10491.314174757281</v>
      </c>
      <c r="X131" s="1485"/>
      <c r="Y131" s="1485"/>
      <c r="Z131" s="1388" t="str">
        <f>+IF(W131="","",IF(W131&gt;=PARAMETROS!$K$5,"CUMPLE","NO CUMPLE"))</f>
        <v>CUMPLE</v>
      </c>
      <c r="AA131" s="923">
        <v>19</v>
      </c>
      <c r="AB131" s="1485" t="s">
        <v>22</v>
      </c>
      <c r="AC131" s="1485"/>
      <c r="AD131" s="1485"/>
      <c r="AE131" s="1485" t="s">
        <v>22</v>
      </c>
      <c r="AF131" s="1485"/>
      <c r="AG131" s="1485"/>
      <c r="AH131" s="1485" t="s">
        <v>22</v>
      </c>
      <c r="AI131" s="1485"/>
      <c r="AJ131" s="1485"/>
      <c r="AK131" s="1388" t="s">
        <v>22</v>
      </c>
      <c r="AL131" s="1488"/>
      <c r="AM131" s="97"/>
      <c r="AN131" s="67"/>
    </row>
    <row r="132" spans="1:40" s="33" customFormat="1" ht="57">
      <c r="A132" s="1510"/>
      <c r="B132" s="687" t="s">
        <v>455</v>
      </c>
      <c r="C132" s="910">
        <v>218</v>
      </c>
      <c r="D132" s="489" t="str">
        <f>+IFERROR(INDEX(DESEMPATE!$D$3:$D$83,MATCH('EXP GENERAL '!B132,DESEMPATE!$C$3:$C$83,0)),"")</f>
        <v>SERVICIOS DE INGENIERÍA Y CONSTRUCCIÓN LIMITADA "SERVINC LTDA"</v>
      </c>
      <c r="E132" s="1312" t="s">
        <v>461</v>
      </c>
      <c r="F132" s="1305" t="s">
        <v>148</v>
      </c>
      <c r="G132" s="1305" t="s">
        <v>462</v>
      </c>
      <c r="H132" s="1074" t="s">
        <v>463</v>
      </c>
      <c r="I132" s="1388" t="s">
        <v>22</v>
      </c>
      <c r="J132" s="1388" t="s">
        <v>22</v>
      </c>
      <c r="K132" s="73">
        <v>0.51</v>
      </c>
      <c r="L132" s="74">
        <v>41950</v>
      </c>
      <c r="M132" s="74">
        <v>42439</v>
      </c>
      <c r="N132" s="116">
        <v>2016</v>
      </c>
      <c r="O132" s="787">
        <v>689554</v>
      </c>
      <c r="P132" s="895">
        <v>4285656805</v>
      </c>
      <c r="Q132" s="1080" t="s">
        <v>151</v>
      </c>
      <c r="R132" s="19" t="s">
        <v>326</v>
      </c>
      <c r="S132" s="30" t="s">
        <v>326</v>
      </c>
      <c r="T132" s="31">
        <v>1</v>
      </c>
      <c r="U132" s="27">
        <v>4285656805</v>
      </c>
      <c r="V132" s="16">
        <v>6215.1141244920627</v>
      </c>
      <c r="W132" s="16">
        <v>3169.7082034909522</v>
      </c>
      <c r="X132" s="1485"/>
      <c r="Y132" s="1485"/>
      <c r="Z132" s="1388" t="str">
        <f>+IF(W132="","",IF(W132&gt;=PARAMETROS!$K$5,"CUMPLE","NO CUMPLE"))</f>
        <v>CUMPLE</v>
      </c>
      <c r="AA132" s="923" t="s">
        <v>440</v>
      </c>
      <c r="AB132" s="1485"/>
      <c r="AC132" s="1485"/>
      <c r="AD132" s="1485"/>
      <c r="AE132" s="1485"/>
      <c r="AF132" s="1485"/>
      <c r="AG132" s="1485"/>
      <c r="AH132" s="1485"/>
      <c r="AI132" s="1485"/>
      <c r="AJ132" s="1485"/>
      <c r="AK132" s="1388" t="s">
        <v>22</v>
      </c>
      <c r="AL132" s="1488"/>
      <c r="AM132" s="97"/>
      <c r="AN132" s="67"/>
    </row>
    <row r="133" spans="1:40" s="33" customFormat="1" ht="9" customHeight="1">
      <c r="A133" s="1510"/>
      <c r="B133" s="687"/>
      <c r="C133" s="910"/>
      <c r="D133" s="489" t="str">
        <f>+IFERROR(INDEX([2]DESEMPATE!$D$3:$D$83,MATCH('[2]EXP GEN 21-26'!B133,[2]DESEMPATE!$C$3:$C$83,0)),"")</f>
        <v/>
      </c>
      <c r="E133" s="716"/>
      <c r="F133" s="1305"/>
      <c r="G133" s="1305"/>
      <c r="H133" s="1074"/>
      <c r="I133" s="1388"/>
      <c r="J133" s="1388"/>
      <c r="K133" s="24"/>
      <c r="L133" s="25"/>
      <c r="M133" s="25"/>
      <c r="N133" s="26" t="s">
        <v>158</v>
      </c>
      <c r="O133" s="27" t="s">
        <v>158</v>
      </c>
      <c r="P133" s="895"/>
      <c r="Q133" s="1080"/>
      <c r="R133" s="19"/>
      <c r="S133" s="30"/>
      <c r="T133" s="31"/>
      <c r="U133" s="27" t="s">
        <v>158</v>
      </c>
      <c r="V133" s="16" t="s">
        <v>158</v>
      </c>
      <c r="W133" s="16" t="s">
        <v>158</v>
      </c>
      <c r="X133" s="1485"/>
      <c r="Y133" s="1485"/>
      <c r="Z133" s="1388" t="str">
        <f>+IF(W133="","",IF(W133&gt;=[2]PARAMETROS!$K$5,"CUMPLE","NO CUMPLE"))</f>
        <v/>
      </c>
      <c r="AA133" s="16"/>
      <c r="AB133" s="1485"/>
      <c r="AC133" s="1485"/>
      <c r="AD133" s="1485"/>
      <c r="AE133" s="1485"/>
      <c r="AF133" s="1485"/>
      <c r="AG133" s="1485"/>
      <c r="AH133" s="1485"/>
      <c r="AI133" s="1485"/>
      <c r="AJ133" s="1485"/>
      <c r="AK133" s="1388"/>
      <c r="AL133" s="1488"/>
      <c r="AM133" s="97"/>
      <c r="AN133" s="67"/>
    </row>
    <row r="134" spans="1:40" s="33" customFormat="1" ht="8.25" customHeight="1" thickBot="1">
      <c r="A134" s="1511"/>
      <c r="B134" s="476"/>
      <c r="C134" s="1075"/>
      <c r="D134" s="493" t="str">
        <f>+IFERROR(INDEX([2]DESEMPATE!$D$3:$D$83,MATCH('[2]EXP GEN 21-26'!B134,[2]DESEMPATE!$C$3:$C$83,0)),"")</f>
        <v/>
      </c>
      <c r="E134" s="718"/>
      <c r="F134" s="1306"/>
      <c r="G134" s="1306"/>
      <c r="H134" s="719"/>
      <c r="I134" s="1392"/>
      <c r="J134" s="1392"/>
      <c r="K134" s="104"/>
      <c r="L134" s="105"/>
      <c r="M134" s="105"/>
      <c r="N134" s="106" t="s">
        <v>158</v>
      </c>
      <c r="O134" s="75" t="s">
        <v>158</v>
      </c>
      <c r="P134" s="896"/>
      <c r="Q134" s="475"/>
      <c r="R134" s="99"/>
      <c r="S134" s="110"/>
      <c r="T134" s="111"/>
      <c r="U134" s="107" t="s">
        <v>158</v>
      </c>
      <c r="V134" s="112" t="s">
        <v>158</v>
      </c>
      <c r="W134" s="112" t="s">
        <v>158</v>
      </c>
      <c r="X134" s="1486"/>
      <c r="Y134" s="1486"/>
      <c r="Z134" s="1401" t="str">
        <f>+IF(W134="","",IF(W134&gt;=[2]PARAMETROS!$K$5,"CUMPLE","NO CUMPLE"))</f>
        <v/>
      </c>
      <c r="AA134" s="112"/>
      <c r="AB134" s="1486"/>
      <c r="AC134" s="1486"/>
      <c r="AD134" s="1486"/>
      <c r="AE134" s="1486"/>
      <c r="AF134" s="1486"/>
      <c r="AG134" s="1486"/>
      <c r="AH134" s="1486"/>
      <c r="AI134" s="1486"/>
      <c r="AJ134" s="1486"/>
      <c r="AK134" s="1392"/>
      <c r="AL134" s="1489"/>
      <c r="AM134" s="113"/>
      <c r="AN134" s="67"/>
    </row>
    <row r="135" spans="1:40" s="33" customFormat="1" ht="57">
      <c r="A135" s="1509" t="s">
        <v>43</v>
      </c>
      <c r="B135" s="233" t="s">
        <v>464</v>
      </c>
      <c r="C135" s="234">
        <v>193</v>
      </c>
      <c r="D135" s="1301" t="str">
        <f>+IFERROR(INDEX(DESEMPATE!$D$3:$D$83,MATCH('EXP GENERAL '!B135,DESEMPATE!$C$3:$C$83,0)),"")</f>
        <v>CONCOL INGENIERÍA S.A.S.</v>
      </c>
      <c r="E135" s="235" t="s">
        <v>461</v>
      </c>
      <c r="F135" s="1302" t="s">
        <v>148</v>
      </c>
      <c r="G135" s="1302" t="s">
        <v>465</v>
      </c>
      <c r="H135" s="236" t="s">
        <v>466</v>
      </c>
      <c r="I135" s="1393" t="s">
        <v>22</v>
      </c>
      <c r="J135" s="1393" t="s">
        <v>22</v>
      </c>
      <c r="K135" s="86">
        <v>0.7</v>
      </c>
      <c r="L135" s="87">
        <v>39822</v>
      </c>
      <c r="M135" s="87">
        <v>40916</v>
      </c>
      <c r="N135" s="88">
        <v>2012</v>
      </c>
      <c r="O135" s="298">
        <v>566700</v>
      </c>
      <c r="P135" s="893">
        <v>2009003878</v>
      </c>
      <c r="Q135" s="242" t="s">
        <v>151</v>
      </c>
      <c r="R135" s="81" t="s">
        <v>326</v>
      </c>
      <c r="S135" s="92" t="s">
        <v>326</v>
      </c>
      <c r="T135" s="93">
        <v>1</v>
      </c>
      <c r="U135" s="89">
        <v>2009003878</v>
      </c>
      <c r="V135" s="94">
        <v>3545.092426327863</v>
      </c>
      <c r="W135" s="94">
        <v>2481.564698429504</v>
      </c>
      <c r="X135" s="1484" t="s">
        <v>245</v>
      </c>
      <c r="Y135" s="1484" t="s">
        <v>245</v>
      </c>
      <c r="Z135" s="1400" t="str">
        <f>+IF(W135="","",IF(W135&gt;=PARAMETROS!$K$5,"CUMPLE","NO CUMPLE"))</f>
        <v>CUMPLE</v>
      </c>
      <c r="AA135" s="207">
        <v>18</v>
      </c>
      <c r="AB135" s="1484" t="s">
        <v>129</v>
      </c>
      <c r="AC135" s="1484"/>
      <c r="AD135" s="1484"/>
      <c r="AE135" s="1484" t="s">
        <v>129</v>
      </c>
      <c r="AF135" s="1484"/>
      <c r="AG135" s="1484"/>
      <c r="AH135" s="1484" t="s">
        <v>22</v>
      </c>
      <c r="AI135" s="1484"/>
      <c r="AJ135" s="1484"/>
      <c r="AK135" s="1393" t="s">
        <v>22</v>
      </c>
      <c r="AL135" s="1487" t="s">
        <v>21</v>
      </c>
      <c r="AM135" s="96"/>
      <c r="AN135" s="67"/>
    </row>
    <row r="136" spans="1:40" s="33" customFormat="1" ht="71.25">
      <c r="A136" s="1510"/>
      <c r="B136" s="687" t="s">
        <v>464</v>
      </c>
      <c r="C136" s="910">
        <v>197</v>
      </c>
      <c r="D136" s="489" t="str">
        <f>+IFERROR(INDEX(DESEMPATE!$D$3:$D$83,MATCH('EXP GENERAL '!B136,DESEMPATE!$C$3:$C$83,0)),"")</f>
        <v>CONCOL INGENIERÍA S.A.S.</v>
      </c>
      <c r="E136" s="716" t="s">
        <v>161</v>
      </c>
      <c r="F136" s="1305" t="s">
        <v>148</v>
      </c>
      <c r="G136" s="1305" t="s">
        <v>467</v>
      </c>
      <c r="H136" s="1074" t="s">
        <v>468</v>
      </c>
      <c r="I136" s="1388" t="s">
        <v>22</v>
      </c>
      <c r="J136" s="1388" t="s">
        <v>22</v>
      </c>
      <c r="K136" s="34">
        <v>1</v>
      </c>
      <c r="L136" s="25">
        <v>38888</v>
      </c>
      <c r="M136" s="25">
        <v>39641</v>
      </c>
      <c r="N136" s="26">
        <v>2008</v>
      </c>
      <c r="O136" s="27">
        <v>461500</v>
      </c>
      <c r="P136" s="894">
        <v>10475917527</v>
      </c>
      <c r="Q136" s="470" t="s">
        <v>151</v>
      </c>
      <c r="R136" s="19" t="s">
        <v>326</v>
      </c>
      <c r="S136" s="30" t="s">
        <v>326</v>
      </c>
      <c r="T136" s="31">
        <v>1</v>
      </c>
      <c r="U136" s="27">
        <v>10475917527</v>
      </c>
      <c r="V136" s="16">
        <v>22699.712951245936</v>
      </c>
      <c r="W136" s="16">
        <v>22699.712951245936</v>
      </c>
      <c r="X136" s="1485"/>
      <c r="Y136" s="1485"/>
      <c r="Z136" s="1388" t="str">
        <f>+IF(W136="","",IF(W136&gt;=PARAMETROS!$K$5,"CUMPLE","NO CUMPLE"))</f>
        <v>CUMPLE</v>
      </c>
      <c r="AA136" s="208">
        <v>62</v>
      </c>
      <c r="AB136" s="1485" t="s">
        <v>129</v>
      </c>
      <c r="AC136" s="1485"/>
      <c r="AD136" s="1485"/>
      <c r="AE136" s="1485" t="s">
        <v>129</v>
      </c>
      <c r="AF136" s="1485"/>
      <c r="AG136" s="1485"/>
      <c r="AH136" s="1485" t="s">
        <v>22</v>
      </c>
      <c r="AI136" s="1485"/>
      <c r="AJ136" s="1485"/>
      <c r="AK136" s="1388" t="s">
        <v>22</v>
      </c>
      <c r="AL136" s="1488"/>
      <c r="AM136" s="97"/>
      <c r="AN136" s="67"/>
    </row>
    <row r="137" spans="1:40" s="33" customFormat="1" ht="42.75">
      <c r="A137" s="1510"/>
      <c r="B137" s="687" t="s">
        <v>464</v>
      </c>
      <c r="C137" s="910">
        <v>212</v>
      </c>
      <c r="D137" s="489" t="str">
        <f>+IFERROR(INDEX(DESEMPATE!$D$3:$D$83,MATCH('EXP GENERAL '!B137,DESEMPATE!$C$3:$C$83,0)),"")</f>
        <v>CONCOL INGENIERÍA S.A.S.</v>
      </c>
      <c r="E137" s="716" t="s">
        <v>448</v>
      </c>
      <c r="F137" s="1305" t="s">
        <v>148</v>
      </c>
      <c r="G137" s="1305" t="s">
        <v>469</v>
      </c>
      <c r="H137" s="1074" t="s">
        <v>470</v>
      </c>
      <c r="I137" s="1388" t="s">
        <v>22</v>
      </c>
      <c r="J137" s="1388" t="s">
        <v>22</v>
      </c>
      <c r="K137" s="24">
        <v>1</v>
      </c>
      <c r="L137" s="25">
        <v>37298</v>
      </c>
      <c r="M137" s="25">
        <v>38088</v>
      </c>
      <c r="N137" s="26">
        <v>2004</v>
      </c>
      <c r="O137" s="27">
        <v>358000</v>
      </c>
      <c r="P137" s="895">
        <v>3628162781</v>
      </c>
      <c r="Q137" s="1080" t="s">
        <v>151</v>
      </c>
      <c r="R137" s="19" t="s">
        <v>326</v>
      </c>
      <c r="S137" s="30" t="s">
        <v>326</v>
      </c>
      <c r="T137" s="31">
        <v>1</v>
      </c>
      <c r="U137" s="27">
        <v>3628162781</v>
      </c>
      <c r="V137" s="16">
        <v>10134.532907821229</v>
      </c>
      <c r="W137" s="16">
        <v>10134.532907821229</v>
      </c>
      <c r="X137" s="1485"/>
      <c r="Y137" s="1485"/>
      <c r="Z137" s="1388" t="str">
        <f>+IF(W137="","",IF(W137&gt;=PARAMETROS!$K$5,"CUMPLE","NO CUMPLE"))</f>
        <v>CUMPLE</v>
      </c>
      <c r="AA137" s="208">
        <v>59</v>
      </c>
      <c r="AB137" s="1485" t="s">
        <v>22</v>
      </c>
      <c r="AC137" s="1485"/>
      <c r="AD137" s="1485"/>
      <c r="AE137" s="1485" t="s">
        <v>22</v>
      </c>
      <c r="AF137" s="1485"/>
      <c r="AG137" s="1485"/>
      <c r="AH137" s="1485" t="s">
        <v>22</v>
      </c>
      <c r="AI137" s="1485"/>
      <c r="AJ137" s="1485"/>
      <c r="AK137" s="1388" t="s">
        <v>22</v>
      </c>
      <c r="AL137" s="1488"/>
      <c r="AM137" s="97"/>
      <c r="AN137" s="67"/>
    </row>
    <row r="138" spans="1:40" s="33" customFormat="1" ht="42.75">
      <c r="A138" s="1510"/>
      <c r="B138" s="687" t="s">
        <v>464</v>
      </c>
      <c r="C138" s="910">
        <v>215</v>
      </c>
      <c r="D138" s="489" t="str">
        <f>+IFERROR(INDEX(DESEMPATE!$D$3:$D$83,MATCH('EXP GENERAL '!B138,DESEMPATE!$C$3:$C$83,0)),"")</f>
        <v>CONCOL INGENIERÍA S.A.S.</v>
      </c>
      <c r="E138" s="716" t="s">
        <v>448</v>
      </c>
      <c r="F138" s="1305" t="s">
        <v>148</v>
      </c>
      <c r="G138" s="1305" t="s">
        <v>471</v>
      </c>
      <c r="H138" s="1074" t="s">
        <v>472</v>
      </c>
      <c r="I138" s="1388" t="s">
        <v>22</v>
      </c>
      <c r="J138" s="1388" t="s">
        <v>22</v>
      </c>
      <c r="K138" s="24">
        <v>0.45</v>
      </c>
      <c r="L138" s="25">
        <v>39860</v>
      </c>
      <c r="M138" s="25">
        <v>41213</v>
      </c>
      <c r="N138" s="26">
        <v>2012</v>
      </c>
      <c r="O138" s="27">
        <v>566700</v>
      </c>
      <c r="P138" s="895">
        <v>8291206645</v>
      </c>
      <c r="Q138" s="1080" t="s">
        <v>151</v>
      </c>
      <c r="R138" s="19" t="s">
        <v>326</v>
      </c>
      <c r="S138" s="30" t="s">
        <v>326</v>
      </c>
      <c r="T138" s="31">
        <v>1</v>
      </c>
      <c r="U138" s="27">
        <v>8291206645</v>
      </c>
      <c r="V138" s="16">
        <v>14630.680509970001</v>
      </c>
      <c r="W138" s="16">
        <v>6583.8062294865003</v>
      </c>
      <c r="X138" s="1485"/>
      <c r="Y138" s="1485"/>
      <c r="Z138" s="1388" t="str">
        <f>+IF(W138="","",IF(W138&gt;=PARAMETROS!$K$5,"CUMPLE","NO CUMPLE"))</f>
        <v>CUMPLE</v>
      </c>
      <c r="AA138" s="208">
        <v>69</v>
      </c>
      <c r="AB138" s="1485" t="s">
        <v>129</v>
      </c>
      <c r="AC138" s="1485"/>
      <c r="AD138" s="1485"/>
      <c r="AE138" s="1485" t="s">
        <v>129</v>
      </c>
      <c r="AF138" s="1485"/>
      <c r="AG138" s="1485"/>
      <c r="AH138" s="1485" t="s">
        <v>22</v>
      </c>
      <c r="AI138" s="1485"/>
      <c r="AJ138" s="1485"/>
      <c r="AK138" s="1388" t="s">
        <v>22</v>
      </c>
      <c r="AL138" s="1488"/>
      <c r="AM138" s="97"/>
      <c r="AN138" s="67"/>
    </row>
    <row r="139" spans="1:40" s="33" customFormat="1" ht="12.75" customHeight="1">
      <c r="A139" s="1510"/>
      <c r="B139" s="687"/>
      <c r="C139" s="910"/>
      <c r="D139" s="489" t="str">
        <f>+IFERROR(INDEX([2]DESEMPATE!$D$3:$D$83,MATCH('[2]EXP GEN 21-26'!B139,[2]DESEMPATE!$C$3:$C$83,0)),"")</f>
        <v/>
      </c>
      <c r="E139" s="716"/>
      <c r="F139" s="1305"/>
      <c r="G139" s="1305"/>
      <c r="H139" s="1074"/>
      <c r="I139" s="1388"/>
      <c r="J139" s="1388"/>
      <c r="K139" s="24"/>
      <c r="L139" s="25"/>
      <c r="M139" s="25"/>
      <c r="N139" s="26" t="s">
        <v>158</v>
      </c>
      <c r="O139" s="27" t="s">
        <v>158</v>
      </c>
      <c r="P139" s="895"/>
      <c r="Q139" s="1080"/>
      <c r="R139" s="19"/>
      <c r="S139" s="30"/>
      <c r="T139" s="31"/>
      <c r="U139" s="27" t="s">
        <v>158</v>
      </c>
      <c r="V139" s="16" t="s">
        <v>158</v>
      </c>
      <c r="W139" s="16" t="s">
        <v>158</v>
      </c>
      <c r="X139" s="1485"/>
      <c r="Y139" s="1485"/>
      <c r="Z139" s="1388" t="str">
        <f>+IF(W139="","",IF(W139&gt;=[2]PARAMETROS!$K$5,"CUMPLE","NO CUMPLE"))</f>
        <v/>
      </c>
      <c r="AA139" s="16"/>
      <c r="AB139" s="1485"/>
      <c r="AC139" s="1485"/>
      <c r="AD139" s="1485"/>
      <c r="AE139" s="1485"/>
      <c r="AF139" s="1485"/>
      <c r="AG139" s="1485"/>
      <c r="AH139" s="1485"/>
      <c r="AI139" s="1485"/>
      <c r="AJ139" s="1485"/>
      <c r="AK139" s="1388"/>
      <c r="AL139" s="1488"/>
      <c r="AM139" s="97"/>
      <c r="AN139" s="67"/>
    </row>
    <row r="140" spans="1:40" s="33" customFormat="1" ht="12" customHeight="1" thickBot="1">
      <c r="A140" s="1511"/>
      <c r="B140" s="476"/>
      <c r="C140" s="1075"/>
      <c r="D140" s="493" t="str">
        <f>+IFERROR(INDEX([2]DESEMPATE!$D$3:$D$83,MATCH('[2]EXP GEN 21-26'!B140,[2]DESEMPATE!$C$3:$C$83,0)),"")</f>
        <v/>
      </c>
      <c r="E140" s="718"/>
      <c r="F140" s="1306"/>
      <c r="G140" s="1306"/>
      <c r="H140" s="719"/>
      <c r="I140" s="1392"/>
      <c r="J140" s="1392"/>
      <c r="K140" s="104"/>
      <c r="L140" s="105"/>
      <c r="M140" s="105"/>
      <c r="N140" s="106" t="s">
        <v>158</v>
      </c>
      <c r="O140" s="75" t="s">
        <v>158</v>
      </c>
      <c r="P140" s="896"/>
      <c r="Q140" s="475"/>
      <c r="R140" s="99"/>
      <c r="S140" s="110"/>
      <c r="T140" s="111"/>
      <c r="U140" s="107" t="s">
        <v>158</v>
      </c>
      <c r="V140" s="112" t="s">
        <v>158</v>
      </c>
      <c r="W140" s="112" t="s">
        <v>158</v>
      </c>
      <c r="X140" s="1486"/>
      <c r="Y140" s="1486"/>
      <c r="Z140" s="1401" t="str">
        <f>+IF(W140="","",IF(W140&gt;=[2]PARAMETROS!$K$5,"CUMPLE","NO CUMPLE"))</f>
        <v/>
      </c>
      <c r="AA140" s="112"/>
      <c r="AB140" s="1486"/>
      <c r="AC140" s="1486"/>
      <c r="AD140" s="1486"/>
      <c r="AE140" s="1486"/>
      <c r="AF140" s="1486"/>
      <c r="AG140" s="1486"/>
      <c r="AH140" s="1486"/>
      <c r="AI140" s="1486"/>
      <c r="AJ140" s="1486"/>
      <c r="AK140" s="1392"/>
      <c r="AL140" s="1489"/>
      <c r="AM140" s="113"/>
      <c r="AN140" s="67"/>
    </row>
    <row r="141" spans="1:40" s="33" customFormat="1" ht="42.75">
      <c r="A141" s="1509" t="s">
        <v>44</v>
      </c>
      <c r="B141" s="233" t="s">
        <v>473</v>
      </c>
      <c r="C141" s="234">
        <v>82</v>
      </c>
      <c r="D141" s="1301" t="str">
        <f>+IFERROR(INDEX(DESEMPATE!$D$3:$D$83,MATCH('EXP GENERAL '!B141,DESEMPATE!$C$3:$C$83,0)),"")</f>
        <v>ARDANUY COLOMBIA S.A.S.</v>
      </c>
      <c r="E141" s="1313" t="s">
        <v>474</v>
      </c>
      <c r="F141" s="1302" t="s">
        <v>139</v>
      </c>
      <c r="G141" s="1302" t="s">
        <v>311</v>
      </c>
      <c r="H141" s="1074" t="s">
        <v>475</v>
      </c>
      <c r="I141" s="1393" t="s">
        <v>22</v>
      </c>
      <c r="J141" s="1393" t="s">
        <v>22</v>
      </c>
      <c r="K141" s="924">
        <v>0.5</v>
      </c>
      <c r="L141" s="25">
        <v>37834</v>
      </c>
      <c r="M141" s="25">
        <v>39447</v>
      </c>
      <c r="N141" s="88">
        <v>2007</v>
      </c>
      <c r="O141" s="298">
        <v>433700</v>
      </c>
      <c r="P141" s="893">
        <v>2365518.39</v>
      </c>
      <c r="Q141" s="242" t="s">
        <v>142</v>
      </c>
      <c r="R141" s="81">
        <v>1.4718500000000001</v>
      </c>
      <c r="S141" s="297">
        <v>3481688.2423215006</v>
      </c>
      <c r="T141" s="93">
        <v>2014.76</v>
      </c>
      <c r="U141" s="298">
        <v>7014766203.0996666</v>
      </c>
      <c r="V141" s="94">
        <v>16174.236115055723</v>
      </c>
      <c r="W141" s="94">
        <v>8087.1180575278613</v>
      </c>
      <c r="X141" s="1484" t="s">
        <v>245</v>
      </c>
      <c r="Y141" s="1484" t="s">
        <v>245</v>
      </c>
      <c r="Z141" s="1400" t="str">
        <f>+IF(W141="","",IF(W141&gt;=[2]PARAMETROS!$K$5,"CUMPLE","NO CUMPLE"))</f>
        <v>CUMPLE</v>
      </c>
      <c r="AA141" s="207">
        <v>2</v>
      </c>
      <c r="AB141" s="1484" t="s">
        <v>22</v>
      </c>
      <c r="AC141" s="1484"/>
      <c r="AD141" s="1484"/>
      <c r="AE141" s="1484" t="s">
        <v>22</v>
      </c>
      <c r="AF141" s="1484"/>
      <c r="AG141" s="1484"/>
      <c r="AH141" s="1484" t="s">
        <v>22</v>
      </c>
      <c r="AI141" s="1484"/>
      <c r="AJ141" s="1484"/>
      <c r="AK141" s="1393" t="s">
        <v>22</v>
      </c>
      <c r="AL141" s="1487" t="s">
        <v>21</v>
      </c>
      <c r="AM141" s="96"/>
      <c r="AN141" s="67"/>
    </row>
    <row r="142" spans="1:40" s="33" customFormat="1" ht="42.75">
      <c r="A142" s="1510"/>
      <c r="B142" s="687" t="s">
        <v>473</v>
      </c>
      <c r="C142" s="910">
        <v>86</v>
      </c>
      <c r="D142" s="489" t="str">
        <f>+IFERROR(INDEX(DESEMPATE!$D$3:$D$83,MATCH('EXP GENERAL '!B142,DESEMPATE!$C$3:$C$83,0)),"")</f>
        <v>ARDANUY COLOMBIA S.A.S.</v>
      </c>
      <c r="E142" s="1314" t="s">
        <v>182</v>
      </c>
      <c r="F142" s="1305" t="s">
        <v>139</v>
      </c>
      <c r="G142" s="1305" t="s">
        <v>311</v>
      </c>
      <c r="H142" s="1074" t="s">
        <v>476</v>
      </c>
      <c r="I142" s="1388" t="s">
        <v>22</v>
      </c>
      <c r="J142" s="1388" t="s">
        <v>22</v>
      </c>
      <c r="K142" s="924">
        <v>0.4</v>
      </c>
      <c r="L142" s="25">
        <v>40086</v>
      </c>
      <c r="M142" s="25">
        <v>41274</v>
      </c>
      <c r="N142" s="26">
        <v>2012</v>
      </c>
      <c r="O142" s="27">
        <v>566700</v>
      </c>
      <c r="P142" s="895">
        <v>3547533.87</v>
      </c>
      <c r="Q142" s="1080" t="s">
        <v>142</v>
      </c>
      <c r="R142" s="19">
        <v>1.32148</v>
      </c>
      <c r="S142" s="30">
        <v>4687995.0585276</v>
      </c>
      <c r="T142" s="31">
        <v>1768.23</v>
      </c>
      <c r="U142" s="27">
        <v>8289453502.3402586</v>
      </c>
      <c r="V142" s="16">
        <v>14627.586910782175</v>
      </c>
      <c r="W142" s="16">
        <v>5851.0347643128698</v>
      </c>
      <c r="X142" s="1485"/>
      <c r="Y142" s="1485"/>
      <c r="Z142" s="1388" t="str">
        <f>+IF(W142="","",IF(W142&gt;=[2]PARAMETROS!$K$5,"CUMPLE","NO CUMPLE"))</f>
        <v>CUMPLE</v>
      </c>
      <c r="AA142" s="208">
        <v>22</v>
      </c>
      <c r="AB142" s="1485" t="s">
        <v>22</v>
      </c>
      <c r="AC142" s="1485"/>
      <c r="AD142" s="1485"/>
      <c r="AE142" s="1485" t="s">
        <v>22</v>
      </c>
      <c r="AF142" s="1485"/>
      <c r="AG142" s="1485"/>
      <c r="AH142" s="1485" t="s">
        <v>22</v>
      </c>
      <c r="AI142" s="1485"/>
      <c r="AJ142" s="1485"/>
      <c r="AK142" s="1388" t="s">
        <v>22</v>
      </c>
      <c r="AL142" s="1488"/>
      <c r="AM142" s="97"/>
      <c r="AN142" s="67"/>
    </row>
    <row r="143" spans="1:40" s="33" customFormat="1" ht="11.25" customHeight="1">
      <c r="A143" s="1510"/>
      <c r="B143" s="687"/>
      <c r="C143" s="910"/>
      <c r="D143" s="489" t="str">
        <f>+IFERROR(INDEX(DESEMPATE!$D$3:$D$83,MATCH('EXP GENERAL '!B143,DESEMPATE!$C$3:$C$83,0)),"")</f>
        <v/>
      </c>
      <c r="E143" s="716"/>
      <c r="F143" s="1305"/>
      <c r="G143" s="1305"/>
      <c r="H143" s="1074"/>
      <c r="I143" s="1388"/>
      <c r="J143" s="1388"/>
      <c r="K143" s="24"/>
      <c r="L143" s="25"/>
      <c r="M143" s="25"/>
      <c r="N143" s="26" t="s">
        <v>158</v>
      </c>
      <c r="O143" s="27" t="s">
        <v>158</v>
      </c>
      <c r="P143" s="895"/>
      <c r="Q143" s="1080"/>
      <c r="R143" s="19"/>
      <c r="S143" s="30"/>
      <c r="T143" s="31"/>
      <c r="U143" s="27" t="s">
        <v>158</v>
      </c>
      <c r="V143" s="16" t="s">
        <v>158</v>
      </c>
      <c r="W143" s="16" t="s">
        <v>158</v>
      </c>
      <c r="X143" s="1485"/>
      <c r="Y143" s="1485"/>
      <c r="Z143" s="1388" t="str">
        <f>+IF(W143="","",IF(W143&gt;=[2]PARAMETROS!$K$5,"CUMPLE","NO CUMPLE"))</f>
        <v/>
      </c>
      <c r="AA143" s="16"/>
      <c r="AB143" s="1485"/>
      <c r="AC143" s="1485"/>
      <c r="AD143" s="1485"/>
      <c r="AE143" s="1485"/>
      <c r="AF143" s="1485"/>
      <c r="AG143" s="1485"/>
      <c r="AH143" s="1485"/>
      <c r="AI143" s="1485"/>
      <c r="AJ143" s="1485"/>
      <c r="AK143" s="1388"/>
      <c r="AL143" s="1488"/>
      <c r="AM143" s="97"/>
      <c r="AN143" s="67"/>
    </row>
    <row r="144" spans="1:40" s="33" customFormat="1" ht="11.25" customHeight="1">
      <c r="A144" s="1510"/>
      <c r="B144" s="687"/>
      <c r="C144" s="910"/>
      <c r="D144" s="489" t="str">
        <f>+IFERROR(INDEX(DESEMPATE!$D$3:$D$83,MATCH('EXP GENERAL '!B144,DESEMPATE!$C$3:$C$83,0)),"")</f>
        <v/>
      </c>
      <c r="E144" s="716"/>
      <c r="F144" s="1305"/>
      <c r="G144" s="1305"/>
      <c r="H144" s="1074"/>
      <c r="I144" s="1388"/>
      <c r="J144" s="1388"/>
      <c r="K144" s="24"/>
      <c r="L144" s="25"/>
      <c r="M144" s="25"/>
      <c r="N144" s="26" t="s">
        <v>158</v>
      </c>
      <c r="O144" s="27" t="s">
        <v>158</v>
      </c>
      <c r="P144" s="895"/>
      <c r="Q144" s="1080"/>
      <c r="R144" s="19"/>
      <c r="S144" s="30"/>
      <c r="T144" s="31"/>
      <c r="U144" s="27" t="s">
        <v>158</v>
      </c>
      <c r="V144" s="16" t="s">
        <v>158</v>
      </c>
      <c r="W144" s="16" t="s">
        <v>158</v>
      </c>
      <c r="X144" s="1485"/>
      <c r="Y144" s="1485"/>
      <c r="Z144" s="1388" t="str">
        <f>+IF(W144="","",IF(W144&gt;=[2]PARAMETROS!$K$5,"CUMPLE","NO CUMPLE"))</f>
        <v/>
      </c>
      <c r="AA144" s="16"/>
      <c r="AB144" s="1485"/>
      <c r="AC144" s="1485"/>
      <c r="AD144" s="1485"/>
      <c r="AE144" s="1485"/>
      <c r="AF144" s="1485"/>
      <c r="AG144" s="1485"/>
      <c r="AH144" s="1485"/>
      <c r="AI144" s="1485"/>
      <c r="AJ144" s="1485"/>
      <c r="AK144" s="1388"/>
      <c r="AL144" s="1488"/>
      <c r="AM144" s="97"/>
      <c r="AN144" s="67"/>
    </row>
    <row r="145" spans="1:40" s="33" customFormat="1" ht="12" customHeight="1">
      <c r="A145" s="1510"/>
      <c r="B145" s="687"/>
      <c r="C145" s="910"/>
      <c r="D145" s="489" t="str">
        <f>+IFERROR(INDEX([2]DESEMPATE!$D$3:$D$83,MATCH('[2]EXP GEN 21-26'!B145,[2]DESEMPATE!$C$3:$C$83,0)),"")</f>
        <v/>
      </c>
      <c r="E145" s="716"/>
      <c r="F145" s="1305"/>
      <c r="G145" s="1305"/>
      <c r="H145" s="1074"/>
      <c r="I145" s="1388"/>
      <c r="J145" s="1388"/>
      <c r="K145" s="24"/>
      <c r="L145" s="25"/>
      <c r="M145" s="25"/>
      <c r="N145" s="26" t="s">
        <v>158</v>
      </c>
      <c r="O145" s="27" t="s">
        <v>158</v>
      </c>
      <c r="P145" s="895"/>
      <c r="Q145" s="1080"/>
      <c r="R145" s="19"/>
      <c r="S145" s="30"/>
      <c r="T145" s="31"/>
      <c r="U145" s="27" t="s">
        <v>158</v>
      </c>
      <c r="V145" s="16" t="s">
        <v>158</v>
      </c>
      <c r="W145" s="16" t="s">
        <v>158</v>
      </c>
      <c r="X145" s="1485"/>
      <c r="Y145" s="1485"/>
      <c r="Z145" s="1388" t="str">
        <f>+IF(W145="","",IF(W145&gt;=[2]PARAMETROS!$K$5,"CUMPLE","NO CUMPLE"))</f>
        <v/>
      </c>
      <c r="AA145" s="16"/>
      <c r="AB145" s="1485"/>
      <c r="AC145" s="1485"/>
      <c r="AD145" s="1485"/>
      <c r="AE145" s="1485"/>
      <c r="AF145" s="1485"/>
      <c r="AG145" s="1485"/>
      <c r="AH145" s="1485"/>
      <c r="AI145" s="1485"/>
      <c r="AJ145" s="1485"/>
      <c r="AK145" s="1388"/>
      <c r="AL145" s="1488"/>
      <c r="AM145" s="97"/>
      <c r="AN145" s="67"/>
    </row>
    <row r="146" spans="1:40" s="33" customFormat="1" ht="9.75" customHeight="1" thickBot="1">
      <c r="A146" s="1511"/>
      <c r="B146" s="476"/>
      <c r="C146" s="1075"/>
      <c r="D146" s="493" t="str">
        <f>+IFERROR(INDEX([2]DESEMPATE!$D$3:$D$83,MATCH('[2]EXP GEN 21-26'!B146,[2]DESEMPATE!$C$3:$C$83,0)),"")</f>
        <v/>
      </c>
      <c r="E146" s="718"/>
      <c r="F146" s="1306"/>
      <c r="G146" s="1306"/>
      <c r="H146" s="719"/>
      <c r="I146" s="1392"/>
      <c r="J146" s="1392"/>
      <c r="K146" s="104"/>
      <c r="L146" s="105"/>
      <c r="M146" s="105"/>
      <c r="N146" s="106" t="s">
        <v>158</v>
      </c>
      <c r="O146" s="75" t="s">
        <v>158</v>
      </c>
      <c r="P146" s="896"/>
      <c r="Q146" s="475"/>
      <c r="R146" s="99"/>
      <c r="S146" s="110"/>
      <c r="T146" s="111"/>
      <c r="U146" s="107" t="s">
        <v>158</v>
      </c>
      <c r="V146" s="112" t="s">
        <v>158</v>
      </c>
      <c r="W146" s="112" t="s">
        <v>158</v>
      </c>
      <c r="X146" s="1486"/>
      <c r="Y146" s="1486"/>
      <c r="Z146" s="1401" t="str">
        <f>+IF(W146="","",IF(W146&gt;=[2]PARAMETROS!$K$5,"CUMPLE","NO CUMPLE"))</f>
        <v/>
      </c>
      <c r="AA146" s="112"/>
      <c r="AB146" s="1486"/>
      <c r="AC146" s="1486"/>
      <c r="AD146" s="1486"/>
      <c r="AE146" s="1486"/>
      <c r="AF146" s="1486"/>
      <c r="AG146" s="1486"/>
      <c r="AH146" s="1486"/>
      <c r="AI146" s="1486"/>
      <c r="AJ146" s="1486"/>
      <c r="AK146" s="1392"/>
      <c r="AL146" s="1489"/>
      <c r="AM146" s="113"/>
      <c r="AN146" s="67"/>
    </row>
    <row r="147" spans="1:40" s="33" customFormat="1" ht="63">
      <c r="A147" s="1509" t="s">
        <v>46</v>
      </c>
      <c r="B147" s="233" t="s">
        <v>477</v>
      </c>
      <c r="C147" s="234">
        <v>180</v>
      </c>
      <c r="D147" s="1301" t="str">
        <f>+IFERROR(INDEX(DESEMPATE!$D$3:$D$83,MATCH('EXP GENERAL '!B147,DESEMPATE!$C$3:$C$83,0)),"")</f>
        <v>TECNOLOGÍAS Y CONSULTORIAS AMBIENTALES Y DE GESTIÓN S.A. - "TECNICONSULTA S.A."</v>
      </c>
      <c r="E147" s="235" t="s">
        <v>448</v>
      </c>
      <c r="F147" s="1302" t="s">
        <v>148</v>
      </c>
      <c r="G147" s="1302" t="s">
        <v>478</v>
      </c>
      <c r="H147" s="236" t="s">
        <v>479</v>
      </c>
      <c r="I147" s="1393" t="s">
        <v>22</v>
      </c>
      <c r="J147" s="1393" t="s">
        <v>22</v>
      </c>
      <c r="K147" s="86">
        <v>0.6</v>
      </c>
      <c r="L147" s="87">
        <v>39860</v>
      </c>
      <c r="M147" s="87">
        <v>41260</v>
      </c>
      <c r="N147" s="88">
        <v>2012</v>
      </c>
      <c r="O147" s="298">
        <v>566700</v>
      </c>
      <c r="P147" s="893">
        <v>8865205964</v>
      </c>
      <c r="Q147" s="242" t="s">
        <v>151</v>
      </c>
      <c r="R147" s="81" t="s">
        <v>326</v>
      </c>
      <c r="S147" s="92" t="s">
        <v>326</v>
      </c>
      <c r="T147" s="93">
        <v>1</v>
      </c>
      <c r="U147" s="89">
        <v>8865205964</v>
      </c>
      <c r="V147" s="94">
        <v>15643.560903476266</v>
      </c>
      <c r="W147" s="94">
        <v>9386.1365420857583</v>
      </c>
      <c r="X147" s="1484" t="s">
        <v>245</v>
      </c>
      <c r="Y147" s="1484" t="s">
        <v>245</v>
      </c>
      <c r="Z147" s="1400" t="str">
        <f>+IF(W147="","",IF(W147&gt;=[2]PARAMETROS!$K$5,"CUMPLE","NO CUMPLE"))</f>
        <v>CUMPLE</v>
      </c>
      <c r="AA147" s="207">
        <v>18</v>
      </c>
      <c r="AB147" s="1484" t="s">
        <v>22</v>
      </c>
      <c r="AC147" s="1484"/>
      <c r="AD147" s="1484"/>
      <c r="AE147" s="1484" t="s">
        <v>22</v>
      </c>
      <c r="AF147" s="1484"/>
      <c r="AG147" s="1484"/>
      <c r="AH147" s="1484" t="s">
        <v>22</v>
      </c>
      <c r="AI147" s="1484"/>
      <c r="AJ147" s="1484"/>
      <c r="AK147" s="1393" t="s">
        <v>22</v>
      </c>
      <c r="AL147" s="1487" t="s">
        <v>21</v>
      </c>
      <c r="AM147" s="96"/>
      <c r="AN147" s="67"/>
    </row>
    <row r="148" spans="1:40" s="33" customFormat="1" ht="63">
      <c r="A148" s="1510"/>
      <c r="B148" s="687" t="s">
        <v>477</v>
      </c>
      <c r="C148" s="910">
        <v>183</v>
      </c>
      <c r="D148" s="489" t="str">
        <f>+IFERROR(INDEX(DESEMPATE!$D$3:$D$83,MATCH('EXP GENERAL '!B148,DESEMPATE!$C$3:$C$83,0)),"")</f>
        <v>TECNOLOGÍAS Y CONSULTORIAS AMBIENTALES Y DE GESTIÓN S.A. - "TECNICONSULTA S.A."</v>
      </c>
      <c r="E148" s="716" t="s">
        <v>433</v>
      </c>
      <c r="F148" s="1305" t="s">
        <v>148</v>
      </c>
      <c r="G148" s="1305" t="s">
        <v>480</v>
      </c>
      <c r="H148" s="1074" t="s">
        <v>481</v>
      </c>
      <c r="I148" s="1388" t="s">
        <v>22</v>
      </c>
      <c r="J148" s="1388" t="s">
        <v>22</v>
      </c>
      <c r="K148" s="24">
        <v>0.7</v>
      </c>
      <c r="L148" s="25">
        <v>41404</v>
      </c>
      <c r="M148" s="25">
        <v>42137</v>
      </c>
      <c r="N148" s="26">
        <v>2015</v>
      </c>
      <c r="O148" s="27">
        <v>644350</v>
      </c>
      <c r="P148" s="895">
        <v>5284171200</v>
      </c>
      <c r="Q148" s="1080" t="s">
        <v>151</v>
      </c>
      <c r="R148" s="19" t="s">
        <v>326</v>
      </c>
      <c r="S148" s="30" t="s">
        <v>326</v>
      </c>
      <c r="T148" s="31">
        <v>1</v>
      </c>
      <c r="U148" s="27">
        <v>5284171200</v>
      </c>
      <c r="V148" s="16">
        <v>8200.7778381314511</v>
      </c>
      <c r="W148" s="16">
        <v>5740.5444866920152</v>
      </c>
      <c r="X148" s="1485"/>
      <c r="Y148" s="1485"/>
      <c r="Z148" s="1388" t="str">
        <f>+IF(W148="","",IF(W148&gt;=[2]PARAMETROS!$K$5,"CUMPLE","NO CUMPLE"))</f>
        <v>CUMPLE</v>
      </c>
      <c r="AA148" s="208">
        <v>47</v>
      </c>
      <c r="AB148" s="1485" t="s">
        <v>22</v>
      </c>
      <c r="AC148" s="1485"/>
      <c r="AD148" s="1485"/>
      <c r="AE148" s="1485" t="s">
        <v>22</v>
      </c>
      <c r="AF148" s="1485"/>
      <c r="AG148" s="1485"/>
      <c r="AH148" s="1485" t="s">
        <v>22</v>
      </c>
      <c r="AI148" s="1485"/>
      <c r="AJ148" s="1485"/>
      <c r="AK148" s="1388" t="s">
        <v>22</v>
      </c>
      <c r="AL148" s="1488"/>
      <c r="AM148" s="97"/>
      <c r="AN148" s="67"/>
    </row>
    <row r="149" spans="1:40" s="33" customFormat="1" ht="47.25">
      <c r="A149" s="1510"/>
      <c r="B149" s="687" t="s">
        <v>482</v>
      </c>
      <c r="C149" s="910">
        <v>135</v>
      </c>
      <c r="D149" s="489" t="str">
        <f>+IFERROR(INDEX(DESEMPATE!$D$3:$D$83,MATCH('EXP GENERAL '!B149,DESEMPATE!$C$3:$C$83,0)),"")</f>
        <v>HORACIO FRANCISCO MENDOZA MARTINEZ</v>
      </c>
      <c r="E149" s="491" t="s">
        <v>442</v>
      </c>
      <c r="F149" s="1315" t="s">
        <v>148</v>
      </c>
      <c r="G149" s="1315" t="s">
        <v>483</v>
      </c>
      <c r="H149" s="1074" t="s">
        <v>484</v>
      </c>
      <c r="I149" s="1388" t="s">
        <v>22</v>
      </c>
      <c r="J149" s="1388" t="s">
        <v>22</v>
      </c>
      <c r="K149" s="38">
        <v>0.1</v>
      </c>
      <c r="L149" s="25">
        <v>37229</v>
      </c>
      <c r="M149" s="25">
        <v>40168</v>
      </c>
      <c r="N149" s="26">
        <v>2009</v>
      </c>
      <c r="O149" s="27">
        <v>496900</v>
      </c>
      <c r="P149" s="895">
        <v>30754650877.91</v>
      </c>
      <c r="Q149" s="1080" t="s">
        <v>151</v>
      </c>
      <c r="R149" s="19" t="s">
        <v>326</v>
      </c>
      <c r="S149" s="30" t="s">
        <v>326</v>
      </c>
      <c r="T149" s="31">
        <v>1</v>
      </c>
      <c r="U149" s="27">
        <v>30754650877.91</v>
      </c>
      <c r="V149" s="16">
        <v>61893.038595109683</v>
      </c>
      <c r="W149" s="16">
        <v>6189.3038595109683</v>
      </c>
      <c r="X149" s="1485"/>
      <c r="Y149" s="1485"/>
      <c r="Z149" s="1388" t="str">
        <f>+IF(W149="","",IF(W149&gt;=[2]PARAMETROS!$K$5,"CUMPLE","NO CUMPLE"))</f>
        <v>CUMPLE</v>
      </c>
      <c r="AA149" s="208">
        <v>76</v>
      </c>
      <c r="AB149" s="1485" t="s">
        <v>22</v>
      </c>
      <c r="AC149" s="1485"/>
      <c r="AD149" s="1485"/>
      <c r="AE149" s="1485" t="s">
        <v>22</v>
      </c>
      <c r="AF149" s="1485"/>
      <c r="AG149" s="1485"/>
      <c r="AH149" s="1485" t="s">
        <v>22</v>
      </c>
      <c r="AI149" s="1485"/>
      <c r="AJ149" s="1485"/>
      <c r="AK149" s="1388" t="s">
        <v>22</v>
      </c>
      <c r="AL149" s="1488"/>
      <c r="AM149" s="121"/>
      <c r="AN149" s="67"/>
    </row>
    <row r="150" spans="1:40" s="43" customFormat="1" ht="42.75">
      <c r="A150" s="1510"/>
      <c r="B150" s="687" t="s">
        <v>485</v>
      </c>
      <c r="C150" s="910">
        <v>197</v>
      </c>
      <c r="D150" s="489" t="str">
        <f>+IFERROR(INDEX(DESEMPATE!$D$3:$D$83,MATCH('EXP GENERAL '!B150,DESEMPATE!$C$3:$C$83,0)),"")</f>
        <v>PROYECTOS TECNICOS DE COLOMBIA S.A.S.</v>
      </c>
      <c r="E150" s="716" t="s">
        <v>448</v>
      </c>
      <c r="F150" s="1305" t="s">
        <v>148</v>
      </c>
      <c r="G150" s="1305" t="s">
        <v>486</v>
      </c>
      <c r="H150" s="1074" t="s">
        <v>487</v>
      </c>
      <c r="I150" s="1388" t="s">
        <v>22</v>
      </c>
      <c r="J150" s="1388" t="s">
        <v>22</v>
      </c>
      <c r="K150" s="39">
        <v>0.5</v>
      </c>
      <c r="L150" s="40">
        <v>39862</v>
      </c>
      <c r="M150" s="41">
        <v>40878</v>
      </c>
      <c r="N150" s="26">
        <v>2011</v>
      </c>
      <c r="O150" s="27">
        <v>535600</v>
      </c>
      <c r="P150" s="898">
        <v>8675772032</v>
      </c>
      <c r="Q150" s="1080" t="s">
        <v>151</v>
      </c>
      <c r="R150" s="29" t="s">
        <v>326</v>
      </c>
      <c r="S150" s="29" t="s">
        <v>326</v>
      </c>
      <c r="T150" s="31">
        <v>1</v>
      </c>
      <c r="U150" s="27">
        <v>8675772032</v>
      </c>
      <c r="V150" s="16">
        <v>16198.23008215086</v>
      </c>
      <c r="W150" s="16">
        <v>8099.1150410754299</v>
      </c>
      <c r="X150" s="1485"/>
      <c r="Y150" s="1485"/>
      <c r="Z150" s="1388" t="str">
        <f>+IF(W150="","",IF(W150&gt;=[2]PARAMETROS!$K$5,"CUMPLE","NO CUMPLE"))</f>
        <v>CUMPLE</v>
      </c>
      <c r="AA150" s="210">
        <v>16</v>
      </c>
      <c r="AB150" s="1485" t="s">
        <v>22</v>
      </c>
      <c r="AC150" s="1485"/>
      <c r="AD150" s="1485"/>
      <c r="AE150" s="1485" t="s">
        <v>129</v>
      </c>
      <c r="AF150" s="1485"/>
      <c r="AG150" s="1485"/>
      <c r="AH150" s="1485" t="s">
        <v>22</v>
      </c>
      <c r="AI150" s="1485"/>
      <c r="AJ150" s="1485"/>
      <c r="AK150" s="1388" t="s">
        <v>22</v>
      </c>
      <c r="AL150" s="1488"/>
      <c r="AM150" s="97"/>
      <c r="AN150" s="115"/>
    </row>
    <row r="151" spans="1:40" s="33" customFormat="1" ht="12" customHeight="1">
      <c r="A151" s="1510"/>
      <c r="B151" s="687"/>
      <c r="C151" s="910"/>
      <c r="D151" s="489" t="str">
        <f>+IFERROR(INDEX([2]DESEMPATE!$D$3:$D$83,MATCH('[2]EXP GEN 21-26'!B151,[2]DESEMPATE!$C$3:$C$83,0)),"")</f>
        <v/>
      </c>
      <c r="E151" s="716"/>
      <c r="F151" s="1305"/>
      <c r="G151" s="1305"/>
      <c r="H151" s="1074"/>
      <c r="I151" s="1388"/>
      <c r="J151" s="1388"/>
      <c r="K151" s="24"/>
      <c r="L151" s="25"/>
      <c r="M151" s="25"/>
      <c r="N151" s="26" t="s">
        <v>158</v>
      </c>
      <c r="O151" s="27" t="s">
        <v>158</v>
      </c>
      <c r="P151" s="895"/>
      <c r="Q151" s="1080"/>
      <c r="R151" s="19"/>
      <c r="S151" s="30"/>
      <c r="T151" s="31"/>
      <c r="U151" s="27" t="s">
        <v>158</v>
      </c>
      <c r="V151" s="16" t="s">
        <v>158</v>
      </c>
      <c r="W151" s="16" t="s">
        <v>158</v>
      </c>
      <c r="X151" s="1485"/>
      <c r="Y151" s="1485"/>
      <c r="Z151" s="1388" t="str">
        <f>+IF(W151="","",IF(W151&gt;=[2]PARAMETROS!$K$5,"CUMPLE","NO CUMPLE"))</f>
        <v/>
      </c>
      <c r="AA151" s="16"/>
      <c r="AB151" s="1485"/>
      <c r="AC151" s="1485"/>
      <c r="AD151" s="1485"/>
      <c r="AE151" s="1485"/>
      <c r="AF151" s="1485"/>
      <c r="AG151" s="1485"/>
      <c r="AH151" s="1485"/>
      <c r="AI151" s="1485"/>
      <c r="AJ151" s="1485"/>
      <c r="AK151" s="1388"/>
      <c r="AL151" s="1488"/>
      <c r="AM151" s="97"/>
      <c r="AN151" s="67"/>
    </row>
    <row r="152" spans="1:40" s="33" customFormat="1" ht="12.75" customHeight="1" thickBot="1">
      <c r="A152" s="1511"/>
      <c r="B152" s="476"/>
      <c r="C152" s="1075"/>
      <c r="D152" s="493" t="str">
        <f>+IFERROR(INDEX([2]DESEMPATE!$D$3:$D$83,MATCH('[2]EXP GEN 21-26'!B152,[2]DESEMPATE!$C$3:$C$83,0)),"")</f>
        <v/>
      </c>
      <c r="E152" s="718"/>
      <c r="F152" s="1306"/>
      <c r="G152" s="1306"/>
      <c r="H152" s="719"/>
      <c r="I152" s="1392"/>
      <c r="J152" s="1392"/>
      <c r="K152" s="104"/>
      <c r="L152" s="105"/>
      <c r="M152" s="105"/>
      <c r="N152" s="106" t="s">
        <v>158</v>
      </c>
      <c r="O152" s="75" t="s">
        <v>158</v>
      </c>
      <c r="P152" s="896"/>
      <c r="Q152" s="475"/>
      <c r="R152" s="99"/>
      <c r="S152" s="110"/>
      <c r="T152" s="111"/>
      <c r="U152" s="107" t="s">
        <v>158</v>
      </c>
      <c r="V152" s="112" t="s">
        <v>158</v>
      </c>
      <c r="W152" s="112" t="s">
        <v>158</v>
      </c>
      <c r="X152" s="1486"/>
      <c r="Y152" s="1486"/>
      <c r="Z152" s="1401" t="str">
        <f>+IF(W152="","",IF(W152&gt;=[2]PARAMETROS!$K$5,"CUMPLE","NO CUMPLE"))</f>
        <v/>
      </c>
      <c r="AA152" s="112"/>
      <c r="AB152" s="1486"/>
      <c r="AC152" s="1486"/>
      <c r="AD152" s="1486"/>
      <c r="AE152" s="1486"/>
      <c r="AF152" s="1486"/>
      <c r="AG152" s="1486"/>
      <c r="AH152" s="1486"/>
      <c r="AI152" s="1486"/>
      <c r="AJ152" s="1486"/>
      <c r="AK152" s="1392"/>
      <c r="AL152" s="1489"/>
      <c r="AM152" s="113"/>
      <c r="AN152" s="67"/>
    </row>
    <row r="153" spans="1:40" s="33" customFormat="1" ht="47.25">
      <c r="A153" s="1509" t="s">
        <v>49</v>
      </c>
      <c r="B153" s="233" t="s">
        <v>488</v>
      </c>
      <c r="C153" s="234">
        <v>311</v>
      </c>
      <c r="D153" s="1301" t="str">
        <f>+IFERROR(INDEX(DESEMPATE!$D$3:$D$83,MATCH('EXP GENERAL '!B153,DESEMPATE!$C$3:$C$83,0)),"")</f>
        <v>AYESA DE COLOMBIA INGENIERIA Y ARQUITECTURA S.A.S.</v>
      </c>
      <c r="E153" s="235" t="s">
        <v>474</v>
      </c>
      <c r="F153" s="1302" t="s">
        <v>139</v>
      </c>
      <c r="G153" s="1302" t="s">
        <v>311</v>
      </c>
      <c r="H153" s="236" t="s">
        <v>489</v>
      </c>
      <c r="I153" s="1393" t="s">
        <v>22</v>
      </c>
      <c r="J153" s="1393" t="s">
        <v>22</v>
      </c>
      <c r="K153" s="86">
        <v>1</v>
      </c>
      <c r="L153" s="87">
        <v>37591</v>
      </c>
      <c r="M153" s="87">
        <v>40117</v>
      </c>
      <c r="N153" s="88">
        <v>2009</v>
      </c>
      <c r="O153" s="298">
        <v>496900</v>
      </c>
      <c r="P153" s="893">
        <v>4306126.45</v>
      </c>
      <c r="Q153" s="242" t="s">
        <v>142</v>
      </c>
      <c r="R153" s="81">
        <v>1.48045</v>
      </c>
      <c r="S153" s="92">
        <v>6375004.9029025007</v>
      </c>
      <c r="T153" s="93">
        <v>1993.8</v>
      </c>
      <c r="U153" s="89">
        <v>12710484775.407005</v>
      </c>
      <c r="V153" s="94">
        <v>25579.562840424642</v>
      </c>
      <c r="W153" s="94">
        <v>25579.562840424642</v>
      </c>
      <c r="X153" s="1484" t="s">
        <v>245</v>
      </c>
      <c r="Y153" s="1484" t="s">
        <v>245</v>
      </c>
      <c r="Z153" s="1400" t="str">
        <f>+IF(W153="","",IF(W153&gt;=[2]PARAMETROS!$K$5,"CUMPLE","NO CUMPLE"))</f>
        <v>CUMPLE</v>
      </c>
      <c r="AA153" s="207">
        <v>2</v>
      </c>
      <c r="AB153" s="1484" t="s">
        <v>22</v>
      </c>
      <c r="AC153" s="1484"/>
      <c r="AD153" s="1484"/>
      <c r="AE153" s="1484" t="s">
        <v>22</v>
      </c>
      <c r="AF153" s="1484"/>
      <c r="AG153" s="1484"/>
      <c r="AH153" s="1484" t="s">
        <v>22</v>
      </c>
      <c r="AI153" s="1484"/>
      <c r="AJ153" s="1484"/>
      <c r="AK153" s="1393" t="s">
        <v>22</v>
      </c>
      <c r="AL153" s="1487" t="s">
        <v>21</v>
      </c>
      <c r="AM153" s="96"/>
      <c r="AN153" s="67"/>
    </row>
    <row r="154" spans="1:40" s="33" customFormat="1" ht="42.75">
      <c r="A154" s="1510"/>
      <c r="B154" s="687" t="s">
        <v>490</v>
      </c>
      <c r="C154" s="910">
        <v>319</v>
      </c>
      <c r="D154" s="489" t="str">
        <f>+IFERROR(INDEX(DESEMPATE!$D$3:$D$83,MATCH('EXP GENERAL '!B154,DESEMPATE!$C$3:$C$83,0)),"")</f>
        <v>INTERSA S.A.</v>
      </c>
      <c r="E154" s="716" t="s">
        <v>461</v>
      </c>
      <c r="F154" s="1305" t="s">
        <v>148</v>
      </c>
      <c r="G154" s="1305" t="s">
        <v>491</v>
      </c>
      <c r="H154" s="1074" t="s">
        <v>492</v>
      </c>
      <c r="I154" s="1388" t="s">
        <v>22</v>
      </c>
      <c r="J154" s="1388" t="s">
        <v>22</v>
      </c>
      <c r="K154" s="24">
        <v>0.5</v>
      </c>
      <c r="L154" s="25">
        <v>38772</v>
      </c>
      <c r="M154" s="25">
        <v>40656</v>
      </c>
      <c r="N154" s="26">
        <v>2011</v>
      </c>
      <c r="O154" s="27">
        <v>535600</v>
      </c>
      <c r="P154" s="895">
        <v>4793832856</v>
      </c>
      <c r="Q154" s="1080" t="s">
        <v>151</v>
      </c>
      <c r="R154" s="19" t="s">
        <v>326</v>
      </c>
      <c r="S154" s="30" t="s">
        <v>326</v>
      </c>
      <c r="T154" s="31">
        <v>1</v>
      </c>
      <c r="U154" s="27">
        <v>4793832856</v>
      </c>
      <c r="V154" s="16">
        <v>8950.3974159820755</v>
      </c>
      <c r="W154" s="16">
        <v>4475.1987079910377</v>
      </c>
      <c r="X154" s="1485"/>
      <c r="Y154" s="1485"/>
      <c r="Z154" s="1388" t="str">
        <f>+IF(W154="","",IF(W154&gt;=[2]PARAMETROS!$K$5,"CUMPLE","NO CUMPLE"))</f>
        <v>CUMPLE</v>
      </c>
      <c r="AA154" s="208">
        <v>21</v>
      </c>
      <c r="AB154" s="1485" t="s">
        <v>22</v>
      </c>
      <c r="AC154" s="1485"/>
      <c r="AD154" s="1485"/>
      <c r="AE154" s="1485" t="s">
        <v>22</v>
      </c>
      <c r="AF154" s="1485"/>
      <c r="AG154" s="1485"/>
      <c r="AH154" s="1485" t="s">
        <v>22</v>
      </c>
      <c r="AI154" s="1485"/>
      <c r="AJ154" s="1485"/>
      <c r="AK154" s="1388" t="s">
        <v>22</v>
      </c>
      <c r="AL154" s="1488"/>
      <c r="AM154" s="97"/>
      <c r="AN154" s="67"/>
    </row>
    <row r="155" spans="1:40" s="33" customFormat="1" ht="42.75">
      <c r="A155" s="1510"/>
      <c r="B155" s="687" t="s">
        <v>490</v>
      </c>
      <c r="C155" s="910">
        <v>324</v>
      </c>
      <c r="D155" s="489" t="str">
        <f>+IFERROR(INDEX(DESEMPATE!$D$3:$D$83,MATCH('EXP GENERAL '!B155,DESEMPATE!$C$3:$C$83,0)),"")</f>
        <v>INTERSA S.A.</v>
      </c>
      <c r="E155" s="716" t="s">
        <v>493</v>
      </c>
      <c r="F155" s="1305" t="s">
        <v>148</v>
      </c>
      <c r="G155" s="1305" t="s">
        <v>494</v>
      </c>
      <c r="H155" s="1074" t="s">
        <v>495</v>
      </c>
      <c r="I155" s="1388" t="s">
        <v>22</v>
      </c>
      <c r="J155" s="1388" t="s">
        <v>22</v>
      </c>
      <c r="K155" s="24">
        <v>0.75</v>
      </c>
      <c r="L155" s="25">
        <v>37308</v>
      </c>
      <c r="M155" s="25">
        <v>37986</v>
      </c>
      <c r="N155" s="26">
        <v>2003</v>
      </c>
      <c r="O155" s="27">
        <v>332000</v>
      </c>
      <c r="P155" s="895">
        <v>1335742580</v>
      </c>
      <c r="Q155" s="1080" t="s">
        <v>151</v>
      </c>
      <c r="R155" s="19" t="s">
        <v>326</v>
      </c>
      <c r="S155" s="30" t="s">
        <v>326</v>
      </c>
      <c r="T155" s="31">
        <v>1</v>
      </c>
      <c r="U155" s="27">
        <v>1335742580</v>
      </c>
      <c r="V155" s="16">
        <v>4023.3210240963854</v>
      </c>
      <c r="W155" s="16">
        <v>3017.490768072289</v>
      </c>
      <c r="X155" s="1485"/>
      <c r="Y155" s="1485"/>
      <c r="Z155" s="1388" t="str">
        <f>+IF(W155="","",IF(W155&gt;=[2]PARAMETROS!$K$5,"CUMPLE","NO CUMPLE"))</f>
        <v>CUMPLE</v>
      </c>
      <c r="AA155" s="208">
        <v>35</v>
      </c>
      <c r="AB155" s="1485" t="s">
        <v>129</v>
      </c>
      <c r="AC155" s="1485"/>
      <c r="AD155" s="1485"/>
      <c r="AE155" s="1485" t="s">
        <v>22</v>
      </c>
      <c r="AF155" s="1485"/>
      <c r="AG155" s="1485"/>
      <c r="AH155" s="1485" t="s">
        <v>22</v>
      </c>
      <c r="AI155" s="1485"/>
      <c r="AJ155" s="1485"/>
      <c r="AK155" s="1388" t="s">
        <v>22</v>
      </c>
      <c r="AL155" s="1488"/>
      <c r="AM155" s="97"/>
      <c r="AN155" s="67"/>
    </row>
    <row r="156" spans="1:40" s="33" customFormat="1" ht="42.75">
      <c r="A156" s="1510"/>
      <c r="B156" s="687" t="s">
        <v>490</v>
      </c>
      <c r="C156" s="910">
        <v>329</v>
      </c>
      <c r="D156" s="489" t="str">
        <f>+IFERROR(INDEX(DESEMPATE!$D$3:$D$83,MATCH('EXP GENERAL '!B156,DESEMPATE!$C$3:$C$83,0)),"")</f>
        <v>INTERSA S.A.</v>
      </c>
      <c r="E156" s="716" t="s">
        <v>493</v>
      </c>
      <c r="F156" s="1305" t="s">
        <v>148</v>
      </c>
      <c r="G156" s="1305" t="s">
        <v>496</v>
      </c>
      <c r="H156" s="1074" t="s">
        <v>497</v>
      </c>
      <c r="I156" s="1388" t="s">
        <v>22</v>
      </c>
      <c r="J156" s="1388" t="s">
        <v>22</v>
      </c>
      <c r="K156" s="24">
        <v>1</v>
      </c>
      <c r="L156" s="25">
        <v>36992</v>
      </c>
      <c r="M156" s="25">
        <v>37539</v>
      </c>
      <c r="N156" s="26">
        <v>2002</v>
      </c>
      <c r="O156" s="27">
        <v>309000</v>
      </c>
      <c r="P156" s="895">
        <v>999929000</v>
      </c>
      <c r="Q156" s="1080" t="s">
        <v>151</v>
      </c>
      <c r="R156" s="19" t="s">
        <v>326</v>
      </c>
      <c r="S156" s="30" t="s">
        <v>326</v>
      </c>
      <c r="T156" s="31">
        <v>1</v>
      </c>
      <c r="U156" s="27">
        <v>999929000</v>
      </c>
      <c r="V156" s="16">
        <v>3236.0161812297733</v>
      </c>
      <c r="W156" s="16">
        <v>3236.0161812297733</v>
      </c>
      <c r="X156" s="1485"/>
      <c r="Y156" s="1485"/>
      <c r="Z156" s="1388" t="str">
        <f>+IF(W156="","",IF(W156&gt;=[2]PARAMETROS!$K$5,"CUMPLE","NO CUMPLE"))</f>
        <v>CUMPLE</v>
      </c>
      <c r="AA156" s="208">
        <v>44</v>
      </c>
      <c r="AB156" s="1485" t="s">
        <v>129</v>
      </c>
      <c r="AC156" s="1485"/>
      <c r="AD156" s="1485"/>
      <c r="AE156" s="1485" t="s">
        <v>22</v>
      </c>
      <c r="AF156" s="1485"/>
      <c r="AG156" s="1485"/>
      <c r="AH156" s="1485" t="s">
        <v>22</v>
      </c>
      <c r="AI156" s="1485"/>
      <c r="AJ156" s="1485"/>
      <c r="AK156" s="1388" t="s">
        <v>22</v>
      </c>
      <c r="AL156" s="1488"/>
      <c r="AM156" s="97"/>
      <c r="AN156" s="67"/>
    </row>
    <row r="157" spans="1:40" s="33" customFormat="1" ht="12" customHeight="1">
      <c r="A157" s="1510"/>
      <c r="B157" s="687"/>
      <c r="C157" s="910"/>
      <c r="D157" s="489" t="str">
        <f>+IFERROR(INDEX([2]DESEMPATE!$D$3:$D$83,MATCH('[2]EXP GEN 21-26'!B157,[2]DESEMPATE!$C$3:$C$83,0)),"")</f>
        <v/>
      </c>
      <c r="E157" s="716"/>
      <c r="F157" s="1305"/>
      <c r="G157" s="1305"/>
      <c r="H157" s="1074"/>
      <c r="I157" s="1388"/>
      <c r="J157" s="1388"/>
      <c r="K157" s="24"/>
      <c r="L157" s="25"/>
      <c r="M157" s="25"/>
      <c r="N157" s="26" t="s">
        <v>158</v>
      </c>
      <c r="O157" s="27" t="s">
        <v>158</v>
      </c>
      <c r="P157" s="895"/>
      <c r="Q157" s="1080"/>
      <c r="R157" s="19"/>
      <c r="S157" s="30"/>
      <c r="T157" s="31"/>
      <c r="U157" s="27" t="s">
        <v>158</v>
      </c>
      <c r="V157" s="16" t="s">
        <v>158</v>
      </c>
      <c r="W157" s="16" t="s">
        <v>158</v>
      </c>
      <c r="X157" s="1485"/>
      <c r="Y157" s="1485"/>
      <c r="Z157" s="1388" t="str">
        <f>+IF(W157="","",IF(W157&gt;=[2]PARAMETROS!$K$5,"CUMPLE","NO CUMPLE"))</f>
        <v/>
      </c>
      <c r="AA157" s="16"/>
      <c r="AB157" s="1485"/>
      <c r="AC157" s="1485"/>
      <c r="AD157" s="1485"/>
      <c r="AE157" s="1485"/>
      <c r="AF157" s="1485"/>
      <c r="AG157" s="1485"/>
      <c r="AH157" s="1485"/>
      <c r="AI157" s="1485"/>
      <c r="AJ157" s="1485"/>
      <c r="AK157" s="1388"/>
      <c r="AL157" s="1488"/>
      <c r="AM157" s="97"/>
      <c r="AN157" s="67"/>
    </row>
    <row r="158" spans="1:40" s="33" customFormat="1" ht="12" customHeight="1" thickBot="1">
      <c r="A158" s="1511"/>
      <c r="B158" s="476"/>
      <c r="C158" s="1075"/>
      <c r="D158" s="493" t="str">
        <f>+IFERROR(INDEX([2]DESEMPATE!$D$3:$D$83,MATCH('[2]EXP GEN 21-26'!B158,[2]DESEMPATE!$C$3:$C$83,0)),"")</f>
        <v/>
      </c>
      <c r="E158" s="718"/>
      <c r="F158" s="1306"/>
      <c r="G158" s="1306"/>
      <c r="H158" s="719"/>
      <c r="I158" s="1392"/>
      <c r="J158" s="1392"/>
      <c r="K158" s="104"/>
      <c r="L158" s="105"/>
      <c r="M158" s="105"/>
      <c r="N158" s="106" t="str">
        <f>IF(M158="","",YEAR(M158))</f>
        <v/>
      </c>
      <c r="O158" s="75" t="str">
        <f>+IFERROR(INDEX([2]PARAMETROS!$B$46:$B$72,MATCH(N158,[2]PARAMETROS!$A$46:$A$72,0)),"")</f>
        <v/>
      </c>
      <c r="P158" s="896"/>
      <c r="Q158" s="475"/>
      <c r="R158" s="99"/>
      <c r="S158" s="110"/>
      <c r="T158" s="111"/>
      <c r="U158" s="107" t="str">
        <f>IF(T158&lt;&gt;"",P158*T158,"")</f>
        <v/>
      </c>
      <c r="V158" s="112" t="str">
        <f>+IFERROR(U158/O158,"")</f>
        <v/>
      </c>
      <c r="W158" s="112" t="str">
        <f>IFERROR(V158*K158,"")</f>
        <v/>
      </c>
      <c r="X158" s="1486"/>
      <c r="Y158" s="1486"/>
      <c r="Z158" s="1401" t="str">
        <f>+IF(W158="","",IF(W158&gt;=[2]PARAMETROS!$K$5,"CUMPLE","NO CUMPLE"))</f>
        <v/>
      </c>
      <c r="AA158" s="112"/>
      <c r="AB158" s="1486"/>
      <c r="AC158" s="1486"/>
      <c r="AD158" s="1486"/>
      <c r="AE158" s="1486"/>
      <c r="AF158" s="1486"/>
      <c r="AG158" s="1486"/>
      <c r="AH158" s="1486"/>
      <c r="AI158" s="1486"/>
      <c r="AJ158" s="1486"/>
      <c r="AK158" s="1392"/>
      <c r="AL158" s="1489"/>
      <c r="AM158" s="113"/>
      <c r="AN158" s="67"/>
    </row>
    <row r="159" spans="1:40" s="58" customFormat="1" ht="48" customHeight="1">
      <c r="A159" s="1509" t="s">
        <v>50</v>
      </c>
      <c r="B159" s="233" t="s">
        <v>498</v>
      </c>
      <c r="C159" s="234">
        <v>162</v>
      </c>
      <c r="D159" s="274" t="s">
        <v>499</v>
      </c>
      <c r="E159" s="235" t="s">
        <v>214</v>
      </c>
      <c r="F159" s="235" t="s">
        <v>139</v>
      </c>
      <c r="G159" s="235"/>
      <c r="H159" s="235" t="s">
        <v>500</v>
      </c>
      <c r="I159" s="1319" t="s">
        <v>22</v>
      </c>
      <c r="J159" s="1319" t="s">
        <v>22</v>
      </c>
      <c r="K159" s="1098">
        <v>0.5</v>
      </c>
      <c r="L159" s="238">
        <v>36746</v>
      </c>
      <c r="M159" s="238">
        <v>38175</v>
      </c>
      <c r="N159" s="1302">
        <v>2004</v>
      </c>
      <c r="O159" s="240">
        <v>358000</v>
      </c>
      <c r="P159" s="1320">
        <v>1913345.14</v>
      </c>
      <c r="Q159" s="240" t="s">
        <v>142</v>
      </c>
      <c r="R159" s="81">
        <v>1.3592299999999999</v>
      </c>
      <c r="S159" s="92">
        <v>2600676.1146421996</v>
      </c>
      <c r="T159" s="93">
        <v>1848.91</v>
      </c>
      <c r="U159" s="89">
        <v>4808416075.1231098</v>
      </c>
      <c r="V159" s="94">
        <v>13431.329818779637</v>
      </c>
      <c r="W159" s="94">
        <v>6715.6649093898186</v>
      </c>
      <c r="X159" s="1484" t="s">
        <v>245</v>
      </c>
      <c r="Y159" s="1484" t="s">
        <v>245</v>
      </c>
      <c r="Z159" s="1393" t="s">
        <v>245</v>
      </c>
      <c r="AA159" s="94">
        <v>7</v>
      </c>
      <c r="AB159" s="1499" t="s">
        <v>129</v>
      </c>
      <c r="AC159" s="1500"/>
      <c r="AD159" s="1501"/>
      <c r="AE159" s="1499" t="s">
        <v>22</v>
      </c>
      <c r="AF159" s="1500"/>
      <c r="AG159" s="1501"/>
      <c r="AH159" s="1499" t="s">
        <v>22</v>
      </c>
      <c r="AI159" s="1500"/>
      <c r="AJ159" s="1501"/>
      <c r="AK159" s="1393" t="s">
        <v>22</v>
      </c>
      <c r="AL159" s="1490" t="s">
        <v>21</v>
      </c>
      <c r="AM159" s="429"/>
      <c r="AN159" s="791"/>
    </row>
    <row r="160" spans="1:40" s="58" customFormat="1" ht="39" customHeight="1">
      <c r="A160" s="1510"/>
      <c r="B160" s="687" t="s">
        <v>498</v>
      </c>
      <c r="C160" s="910">
        <v>166</v>
      </c>
      <c r="D160" s="489" t="s">
        <v>499</v>
      </c>
      <c r="E160" s="716" t="s">
        <v>501</v>
      </c>
      <c r="F160" s="716" t="s">
        <v>139</v>
      </c>
      <c r="G160" s="716"/>
      <c r="H160" s="716" t="s">
        <v>502</v>
      </c>
      <c r="I160" s="1321" t="s">
        <v>22</v>
      </c>
      <c r="J160" s="1321" t="s">
        <v>22</v>
      </c>
      <c r="K160" s="1094">
        <v>1</v>
      </c>
      <c r="L160" s="222">
        <v>39260</v>
      </c>
      <c r="M160" s="222">
        <v>40204</v>
      </c>
      <c r="N160" s="1305">
        <v>2010</v>
      </c>
      <c r="O160" s="470">
        <v>515000</v>
      </c>
      <c r="P160" s="1322">
        <v>701467.93</v>
      </c>
      <c r="Q160" s="470" t="s">
        <v>142</v>
      </c>
      <c r="R160" s="19">
        <v>1.4115500000000001</v>
      </c>
      <c r="S160" s="30">
        <v>990157.05659150018</v>
      </c>
      <c r="T160" s="31">
        <v>1961.97</v>
      </c>
      <c r="U160" s="27">
        <v>1942658440.3208256</v>
      </c>
      <c r="V160" s="16">
        <v>3772.1523113025742</v>
      </c>
      <c r="W160" s="16">
        <v>3772.1523113025742</v>
      </c>
      <c r="X160" s="1485"/>
      <c r="Y160" s="1485"/>
      <c r="Z160" s="1388" t="s">
        <v>245</v>
      </c>
      <c r="AA160" s="16">
        <v>6</v>
      </c>
      <c r="AB160" s="1496" t="s">
        <v>129</v>
      </c>
      <c r="AC160" s="1497"/>
      <c r="AD160" s="1498"/>
      <c r="AE160" s="1496" t="s">
        <v>22</v>
      </c>
      <c r="AF160" s="1497"/>
      <c r="AG160" s="1498"/>
      <c r="AH160" s="1496" t="s">
        <v>22</v>
      </c>
      <c r="AI160" s="1497"/>
      <c r="AJ160" s="1498"/>
      <c r="AK160" s="1388" t="s">
        <v>22</v>
      </c>
      <c r="AL160" s="1491"/>
      <c r="AM160" s="499"/>
      <c r="AN160" s="791"/>
    </row>
    <row r="161" spans="1:40" s="58" customFormat="1" ht="39" customHeight="1">
      <c r="A161" s="1510"/>
      <c r="B161" s="687" t="s">
        <v>503</v>
      </c>
      <c r="C161" s="910">
        <v>173</v>
      </c>
      <c r="D161" s="489" t="s">
        <v>504</v>
      </c>
      <c r="E161" s="716" t="s">
        <v>214</v>
      </c>
      <c r="F161" s="716" t="s">
        <v>139</v>
      </c>
      <c r="G161" s="716"/>
      <c r="H161" s="716" t="s">
        <v>505</v>
      </c>
      <c r="I161" s="1321" t="s">
        <v>22</v>
      </c>
      <c r="J161" s="1321" t="s">
        <v>22</v>
      </c>
      <c r="K161" s="1094">
        <v>0.5</v>
      </c>
      <c r="L161" s="222">
        <v>36774</v>
      </c>
      <c r="M161" s="222">
        <v>37806</v>
      </c>
      <c r="N161" s="1305">
        <v>2003</v>
      </c>
      <c r="O161" s="470">
        <v>332000</v>
      </c>
      <c r="P161" s="1322">
        <v>978371.63</v>
      </c>
      <c r="Q161" s="470" t="s">
        <v>142</v>
      </c>
      <c r="R161" s="19">
        <v>1.1494</v>
      </c>
      <c r="S161" s="30">
        <v>1124540.351522</v>
      </c>
      <c r="T161" s="31">
        <v>2815.14</v>
      </c>
      <c r="U161" s="27">
        <v>3165738525.1836429</v>
      </c>
      <c r="V161" s="16">
        <v>9535.3570035651901</v>
      </c>
      <c r="W161" s="16">
        <v>4767.678501782595</v>
      </c>
      <c r="X161" s="1485"/>
      <c r="Y161" s="1485"/>
      <c r="Z161" s="1388" t="s">
        <v>245</v>
      </c>
      <c r="AA161" s="16">
        <v>7</v>
      </c>
      <c r="AB161" s="1496" t="s">
        <v>22</v>
      </c>
      <c r="AC161" s="1497"/>
      <c r="AD161" s="1498"/>
      <c r="AE161" s="1496" t="s">
        <v>22</v>
      </c>
      <c r="AF161" s="1497"/>
      <c r="AG161" s="1498"/>
      <c r="AH161" s="1496" t="s">
        <v>22</v>
      </c>
      <c r="AI161" s="1497"/>
      <c r="AJ161" s="1498"/>
      <c r="AK161" s="1388" t="s">
        <v>22</v>
      </c>
      <c r="AL161" s="1491"/>
      <c r="AM161" s="499"/>
      <c r="AN161" s="791"/>
    </row>
    <row r="162" spans="1:40" s="58" customFormat="1" ht="30" customHeight="1">
      <c r="A162" s="1510"/>
      <c r="B162" s="687" t="s">
        <v>503</v>
      </c>
      <c r="C162" s="910">
        <v>177</v>
      </c>
      <c r="D162" s="489" t="s">
        <v>504</v>
      </c>
      <c r="E162" s="716" t="s">
        <v>214</v>
      </c>
      <c r="F162" s="716" t="s">
        <v>139</v>
      </c>
      <c r="G162" s="716"/>
      <c r="H162" s="716" t="s">
        <v>506</v>
      </c>
      <c r="I162" s="1321" t="s">
        <v>22</v>
      </c>
      <c r="J162" s="1321" t="s">
        <v>22</v>
      </c>
      <c r="K162" s="1094">
        <v>0.5</v>
      </c>
      <c r="L162" s="222">
        <v>37576</v>
      </c>
      <c r="M162" s="222">
        <v>38763</v>
      </c>
      <c r="N162" s="1305">
        <v>2006</v>
      </c>
      <c r="O162" s="470">
        <v>408000</v>
      </c>
      <c r="P162" s="1322">
        <v>2212803.58</v>
      </c>
      <c r="Q162" s="470" t="s">
        <v>142</v>
      </c>
      <c r="R162" s="19">
        <v>1.19011</v>
      </c>
      <c r="S162" s="30">
        <v>2633479.6685938002</v>
      </c>
      <c r="T162" s="31">
        <v>2254.98</v>
      </c>
      <c r="U162" s="27">
        <v>5938443983.0856476</v>
      </c>
      <c r="V162" s="16">
        <v>14555.009762464822</v>
      </c>
      <c r="W162" s="16">
        <v>7277.5048812324112</v>
      </c>
      <c r="X162" s="1485"/>
      <c r="Y162" s="1485"/>
      <c r="Z162" s="1388" t="s">
        <v>245</v>
      </c>
      <c r="AA162" s="16">
        <v>4</v>
      </c>
      <c r="AB162" s="1496" t="s">
        <v>22</v>
      </c>
      <c r="AC162" s="1497"/>
      <c r="AD162" s="1498"/>
      <c r="AE162" s="1496" t="s">
        <v>22</v>
      </c>
      <c r="AF162" s="1497"/>
      <c r="AG162" s="1498"/>
      <c r="AH162" s="1496" t="s">
        <v>22</v>
      </c>
      <c r="AI162" s="1497"/>
      <c r="AJ162" s="1498"/>
      <c r="AK162" s="1388" t="s">
        <v>22</v>
      </c>
      <c r="AL162" s="1491"/>
      <c r="AM162" s="499"/>
      <c r="AN162" s="791"/>
    </row>
    <row r="163" spans="1:40" s="58" customFormat="1" ht="8.25" customHeight="1">
      <c r="A163" s="1510"/>
      <c r="B163" s="687"/>
      <c r="C163" s="910"/>
      <c r="D163" s="489" t="s">
        <v>158</v>
      </c>
      <c r="E163" s="716"/>
      <c r="F163" s="716"/>
      <c r="G163" s="716"/>
      <c r="H163" s="716"/>
      <c r="I163" s="1321"/>
      <c r="J163" s="1321"/>
      <c r="K163" s="1094"/>
      <c r="L163" s="222"/>
      <c r="M163" s="222"/>
      <c r="N163" s="1305" t="s">
        <v>158</v>
      </c>
      <c r="O163" s="470" t="s">
        <v>158</v>
      </c>
      <c r="P163" s="1322"/>
      <c r="Q163" s="470"/>
      <c r="R163" s="19"/>
      <c r="S163" s="30"/>
      <c r="T163" s="31"/>
      <c r="U163" s="27" t="s">
        <v>158</v>
      </c>
      <c r="V163" s="16" t="s">
        <v>158</v>
      </c>
      <c r="W163" s="16" t="s">
        <v>158</v>
      </c>
      <c r="X163" s="1485"/>
      <c r="Y163" s="1485"/>
      <c r="Z163" s="1388" t="s">
        <v>158</v>
      </c>
      <c r="AA163" s="16"/>
      <c r="AB163" s="1496"/>
      <c r="AC163" s="1497"/>
      <c r="AD163" s="1498"/>
      <c r="AE163" s="1496"/>
      <c r="AF163" s="1497"/>
      <c r="AG163" s="1498"/>
      <c r="AH163" s="1496"/>
      <c r="AI163" s="1497"/>
      <c r="AJ163" s="1498"/>
      <c r="AK163" s="1388"/>
      <c r="AL163" s="1491"/>
      <c r="AM163" s="499"/>
      <c r="AN163" s="791"/>
    </row>
    <row r="164" spans="1:40" s="58" customFormat="1" ht="9.75" customHeight="1" thickBot="1">
      <c r="A164" s="1511"/>
      <c r="B164" s="476"/>
      <c r="C164" s="1075"/>
      <c r="D164" s="493" t="s">
        <v>158</v>
      </c>
      <c r="E164" s="718"/>
      <c r="F164" s="718"/>
      <c r="G164" s="718"/>
      <c r="H164" s="718"/>
      <c r="I164" s="1323"/>
      <c r="J164" s="1323"/>
      <c r="K164" s="1096"/>
      <c r="L164" s="720"/>
      <c r="M164" s="720"/>
      <c r="N164" s="1306" t="s">
        <v>158</v>
      </c>
      <c r="O164" s="464" t="s">
        <v>158</v>
      </c>
      <c r="P164" s="1324"/>
      <c r="Q164" s="464"/>
      <c r="R164" s="99"/>
      <c r="S164" s="110"/>
      <c r="T164" s="111"/>
      <c r="U164" s="107" t="s">
        <v>158</v>
      </c>
      <c r="V164" s="112" t="s">
        <v>158</v>
      </c>
      <c r="W164" s="112" t="s">
        <v>158</v>
      </c>
      <c r="X164" s="1486"/>
      <c r="Y164" s="1486"/>
      <c r="Z164" s="1392" t="s">
        <v>158</v>
      </c>
      <c r="AA164" s="112"/>
      <c r="AB164" s="1493"/>
      <c r="AC164" s="1494"/>
      <c r="AD164" s="1495"/>
      <c r="AE164" s="1493"/>
      <c r="AF164" s="1494"/>
      <c r="AG164" s="1495"/>
      <c r="AH164" s="1493"/>
      <c r="AI164" s="1494"/>
      <c r="AJ164" s="1495"/>
      <c r="AK164" s="1392"/>
      <c r="AL164" s="1492"/>
      <c r="AM164" s="1102"/>
      <c r="AN164" s="791"/>
    </row>
    <row r="165" spans="1:40" s="58" customFormat="1" ht="54.75" customHeight="1">
      <c r="A165" s="1509" t="s">
        <v>51</v>
      </c>
      <c r="B165" s="233" t="s">
        <v>507</v>
      </c>
      <c r="C165" s="234">
        <v>275</v>
      </c>
      <c r="D165" s="274" t="s">
        <v>508</v>
      </c>
      <c r="E165" s="235" t="s">
        <v>509</v>
      </c>
      <c r="F165" s="235" t="s">
        <v>139</v>
      </c>
      <c r="G165" s="235"/>
      <c r="H165" s="235" t="s">
        <v>510</v>
      </c>
      <c r="I165" s="1319" t="s">
        <v>22</v>
      </c>
      <c r="J165" s="1319" t="s">
        <v>22</v>
      </c>
      <c r="K165" s="1098">
        <v>1</v>
      </c>
      <c r="L165" s="238">
        <v>37572</v>
      </c>
      <c r="M165" s="238">
        <v>38330</v>
      </c>
      <c r="N165" s="1302">
        <v>2004</v>
      </c>
      <c r="O165" s="240">
        <f>+IFERROR(INDEX([3]PARAMETROS!$B$46:$B$72,MATCH(N165,[3]PARAMETROS!$A$46:$A$72,0)),"")</f>
        <v>358000</v>
      </c>
      <c r="P165" s="1320">
        <v>610050.4</v>
      </c>
      <c r="Q165" s="240" t="s">
        <v>142</v>
      </c>
      <c r="R165" s="81">
        <v>1.3329</v>
      </c>
      <c r="S165" s="92">
        <v>813136.17816000001</v>
      </c>
      <c r="T165" s="93">
        <v>2455.12</v>
      </c>
      <c r="U165" s="89">
        <v>1996346893.724179</v>
      </c>
      <c r="V165" s="94">
        <v>813136.17816000001</v>
      </c>
      <c r="W165" s="245">
        <v>813136.17816000001</v>
      </c>
      <c r="X165" s="1484" t="s">
        <v>245</v>
      </c>
      <c r="Y165" s="1484" t="s">
        <v>245</v>
      </c>
      <c r="Z165" s="1393"/>
      <c r="AA165" s="94"/>
      <c r="AB165" s="1499"/>
      <c r="AC165" s="1500"/>
      <c r="AD165" s="1501"/>
      <c r="AE165" s="1499"/>
      <c r="AF165" s="1500"/>
      <c r="AG165" s="1501"/>
      <c r="AH165" s="1499"/>
      <c r="AI165" s="1500"/>
      <c r="AJ165" s="1501"/>
      <c r="AK165" s="1393"/>
      <c r="AL165" s="1490" t="s">
        <v>21</v>
      </c>
      <c r="AM165" s="429"/>
      <c r="AN165" s="791"/>
    </row>
    <row r="166" spans="1:40" s="58" customFormat="1" ht="68.25" customHeight="1">
      <c r="A166" s="1510"/>
      <c r="B166" s="687" t="s">
        <v>507</v>
      </c>
      <c r="C166" s="910">
        <v>281</v>
      </c>
      <c r="D166" s="489" t="s">
        <v>508</v>
      </c>
      <c r="E166" s="716" t="s">
        <v>509</v>
      </c>
      <c r="F166" s="716" t="s">
        <v>139</v>
      </c>
      <c r="G166" s="716"/>
      <c r="H166" s="716" t="s">
        <v>511</v>
      </c>
      <c r="I166" s="1321" t="s">
        <v>22</v>
      </c>
      <c r="J166" s="1321" t="s">
        <v>22</v>
      </c>
      <c r="K166" s="1094">
        <v>1</v>
      </c>
      <c r="L166" s="222">
        <v>39839</v>
      </c>
      <c r="M166" s="222">
        <v>40339</v>
      </c>
      <c r="N166" s="1305">
        <v>2010</v>
      </c>
      <c r="O166" s="470">
        <v>515000</v>
      </c>
      <c r="P166" s="1322">
        <v>864969.84</v>
      </c>
      <c r="Q166" s="470" t="s">
        <v>142</v>
      </c>
      <c r="R166" s="19">
        <v>1.1988799999999999</v>
      </c>
      <c r="S166" s="30">
        <v>1036995.0417792</v>
      </c>
      <c r="T166" s="31">
        <v>1943.41</v>
      </c>
      <c r="U166" s="27">
        <v>2015306534.144115</v>
      </c>
      <c r="V166" s="16">
        <v>1036995.0417791998</v>
      </c>
      <c r="W166" s="471">
        <v>1036995.0417791998</v>
      </c>
      <c r="X166" s="1485"/>
      <c r="Y166" s="1485"/>
      <c r="Z166" s="1388"/>
      <c r="AA166" s="16"/>
      <c r="AB166" s="1496"/>
      <c r="AC166" s="1497"/>
      <c r="AD166" s="1498"/>
      <c r="AE166" s="1496"/>
      <c r="AF166" s="1497"/>
      <c r="AG166" s="1498"/>
      <c r="AH166" s="1496"/>
      <c r="AI166" s="1497"/>
      <c r="AJ166" s="1498"/>
      <c r="AK166" s="1388"/>
      <c r="AL166" s="1491"/>
      <c r="AM166" s="499"/>
      <c r="AN166" s="791"/>
    </row>
    <row r="167" spans="1:40" s="58" customFormat="1" ht="45.75" customHeight="1">
      <c r="A167" s="1510"/>
      <c r="B167" s="687" t="s">
        <v>512</v>
      </c>
      <c r="C167" s="910">
        <v>290</v>
      </c>
      <c r="D167" s="489" t="s">
        <v>513</v>
      </c>
      <c r="E167" s="716" t="s">
        <v>182</v>
      </c>
      <c r="F167" s="716" t="s">
        <v>139</v>
      </c>
      <c r="G167" s="716"/>
      <c r="H167" s="716" t="s">
        <v>514</v>
      </c>
      <c r="I167" s="1321" t="s">
        <v>22</v>
      </c>
      <c r="J167" s="1321" t="s">
        <v>22</v>
      </c>
      <c r="K167" s="1094">
        <v>1</v>
      </c>
      <c r="L167" s="222">
        <v>39051</v>
      </c>
      <c r="M167" s="222">
        <v>40178</v>
      </c>
      <c r="N167" s="1305">
        <v>2009</v>
      </c>
      <c r="O167" s="470">
        <v>496900</v>
      </c>
      <c r="P167" s="1322">
        <v>1487633.36</v>
      </c>
      <c r="Q167" s="470" t="s">
        <v>142</v>
      </c>
      <c r="R167" s="19">
        <v>1.4581599999999999</v>
      </c>
      <c r="S167" s="30">
        <v>2169207.4602176002</v>
      </c>
      <c r="T167" s="31">
        <v>2017.05</v>
      </c>
      <c r="U167" s="27">
        <v>4375399907.6319103</v>
      </c>
      <c r="V167" s="16">
        <v>8805.3932534351188</v>
      </c>
      <c r="W167" s="16">
        <v>8805.3932534351188</v>
      </c>
      <c r="X167" s="1485"/>
      <c r="Y167" s="1485"/>
      <c r="Z167" s="1388" t="s">
        <v>245</v>
      </c>
      <c r="AA167" s="16">
        <v>6</v>
      </c>
      <c r="AB167" s="1496" t="s">
        <v>22</v>
      </c>
      <c r="AC167" s="1497"/>
      <c r="AD167" s="1498"/>
      <c r="AE167" s="1496" t="s">
        <v>22</v>
      </c>
      <c r="AF167" s="1497"/>
      <c r="AG167" s="1498"/>
      <c r="AH167" s="1496" t="s">
        <v>22</v>
      </c>
      <c r="AI167" s="1497"/>
      <c r="AJ167" s="1498"/>
      <c r="AK167" s="1388" t="s">
        <v>22</v>
      </c>
      <c r="AL167" s="1491"/>
      <c r="AM167" s="499"/>
      <c r="AN167" s="791"/>
    </row>
    <row r="168" spans="1:40" s="58" customFormat="1" ht="30" customHeight="1">
      <c r="A168" s="1510"/>
      <c r="B168" s="687" t="s">
        <v>515</v>
      </c>
      <c r="C168" s="910">
        <v>293</v>
      </c>
      <c r="D168" s="489" t="s">
        <v>516</v>
      </c>
      <c r="E168" s="716" t="s">
        <v>517</v>
      </c>
      <c r="F168" s="716" t="s">
        <v>148</v>
      </c>
      <c r="G168" s="716" t="s">
        <v>348</v>
      </c>
      <c r="H168" s="716" t="s">
        <v>518</v>
      </c>
      <c r="I168" s="1321" t="s">
        <v>22</v>
      </c>
      <c r="J168" s="1321" t="s">
        <v>22</v>
      </c>
      <c r="K168" s="1094">
        <v>0.25</v>
      </c>
      <c r="L168" s="222">
        <v>40954</v>
      </c>
      <c r="M168" s="222">
        <v>42398</v>
      </c>
      <c r="N168" s="1305">
        <v>2016</v>
      </c>
      <c r="O168" s="470">
        <v>689554</v>
      </c>
      <c r="P168" s="1322">
        <v>6977164104</v>
      </c>
      <c r="Q168" s="470" t="s">
        <v>151</v>
      </c>
      <c r="R168" s="19" t="s">
        <v>140</v>
      </c>
      <c r="S168" s="30" t="s">
        <v>140</v>
      </c>
      <c r="T168" s="31">
        <v>1</v>
      </c>
      <c r="U168" s="27">
        <v>6977164104</v>
      </c>
      <c r="V168" s="16">
        <v>10118.37231601876</v>
      </c>
      <c r="W168" s="16">
        <v>2529.59307900469</v>
      </c>
      <c r="X168" s="1485"/>
      <c r="Y168" s="1485"/>
      <c r="Z168" s="1388" t="s">
        <v>245</v>
      </c>
      <c r="AA168" s="16"/>
      <c r="AB168" s="1496"/>
      <c r="AC168" s="1497"/>
      <c r="AD168" s="1498"/>
      <c r="AE168" s="1496"/>
      <c r="AF168" s="1497"/>
      <c r="AG168" s="1498"/>
      <c r="AH168" s="1496"/>
      <c r="AI168" s="1497"/>
      <c r="AJ168" s="1498"/>
      <c r="AK168" s="1388" t="s">
        <v>22</v>
      </c>
      <c r="AL168" s="1491"/>
      <c r="AM168" s="499"/>
      <c r="AN168" s="791"/>
    </row>
    <row r="169" spans="1:40" s="58" customFormat="1" ht="11.25" customHeight="1">
      <c r="A169" s="1510"/>
      <c r="B169" s="687"/>
      <c r="C169" s="910"/>
      <c r="D169" s="489" t="s">
        <v>158</v>
      </c>
      <c r="E169" s="716"/>
      <c r="F169" s="716"/>
      <c r="G169" s="716"/>
      <c r="H169" s="716"/>
      <c r="I169" s="1321"/>
      <c r="J169" s="1321"/>
      <c r="K169" s="1094"/>
      <c r="L169" s="222"/>
      <c r="M169" s="222"/>
      <c r="N169" s="1305" t="s">
        <v>158</v>
      </c>
      <c r="O169" s="470" t="s">
        <v>158</v>
      </c>
      <c r="P169" s="1322"/>
      <c r="Q169" s="470"/>
      <c r="R169" s="19"/>
      <c r="S169" s="30"/>
      <c r="T169" s="31"/>
      <c r="U169" s="27" t="s">
        <v>158</v>
      </c>
      <c r="V169" s="16" t="s">
        <v>158</v>
      </c>
      <c r="W169" s="16" t="s">
        <v>158</v>
      </c>
      <c r="X169" s="1485"/>
      <c r="Y169" s="1485"/>
      <c r="Z169" s="1388" t="s">
        <v>158</v>
      </c>
      <c r="AA169" s="16"/>
      <c r="AB169" s="1496"/>
      <c r="AC169" s="1497"/>
      <c r="AD169" s="1498"/>
      <c r="AE169" s="1496"/>
      <c r="AF169" s="1497"/>
      <c r="AG169" s="1498"/>
      <c r="AH169" s="1496"/>
      <c r="AI169" s="1497"/>
      <c r="AJ169" s="1498"/>
      <c r="AK169" s="1388"/>
      <c r="AL169" s="1491"/>
      <c r="AM169" s="499"/>
      <c r="AN169" s="791"/>
    </row>
    <row r="170" spans="1:40" s="58" customFormat="1" ht="11.25" customHeight="1" thickBot="1">
      <c r="A170" s="1511"/>
      <c r="B170" s="476"/>
      <c r="C170" s="1075"/>
      <c r="D170" s="493" t="s">
        <v>158</v>
      </c>
      <c r="E170" s="718"/>
      <c r="F170" s="718"/>
      <c r="G170" s="718"/>
      <c r="H170" s="718"/>
      <c r="I170" s="1323"/>
      <c r="J170" s="1323"/>
      <c r="K170" s="1096"/>
      <c r="L170" s="720"/>
      <c r="M170" s="720"/>
      <c r="N170" s="1306" t="s">
        <v>158</v>
      </c>
      <c r="O170" s="464" t="s">
        <v>158</v>
      </c>
      <c r="P170" s="1324"/>
      <c r="Q170" s="464"/>
      <c r="R170" s="99"/>
      <c r="S170" s="110"/>
      <c r="T170" s="111"/>
      <c r="U170" s="107" t="s">
        <v>158</v>
      </c>
      <c r="V170" s="112" t="s">
        <v>158</v>
      </c>
      <c r="W170" s="112" t="s">
        <v>158</v>
      </c>
      <c r="X170" s="1486"/>
      <c r="Y170" s="1486"/>
      <c r="Z170" s="1392" t="s">
        <v>158</v>
      </c>
      <c r="AA170" s="112"/>
      <c r="AB170" s="1493"/>
      <c r="AC170" s="1494"/>
      <c r="AD170" s="1495"/>
      <c r="AE170" s="1493"/>
      <c r="AF170" s="1494"/>
      <c r="AG170" s="1495"/>
      <c r="AH170" s="1493"/>
      <c r="AI170" s="1494"/>
      <c r="AJ170" s="1495"/>
      <c r="AK170" s="1392"/>
      <c r="AL170" s="1492"/>
      <c r="AM170" s="1102"/>
      <c r="AN170" s="791"/>
    </row>
    <row r="171" spans="1:40" s="58" customFormat="1" ht="63" customHeight="1">
      <c r="A171" s="1509" t="s">
        <v>52</v>
      </c>
      <c r="B171" s="233" t="s">
        <v>519</v>
      </c>
      <c r="C171" s="234">
        <v>81</v>
      </c>
      <c r="D171" s="274" t="s">
        <v>520</v>
      </c>
      <c r="E171" s="235" t="s">
        <v>517</v>
      </c>
      <c r="F171" s="235" t="s">
        <v>148</v>
      </c>
      <c r="G171" s="235" t="s">
        <v>483</v>
      </c>
      <c r="H171" s="235" t="s">
        <v>521</v>
      </c>
      <c r="I171" s="1319" t="s">
        <v>22</v>
      </c>
      <c r="J171" s="1319" t="s">
        <v>22</v>
      </c>
      <c r="K171" s="1098">
        <v>0.3</v>
      </c>
      <c r="L171" s="238">
        <v>37229</v>
      </c>
      <c r="M171" s="238">
        <v>40168</v>
      </c>
      <c r="N171" s="1302">
        <v>2009</v>
      </c>
      <c r="O171" s="240">
        <v>496900</v>
      </c>
      <c r="P171" s="1320">
        <v>23197769047.380001</v>
      </c>
      <c r="Q171" s="240" t="s">
        <v>151</v>
      </c>
      <c r="R171" s="81" t="s">
        <v>140</v>
      </c>
      <c r="S171" s="92" t="s">
        <v>140</v>
      </c>
      <c r="T171" s="93">
        <v>1</v>
      </c>
      <c r="U171" s="89">
        <v>23197769047.380001</v>
      </c>
      <c r="V171" s="94">
        <v>46684.985001770983</v>
      </c>
      <c r="W171" s="94">
        <v>14005.495500531295</v>
      </c>
      <c r="X171" s="1484" t="s">
        <v>245</v>
      </c>
      <c r="Y171" s="1484" t="s">
        <v>245</v>
      </c>
      <c r="Z171" s="1393" t="s">
        <v>245</v>
      </c>
      <c r="AA171" s="94">
        <v>6</v>
      </c>
      <c r="AB171" s="1499" t="s">
        <v>22</v>
      </c>
      <c r="AC171" s="1500"/>
      <c r="AD171" s="1501"/>
      <c r="AE171" s="1499" t="s">
        <v>22</v>
      </c>
      <c r="AF171" s="1500"/>
      <c r="AG171" s="1501"/>
      <c r="AH171" s="1499" t="s">
        <v>22</v>
      </c>
      <c r="AI171" s="1500"/>
      <c r="AJ171" s="1501"/>
      <c r="AK171" s="1393" t="s">
        <v>22</v>
      </c>
      <c r="AL171" s="1490" t="s">
        <v>21</v>
      </c>
      <c r="AM171" s="429"/>
      <c r="AN171" s="791"/>
    </row>
    <row r="172" spans="1:40" s="58" customFormat="1" ht="50.25" customHeight="1">
      <c r="A172" s="1510"/>
      <c r="B172" s="687" t="s">
        <v>519</v>
      </c>
      <c r="C172" s="910">
        <v>83</v>
      </c>
      <c r="D172" s="489" t="s">
        <v>520</v>
      </c>
      <c r="E172" s="716" t="s">
        <v>522</v>
      </c>
      <c r="F172" s="716" t="s">
        <v>523</v>
      </c>
      <c r="G172" s="716"/>
      <c r="H172" s="716" t="s">
        <v>524</v>
      </c>
      <c r="I172" s="1321" t="s">
        <v>22</v>
      </c>
      <c r="J172" s="1321" t="s">
        <v>22</v>
      </c>
      <c r="K172" s="1094">
        <v>1</v>
      </c>
      <c r="L172" s="222">
        <v>38807</v>
      </c>
      <c r="M172" s="222">
        <v>39813</v>
      </c>
      <c r="N172" s="1305">
        <v>2008</v>
      </c>
      <c r="O172" s="470">
        <v>461500</v>
      </c>
      <c r="P172" s="1322">
        <v>47481903.439999998</v>
      </c>
      <c r="Q172" s="470" t="s">
        <v>525</v>
      </c>
      <c r="R172" s="19">
        <v>7.2569999999999996E-2</v>
      </c>
      <c r="S172" s="30">
        <v>3445761.7326407996</v>
      </c>
      <c r="T172" s="31">
        <v>2243.59</v>
      </c>
      <c r="U172" s="27">
        <v>7730876565.7355719</v>
      </c>
      <c r="V172" s="16">
        <v>16751.62852813775</v>
      </c>
      <c r="W172" s="16">
        <v>16751.62852813775</v>
      </c>
      <c r="X172" s="1485"/>
      <c r="Y172" s="1485"/>
      <c r="Z172" s="1388" t="s">
        <v>245</v>
      </c>
      <c r="AA172" s="16">
        <v>11</v>
      </c>
      <c r="AB172" s="1496" t="s">
        <v>22</v>
      </c>
      <c r="AC172" s="1497"/>
      <c r="AD172" s="1498"/>
      <c r="AE172" s="1496" t="s">
        <v>22</v>
      </c>
      <c r="AF172" s="1497"/>
      <c r="AG172" s="1498"/>
      <c r="AH172" s="1496" t="s">
        <v>22</v>
      </c>
      <c r="AI172" s="1497"/>
      <c r="AJ172" s="1498"/>
      <c r="AK172" s="1388" t="s">
        <v>22</v>
      </c>
      <c r="AL172" s="1491"/>
      <c r="AM172" s="499"/>
      <c r="AN172" s="791"/>
    </row>
    <row r="173" spans="1:40" s="58" customFormat="1" ht="17.25" customHeight="1">
      <c r="A173" s="1510"/>
      <c r="B173" s="687"/>
      <c r="C173" s="910"/>
      <c r="D173" s="489" t="s">
        <v>158</v>
      </c>
      <c r="E173" s="716"/>
      <c r="F173" s="716"/>
      <c r="G173" s="716"/>
      <c r="H173" s="716"/>
      <c r="I173" s="1321"/>
      <c r="J173" s="1321"/>
      <c r="K173" s="1094"/>
      <c r="L173" s="222"/>
      <c r="M173" s="222"/>
      <c r="N173" s="1305" t="s">
        <v>158</v>
      </c>
      <c r="O173" s="470" t="s">
        <v>158</v>
      </c>
      <c r="P173" s="1322"/>
      <c r="Q173" s="470"/>
      <c r="R173" s="19"/>
      <c r="S173" s="30"/>
      <c r="T173" s="31"/>
      <c r="U173" s="27" t="s">
        <v>158</v>
      </c>
      <c r="V173" s="16" t="s">
        <v>158</v>
      </c>
      <c r="W173" s="16" t="s">
        <v>158</v>
      </c>
      <c r="X173" s="1485"/>
      <c r="Y173" s="1485"/>
      <c r="Z173" s="1388" t="s">
        <v>158</v>
      </c>
      <c r="AA173" s="16"/>
      <c r="AB173" s="1496"/>
      <c r="AC173" s="1497"/>
      <c r="AD173" s="1498"/>
      <c r="AE173" s="1496"/>
      <c r="AF173" s="1497"/>
      <c r="AG173" s="1498"/>
      <c r="AH173" s="1496"/>
      <c r="AI173" s="1497"/>
      <c r="AJ173" s="1498"/>
      <c r="AK173" s="1388"/>
      <c r="AL173" s="1491"/>
      <c r="AM173" s="499"/>
      <c r="AN173" s="791"/>
    </row>
    <row r="174" spans="1:40" s="58" customFormat="1" ht="6.75" customHeight="1">
      <c r="A174" s="1510"/>
      <c r="B174" s="687"/>
      <c r="C174" s="910"/>
      <c r="D174" s="489" t="s">
        <v>158</v>
      </c>
      <c r="E174" s="716"/>
      <c r="F174" s="716"/>
      <c r="G174" s="716"/>
      <c r="H174" s="716"/>
      <c r="I174" s="1321"/>
      <c r="J174" s="1321"/>
      <c r="K174" s="1094"/>
      <c r="L174" s="222"/>
      <c r="M174" s="222"/>
      <c r="N174" s="1305" t="s">
        <v>158</v>
      </c>
      <c r="O174" s="470" t="s">
        <v>158</v>
      </c>
      <c r="P174" s="1322"/>
      <c r="Q174" s="470"/>
      <c r="R174" s="19"/>
      <c r="S174" s="30"/>
      <c r="T174" s="31"/>
      <c r="U174" s="27" t="s">
        <v>158</v>
      </c>
      <c r="V174" s="16" t="s">
        <v>158</v>
      </c>
      <c r="W174" s="16" t="s">
        <v>158</v>
      </c>
      <c r="X174" s="1485"/>
      <c r="Y174" s="1485"/>
      <c r="Z174" s="1388" t="s">
        <v>158</v>
      </c>
      <c r="AA174" s="16"/>
      <c r="AB174" s="1496"/>
      <c r="AC174" s="1497"/>
      <c r="AD174" s="1498"/>
      <c r="AE174" s="1496"/>
      <c r="AF174" s="1497"/>
      <c r="AG174" s="1498"/>
      <c r="AH174" s="1496"/>
      <c r="AI174" s="1497"/>
      <c r="AJ174" s="1498"/>
      <c r="AK174" s="1388"/>
      <c r="AL174" s="1491"/>
      <c r="AM174" s="499"/>
      <c r="AN174" s="791"/>
    </row>
    <row r="175" spans="1:40" s="58" customFormat="1" ht="12" customHeight="1">
      <c r="A175" s="1510"/>
      <c r="B175" s="687"/>
      <c r="C175" s="910"/>
      <c r="D175" s="489" t="s">
        <v>158</v>
      </c>
      <c r="E175" s="716"/>
      <c r="F175" s="716"/>
      <c r="G175" s="716"/>
      <c r="H175" s="716"/>
      <c r="I175" s="1321"/>
      <c r="J175" s="1321"/>
      <c r="K175" s="1094"/>
      <c r="L175" s="222"/>
      <c r="M175" s="222"/>
      <c r="N175" s="1305" t="s">
        <v>158</v>
      </c>
      <c r="O175" s="470" t="s">
        <v>158</v>
      </c>
      <c r="P175" s="1322"/>
      <c r="Q175" s="470"/>
      <c r="R175" s="19"/>
      <c r="S175" s="30"/>
      <c r="T175" s="31"/>
      <c r="U175" s="27" t="s">
        <v>158</v>
      </c>
      <c r="V175" s="16" t="s">
        <v>158</v>
      </c>
      <c r="W175" s="16" t="s">
        <v>158</v>
      </c>
      <c r="X175" s="1485"/>
      <c r="Y175" s="1485"/>
      <c r="Z175" s="1388" t="s">
        <v>158</v>
      </c>
      <c r="AA175" s="16"/>
      <c r="AB175" s="1496"/>
      <c r="AC175" s="1497"/>
      <c r="AD175" s="1498"/>
      <c r="AE175" s="1496"/>
      <c r="AF175" s="1497"/>
      <c r="AG175" s="1498"/>
      <c r="AH175" s="1496"/>
      <c r="AI175" s="1497"/>
      <c r="AJ175" s="1498"/>
      <c r="AK175" s="1388"/>
      <c r="AL175" s="1491"/>
      <c r="AM175" s="499"/>
      <c r="AN175" s="791"/>
    </row>
    <row r="176" spans="1:40" s="58" customFormat="1" ht="12" customHeight="1" thickBot="1">
      <c r="A176" s="1511"/>
      <c r="B176" s="476"/>
      <c r="C176" s="1075"/>
      <c r="D176" s="493" t="s">
        <v>158</v>
      </c>
      <c r="E176" s="718"/>
      <c r="F176" s="718"/>
      <c r="G176" s="718"/>
      <c r="H176" s="718"/>
      <c r="I176" s="1323"/>
      <c r="J176" s="1323"/>
      <c r="K176" s="1096"/>
      <c r="L176" s="720"/>
      <c r="M176" s="720"/>
      <c r="N176" s="1306" t="s">
        <v>158</v>
      </c>
      <c r="O176" s="464" t="s">
        <v>158</v>
      </c>
      <c r="P176" s="1324"/>
      <c r="Q176" s="464"/>
      <c r="R176" s="99"/>
      <c r="S176" s="110"/>
      <c r="T176" s="111"/>
      <c r="U176" s="107" t="s">
        <v>158</v>
      </c>
      <c r="V176" s="112" t="s">
        <v>158</v>
      </c>
      <c r="W176" s="112" t="s">
        <v>158</v>
      </c>
      <c r="X176" s="1486"/>
      <c r="Y176" s="1486"/>
      <c r="Z176" s="1392" t="s">
        <v>158</v>
      </c>
      <c r="AA176" s="112"/>
      <c r="AB176" s="1493"/>
      <c r="AC176" s="1494"/>
      <c r="AD176" s="1495"/>
      <c r="AE176" s="1493"/>
      <c r="AF176" s="1494"/>
      <c r="AG176" s="1495"/>
      <c r="AH176" s="1493"/>
      <c r="AI176" s="1494"/>
      <c r="AJ176" s="1495"/>
      <c r="AK176" s="1392"/>
      <c r="AL176" s="1492"/>
      <c r="AM176" s="1102"/>
      <c r="AN176" s="791"/>
    </row>
    <row r="177" spans="1:40" s="58" customFormat="1" ht="67.5" customHeight="1">
      <c r="A177" s="1509" t="s">
        <v>53</v>
      </c>
      <c r="B177" s="233" t="s">
        <v>526</v>
      </c>
      <c r="C177" s="234">
        <v>126</v>
      </c>
      <c r="D177" s="274" t="s">
        <v>527</v>
      </c>
      <c r="E177" s="235" t="s">
        <v>528</v>
      </c>
      <c r="F177" s="235" t="s">
        <v>148</v>
      </c>
      <c r="G177" s="235" t="s">
        <v>529</v>
      </c>
      <c r="H177" s="235" t="s">
        <v>530</v>
      </c>
      <c r="I177" s="1319" t="s">
        <v>22</v>
      </c>
      <c r="J177" s="1319" t="s">
        <v>22</v>
      </c>
      <c r="K177" s="1098">
        <v>1</v>
      </c>
      <c r="L177" s="238">
        <v>38321</v>
      </c>
      <c r="M177" s="238">
        <v>39901</v>
      </c>
      <c r="N177" s="1302">
        <v>2009</v>
      </c>
      <c r="O177" s="240">
        <v>496900</v>
      </c>
      <c r="P177" s="1320">
        <v>1676200327</v>
      </c>
      <c r="Q177" s="240" t="s">
        <v>151</v>
      </c>
      <c r="R177" s="81" t="s">
        <v>140</v>
      </c>
      <c r="S177" s="92" t="s">
        <v>140</v>
      </c>
      <c r="T177" s="93">
        <v>1</v>
      </c>
      <c r="U177" s="89">
        <v>1676200327</v>
      </c>
      <c r="V177" s="94">
        <v>3373.3152082914066</v>
      </c>
      <c r="W177" s="94">
        <v>3373.3152082914066</v>
      </c>
      <c r="X177" s="1484" t="s">
        <v>245</v>
      </c>
      <c r="Y177" s="1484" t="s">
        <v>245</v>
      </c>
      <c r="Z177" s="1393" t="s">
        <v>245</v>
      </c>
      <c r="AA177" s="94">
        <v>45</v>
      </c>
      <c r="AB177" s="1499" t="s">
        <v>22</v>
      </c>
      <c r="AC177" s="1500"/>
      <c r="AD177" s="1501"/>
      <c r="AE177" s="1499" t="s">
        <v>22</v>
      </c>
      <c r="AF177" s="1500"/>
      <c r="AG177" s="1501"/>
      <c r="AH177" s="1499" t="s">
        <v>22</v>
      </c>
      <c r="AI177" s="1500"/>
      <c r="AJ177" s="1501"/>
      <c r="AK177" s="1393" t="s">
        <v>22</v>
      </c>
      <c r="AL177" s="1490" t="s">
        <v>21</v>
      </c>
      <c r="AM177" s="429"/>
      <c r="AN177" s="791"/>
    </row>
    <row r="178" spans="1:40" s="58" customFormat="1" ht="99" customHeight="1">
      <c r="A178" s="1510"/>
      <c r="B178" s="687" t="s">
        <v>526</v>
      </c>
      <c r="C178" s="910">
        <v>136</v>
      </c>
      <c r="D178" s="489" t="s">
        <v>527</v>
      </c>
      <c r="E178" s="716" t="s">
        <v>155</v>
      </c>
      <c r="F178" s="716" t="s">
        <v>148</v>
      </c>
      <c r="G178" s="716" t="s">
        <v>531</v>
      </c>
      <c r="H178" s="716" t="s">
        <v>532</v>
      </c>
      <c r="I178" s="1321" t="s">
        <v>22</v>
      </c>
      <c r="J178" s="1321" t="s">
        <v>22</v>
      </c>
      <c r="K178" s="1094">
        <v>1</v>
      </c>
      <c r="L178" s="222">
        <v>38658</v>
      </c>
      <c r="M178" s="222">
        <v>39813</v>
      </c>
      <c r="N178" s="1305">
        <v>2008</v>
      </c>
      <c r="O178" s="470">
        <v>461500</v>
      </c>
      <c r="P178" s="1322">
        <v>2904906735</v>
      </c>
      <c r="Q178" s="470" t="s">
        <v>151</v>
      </c>
      <c r="R178" s="19" t="s">
        <v>140</v>
      </c>
      <c r="S178" s="30" t="s">
        <v>140</v>
      </c>
      <c r="T178" s="31">
        <v>1</v>
      </c>
      <c r="U178" s="27">
        <v>2904906735</v>
      </c>
      <c r="V178" s="16">
        <v>6294.4891332611051</v>
      </c>
      <c r="W178" s="16">
        <v>6294.4891332611051</v>
      </c>
      <c r="X178" s="1485"/>
      <c r="Y178" s="1485"/>
      <c r="Z178" s="1388" t="s">
        <v>245</v>
      </c>
      <c r="AA178" s="16">
        <v>46</v>
      </c>
      <c r="AB178" s="1496" t="s">
        <v>22</v>
      </c>
      <c r="AC178" s="1497"/>
      <c r="AD178" s="1498"/>
      <c r="AE178" s="1496" t="s">
        <v>22</v>
      </c>
      <c r="AF178" s="1497"/>
      <c r="AG178" s="1498"/>
      <c r="AH178" s="1496" t="s">
        <v>22</v>
      </c>
      <c r="AI178" s="1497"/>
      <c r="AJ178" s="1498"/>
      <c r="AK178" s="1388" t="s">
        <v>22</v>
      </c>
      <c r="AL178" s="1491"/>
      <c r="AM178" s="499"/>
      <c r="AN178" s="791"/>
    </row>
    <row r="179" spans="1:40" s="58" customFormat="1" ht="51" customHeight="1">
      <c r="A179" s="1510"/>
      <c r="B179" s="687" t="s">
        <v>526</v>
      </c>
      <c r="C179" s="910">
        <v>147</v>
      </c>
      <c r="D179" s="489" t="s">
        <v>527</v>
      </c>
      <c r="E179" s="716" t="s">
        <v>533</v>
      </c>
      <c r="F179" s="716" t="s">
        <v>148</v>
      </c>
      <c r="G179" s="716" t="s">
        <v>534</v>
      </c>
      <c r="H179" s="716" t="s">
        <v>535</v>
      </c>
      <c r="I179" s="1321" t="s">
        <v>22</v>
      </c>
      <c r="J179" s="1321" t="s">
        <v>22</v>
      </c>
      <c r="K179" s="1094">
        <v>1</v>
      </c>
      <c r="L179" s="222">
        <v>35171</v>
      </c>
      <c r="M179" s="222">
        <v>36083</v>
      </c>
      <c r="N179" s="1305">
        <v>1998</v>
      </c>
      <c r="O179" s="470">
        <v>203826</v>
      </c>
      <c r="P179" s="1322">
        <v>1224631240</v>
      </c>
      <c r="Q179" s="470" t="s">
        <v>151</v>
      </c>
      <c r="R179" s="19" t="s">
        <v>140</v>
      </c>
      <c r="S179" s="30" t="s">
        <v>140</v>
      </c>
      <c r="T179" s="31">
        <v>1</v>
      </c>
      <c r="U179" s="27">
        <v>1224631240</v>
      </c>
      <c r="V179" s="16">
        <v>6008.218971083179</v>
      </c>
      <c r="W179" s="16">
        <v>6008.218971083179</v>
      </c>
      <c r="X179" s="1485"/>
      <c r="Y179" s="1485"/>
      <c r="Z179" s="1388" t="s">
        <v>245</v>
      </c>
      <c r="AA179" s="16">
        <v>12</v>
      </c>
      <c r="AB179" s="1496" t="s">
        <v>22</v>
      </c>
      <c r="AC179" s="1497"/>
      <c r="AD179" s="1498"/>
      <c r="AE179" s="1496" t="s">
        <v>22</v>
      </c>
      <c r="AF179" s="1497"/>
      <c r="AG179" s="1498"/>
      <c r="AH179" s="1496" t="s">
        <v>22</v>
      </c>
      <c r="AI179" s="1497"/>
      <c r="AJ179" s="1498"/>
      <c r="AK179" s="1388" t="s">
        <v>22</v>
      </c>
      <c r="AL179" s="1491"/>
      <c r="AM179" s="499"/>
      <c r="AN179" s="791"/>
    </row>
    <row r="180" spans="1:40" s="58" customFormat="1" ht="59.25" customHeight="1">
      <c r="A180" s="1510"/>
      <c r="B180" s="687" t="s">
        <v>536</v>
      </c>
      <c r="C180" s="910">
        <v>157</v>
      </c>
      <c r="D180" s="489" t="s">
        <v>537</v>
      </c>
      <c r="E180" s="716" t="s">
        <v>538</v>
      </c>
      <c r="F180" s="716" t="s">
        <v>139</v>
      </c>
      <c r="G180" s="716"/>
      <c r="H180" s="716" t="s">
        <v>539</v>
      </c>
      <c r="I180" s="1321" t="s">
        <v>22</v>
      </c>
      <c r="J180" s="1321" t="s">
        <v>22</v>
      </c>
      <c r="K180" s="1094">
        <v>1</v>
      </c>
      <c r="L180" s="1325">
        <v>38562</v>
      </c>
      <c r="M180" s="1325">
        <v>39521</v>
      </c>
      <c r="N180" s="1305">
        <v>2008</v>
      </c>
      <c r="O180" s="470">
        <v>461500</v>
      </c>
      <c r="P180" s="1322">
        <v>2838230</v>
      </c>
      <c r="Q180" s="470" t="s">
        <v>142</v>
      </c>
      <c r="R180" s="930">
        <v>1.5567</v>
      </c>
      <c r="S180" s="931">
        <v>4418272.6409999998</v>
      </c>
      <c r="T180" s="931">
        <v>1856.01</v>
      </c>
      <c r="U180" s="27">
        <v>8200358204.42241</v>
      </c>
      <c r="V180" s="16">
        <v>17768.92351987521</v>
      </c>
      <c r="W180" s="16">
        <v>17768.92351987521</v>
      </c>
      <c r="X180" s="1485"/>
      <c r="Y180" s="1485"/>
      <c r="Z180" s="1388" t="s">
        <v>245</v>
      </c>
      <c r="AA180" s="16">
        <v>28</v>
      </c>
      <c r="AB180" s="1496" t="s">
        <v>22</v>
      </c>
      <c r="AC180" s="1497"/>
      <c r="AD180" s="1498"/>
      <c r="AE180" s="1496" t="s">
        <v>22</v>
      </c>
      <c r="AF180" s="1497"/>
      <c r="AG180" s="1498"/>
      <c r="AH180" s="1496" t="s">
        <v>22</v>
      </c>
      <c r="AI180" s="1497"/>
      <c r="AJ180" s="1498"/>
      <c r="AK180" s="1388" t="s">
        <v>22</v>
      </c>
      <c r="AL180" s="1491"/>
      <c r="AM180" s="499"/>
      <c r="AN180" s="791"/>
    </row>
    <row r="181" spans="1:40" s="58" customFormat="1" ht="9" customHeight="1">
      <c r="A181" s="1510"/>
      <c r="B181" s="687"/>
      <c r="C181" s="910"/>
      <c r="D181" s="489" t="s">
        <v>158</v>
      </c>
      <c r="E181" s="716"/>
      <c r="F181" s="716"/>
      <c r="G181" s="716"/>
      <c r="H181" s="716"/>
      <c r="I181" s="1321"/>
      <c r="J181" s="1321"/>
      <c r="K181" s="1094"/>
      <c r="L181" s="222"/>
      <c r="M181" s="222"/>
      <c r="N181" s="1305" t="s">
        <v>158</v>
      </c>
      <c r="O181" s="470" t="s">
        <v>158</v>
      </c>
      <c r="P181" s="1322"/>
      <c r="Q181" s="470"/>
      <c r="R181" s="19"/>
      <c r="S181" s="30"/>
      <c r="T181" s="31"/>
      <c r="U181" s="27" t="s">
        <v>158</v>
      </c>
      <c r="V181" s="16" t="s">
        <v>158</v>
      </c>
      <c r="W181" s="16" t="s">
        <v>158</v>
      </c>
      <c r="X181" s="1485"/>
      <c r="Y181" s="1485"/>
      <c r="Z181" s="1388" t="s">
        <v>158</v>
      </c>
      <c r="AA181" s="16"/>
      <c r="AB181" s="1496"/>
      <c r="AC181" s="1497"/>
      <c r="AD181" s="1498"/>
      <c r="AE181" s="1496"/>
      <c r="AF181" s="1497"/>
      <c r="AG181" s="1498"/>
      <c r="AH181" s="1496"/>
      <c r="AI181" s="1497"/>
      <c r="AJ181" s="1498"/>
      <c r="AK181" s="1388"/>
      <c r="AL181" s="1491"/>
      <c r="AM181" s="499"/>
      <c r="AN181" s="791"/>
    </row>
    <row r="182" spans="1:40" s="58" customFormat="1" ht="11.25" customHeight="1" thickBot="1">
      <c r="A182" s="1511"/>
      <c r="B182" s="476"/>
      <c r="C182" s="1075"/>
      <c r="D182" s="493" t="s">
        <v>158</v>
      </c>
      <c r="E182" s="718"/>
      <c r="F182" s="718"/>
      <c r="G182" s="718"/>
      <c r="H182" s="718"/>
      <c r="I182" s="1323"/>
      <c r="J182" s="1323"/>
      <c r="K182" s="1096"/>
      <c r="L182" s="720"/>
      <c r="M182" s="720"/>
      <c r="N182" s="1306" t="s">
        <v>158</v>
      </c>
      <c r="O182" s="464" t="s">
        <v>158</v>
      </c>
      <c r="P182" s="1324"/>
      <c r="Q182" s="464"/>
      <c r="R182" s="99"/>
      <c r="S182" s="110"/>
      <c r="T182" s="111"/>
      <c r="U182" s="107" t="s">
        <v>158</v>
      </c>
      <c r="V182" s="112" t="s">
        <v>158</v>
      </c>
      <c r="W182" s="112" t="s">
        <v>158</v>
      </c>
      <c r="X182" s="1486"/>
      <c r="Y182" s="1486"/>
      <c r="Z182" s="1392" t="s">
        <v>158</v>
      </c>
      <c r="AA182" s="112"/>
      <c r="AB182" s="1493"/>
      <c r="AC182" s="1494"/>
      <c r="AD182" s="1495"/>
      <c r="AE182" s="1493"/>
      <c r="AF182" s="1494"/>
      <c r="AG182" s="1495"/>
      <c r="AH182" s="1493"/>
      <c r="AI182" s="1494"/>
      <c r="AJ182" s="1495"/>
      <c r="AK182" s="1392"/>
      <c r="AL182" s="1492"/>
      <c r="AM182" s="1102"/>
      <c r="AN182" s="791"/>
    </row>
    <row r="183" spans="1:40" s="58" customFormat="1" ht="59.25" customHeight="1">
      <c r="A183" s="1509" t="s">
        <v>54</v>
      </c>
      <c r="B183" s="233" t="s">
        <v>540</v>
      </c>
      <c r="C183" s="234">
        <v>277</v>
      </c>
      <c r="D183" s="274" t="s">
        <v>541</v>
      </c>
      <c r="E183" s="235" t="s">
        <v>214</v>
      </c>
      <c r="F183" s="235" t="s">
        <v>139</v>
      </c>
      <c r="G183" s="235"/>
      <c r="H183" s="235" t="s">
        <v>542</v>
      </c>
      <c r="I183" s="1319" t="s">
        <v>22</v>
      </c>
      <c r="J183" s="1319" t="s">
        <v>22</v>
      </c>
      <c r="K183" s="1098">
        <v>1</v>
      </c>
      <c r="L183" s="238">
        <v>40378</v>
      </c>
      <c r="M183" s="238">
        <v>40578</v>
      </c>
      <c r="N183" s="1302">
        <v>2011</v>
      </c>
      <c r="O183" s="240">
        <v>535600</v>
      </c>
      <c r="P183" s="1320">
        <v>3169556.78</v>
      </c>
      <c r="Q183" s="240" t="s">
        <v>543</v>
      </c>
      <c r="R183" s="81">
        <v>1.3747400000000001</v>
      </c>
      <c r="S183" s="92">
        <v>4357316.4877372002</v>
      </c>
      <c r="T183" s="93">
        <v>1863.03</v>
      </c>
      <c r="U183" s="89">
        <v>8117811336.1490364</v>
      </c>
      <c r="V183" s="94">
        <v>15156.481210136364</v>
      </c>
      <c r="W183" s="94">
        <v>15156.481210136364</v>
      </c>
      <c r="X183" s="1484" t="s">
        <v>245</v>
      </c>
      <c r="Y183" s="1484" t="s">
        <v>245</v>
      </c>
      <c r="Z183" s="1393" t="s">
        <v>245</v>
      </c>
      <c r="AA183" s="94">
        <v>26</v>
      </c>
      <c r="AB183" s="1499" t="s">
        <v>129</v>
      </c>
      <c r="AC183" s="1500"/>
      <c r="AD183" s="1501"/>
      <c r="AE183" s="1499" t="s">
        <v>22</v>
      </c>
      <c r="AF183" s="1500"/>
      <c r="AG183" s="1501"/>
      <c r="AH183" s="1499" t="s">
        <v>22</v>
      </c>
      <c r="AI183" s="1500"/>
      <c r="AJ183" s="1501"/>
      <c r="AK183" s="1393" t="s">
        <v>22</v>
      </c>
      <c r="AL183" s="1490" t="s">
        <v>21</v>
      </c>
      <c r="AM183" s="429"/>
      <c r="AN183" s="791"/>
    </row>
    <row r="184" spans="1:40" s="58" customFormat="1" ht="60" customHeight="1">
      <c r="A184" s="1510"/>
      <c r="B184" s="687" t="s">
        <v>544</v>
      </c>
      <c r="C184" s="910">
        <v>287</v>
      </c>
      <c r="D184" s="489" t="s">
        <v>545</v>
      </c>
      <c r="E184" s="716" t="s">
        <v>155</v>
      </c>
      <c r="F184" s="716" t="s">
        <v>148</v>
      </c>
      <c r="G184" s="716" t="s">
        <v>546</v>
      </c>
      <c r="H184" s="716" t="s">
        <v>547</v>
      </c>
      <c r="I184" s="1321" t="s">
        <v>22</v>
      </c>
      <c r="J184" s="1321" t="s">
        <v>22</v>
      </c>
      <c r="K184" s="1094">
        <v>0.5</v>
      </c>
      <c r="L184" s="222">
        <v>35076</v>
      </c>
      <c r="M184" s="222">
        <v>35881</v>
      </c>
      <c r="N184" s="1305">
        <v>1998</v>
      </c>
      <c r="O184" s="470">
        <v>203826</v>
      </c>
      <c r="P184" s="1322">
        <v>1603996630</v>
      </c>
      <c r="Q184" s="470" t="s">
        <v>151</v>
      </c>
      <c r="R184" s="19" t="s">
        <v>140</v>
      </c>
      <c r="S184" s="30" t="s">
        <v>140</v>
      </c>
      <c r="T184" s="31">
        <v>1</v>
      </c>
      <c r="U184" s="27">
        <v>1603996630</v>
      </c>
      <c r="V184" s="16">
        <v>7869.4407484815483</v>
      </c>
      <c r="W184" s="16">
        <v>3934.7203742407742</v>
      </c>
      <c r="X184" s="1485"/>
      <c r="Y184" s="1485"/>
      <c r="Z184" s="1388" t="s">
        <v>245</v>
      </c>
      <c r="AA184" s="16">
        <v>101</v>
      </c>
      <c r="AB184" s="1496" t="s">
        <v>22</v>
      </c>
      <c r="AC184" s="1497"/>
      <c r="AD184" s="1498"/>
      <c r="AE184" s="1496" t="s">
        <v>22</v>
      </c>
      <c r="AF184" s="1497"/>
      <c r="AG184" s="1498"/>
      <c r="AH184" s="1496" t="s">
        <v>22</v>
      </c>
      <c r="AI184" s="1497"/>
      <c r="AJ184" s="1498"/>
      <c r="AK184" s="1388" t="s">
        <v>22</v>
      </c>
      <c r="AL184" s="1491"/>
      <c r="AM184" s="499"/>
      <c r="AN184" s="791"/>
    </row>
    <row r="185" spans="1:40" s="58" customFormat="1" ht="48.75" customHeight="1">
      <c r="A185" s="1510"/>
      <c r="B185" s="687" t="s">
        <v>544</v>
      </c>
      <c r="C185" s="910">
        <v>289</v>
      </c>
      <c r="D185" s="489" t="s">
        <v>545</v>
      </c>
      <c r="E185" s="716" t="s">
        <v>155</v>
      </c>
      <c r="F185" s="716" t="s">
        <v>148</v>
      </c>
      <c r="G185" s="716"/>
      <c r="H185" s="716" t="s">
        <v>548</v>
      </c>
      <c r="I185" s="1321" t="s">
        <v>22</v>
      </c>
      <c r="J185" s="1321" t="s">
        <v>22</v>
      </c>
      <c r="K185" s="1094">
        <v>0.75</v>
      </c>
      <c r="L185" s="222">
        <v>37411</v>
      </c>
      <c r="M185" s="222">
        <v>38518</v>
      </c>
      <c r="N185" s="1305">
        <v>2005</v>
      </c>
      <c r="O185" s="470">
        <v>381500</v>
      </c>
      <c r="P185" s="1322">
        <v>2982660825.3299999</v>
      </c>
      <c r="Q185" s="470" t="s">
        <v>151</v>
      </c>
      <c r="R185" s="19" t="s">
        <v>140</v>
      </c>
      <c r="S185" s="30" t="s">
        <v>140</v>
      </c>
      <c r="T185" s="31">
        <v>1</v>
      </c>
      <c r="U185" s="27">
        <v>2982660825.3299999</v>
      </c>
      <c r="V185" s="16">
        <v>7818.2459379554384</v>
      </c>
      <c r="W185" s="16">
        <v>5863.6844534665788</v>
      </c>
      <c r="X185" s="1485"/>
      <c r="Y185" s="1485"/>
      <c r="Z185" s="1388" t="s">
        <v>245</v>
      </c>
      <c r="AA185" s="16">
        <v>130</v>
      </c>
      <c r="AB185" s="1496" t="s">
        <v>22</v>
      </c>
      <c r="AC185" s="1497"/>
      <c r="AD185" s="1498"/>
      <c r="AE185" s="1496" t="s">
        <v>22</v>
      </c>
      <c r="AF185" s="1497"/>
      <c r="AG185" s="1498"/>
      <c r="AH185" s="1496" t="s">
        <v>22</v>
      </c>
      <c r="AI185" s="1497"/>
      <c r="AJ185" s="1498"/>
      <c r="AK185" s="1388" t="s">
        <v>22</v>
      </c>
      <c r="AL185" s="1491"/>
      <c r="AM185" s="499"/>
      <c r="AN185" s="791"/>
    </row>
    <row r="186" spans="1:40" s="58" customFormat="1" ht="70.5" customHeight="1">
      <c r="A186" s="1510"/>
      <c r="B186" s="687" t="s">
        <v>549</v>
      </c>
      <c r="C186" s="910">
        <v>291</v>
      </c>
      <c r="D186" s="489" t="s">
        <v>550</v>
      </c>
      <c r="E186" s="716" t="s">
        <v>207</v>
      </c>
      <c r="F186" s="716" t="s">
        <v>148</v>
      </c>
      <c r="G186" s="716"/>
      <c r="H186" s="716" t="s">
        <v>551</v>
      </c>
      <c r="I186" s="1321" t="s">
        <v>22</v>
      </c>
      <c r="J186" s="1321" t="s">
        <v>22</v>
      </c>
      <c r="K186" s="1094">
        <v>0.1</v>
      </c>
      <c r="L186" s="222">
        <v>39615</v>
      </c>
      <c r="M186" s="222">
        <v>41152</v>
      </c>
      <c r="N186" s="1305">
        <v>2012</v>
      </c>
      <c r="O186" s="470">
        <v>566700</v>
      </c>
      <c r="P186" s="1322">
        <v>19784751256</v>
      </c>
      <c r="Q186" s="470" t="s">
        <v>151</v>
      </c>
      <c r="R186" s="19" t="s">
        <v>140</v>
      </c>
      <c r="S186" s="30" t="s">
        <v>140</v>
      </c>
      <c r="T186" s="31">
        <v>1</v>
      </c>
      <c r="U186" s="27">
        <v>19784751256</v>
      </c>
      <c r="V186" s="16">
        <v>34912.213262749246</v>
      </c>
      <c r="W186" s="16">
        <v>3491.2213262749246</v>
      </c>
      <c r="X186" s="1485"/>
      <c r="Y186" s="1485"/>
      <c r="Z186" s="1388" t="s">
        <v>245</v>
      </c>
      <c r="AA186" s="16">
        <v>22</v>
      </c>
      <c r="AB186" s="1496" t="s">
        <v>22</v>
      </c>
      <c r="AC186" s="1497"/>
      <c r="AD186" s="1498"/>
      <c r="AE186" s="1496" t="s">
        <v>22</v>
      </c>
      <c r="AF186" s="1497"/>
      <c r="AG186" s="1498"/>
      <c r="AH186" s="1496" t="s">
        <v>22</v>
      </c>
      <c r="AI186" s="1497"/>
      <c r="AJ186" s="1498"/>
      <c r="AK186" s="1388" t="s">
        <v>22</v>
      </c>
      <c r="AL186" s="1491"/>
      <c r="AM186" s="499"/>
      <c r="AN186" s="791"/>
    </row>
    <row r="187" spans="1:40" s="58" customFormat="1" ht="9.75" customHeight="1">
      <c r="A187" s="1510"/>
      <c r="B187" s="687"/>
      <c r="C187" s="910"/>
      <c r="D187" s="489" t="s">
        <v>158</v>
      </c>
      <c r="E187" s="716"/>
      <c r="F187" s="716"/>
      <c r="G187" s="716"/>
      <c r="H187" s="716"/>
      <c r="I187" s="1321"/>
      <c r="J187" s="1321"/>
      <c r="K187" s="1094"/>
      <c r="L187" s="222"/>
      <c r="M187" s="222"/>
      <c r="N187" s="1305" t="s">
        <v>158</v>
      </c>
      <c r="O187" s="470" t="s">
        <v>158</v>
      </c>
      <c r="P187" s="1322"/>
      <c r="Q187" s="470"/>
      <c r="R187" s="19"/>
      <c r="S187" s="30"/>
      <c r="T187" s="31"/>
      <c r="U187" s="27" t="s">
        <v>158</v>
      </c>
      <c r="V187" s="16" t="s">
        <v>158</v>
      </c>
      <c r="W187" s="16" t="s">
        <v>158</v>
      </c>
      <c r="X187" s="1485"/>
      <c r="Y187" s="1485"/>
      <c r="Z187" s="1388" t="s">
        <v>158</v>
      </c>
      <c r="AA187" s="16"/>
      <c r="AB187" s="1496"/>
      <c r="AC187" s="1497"/>
      <c r="AD187" s="1498"/>
      <c r="AE187" s="1496"/>
      <c r="AF187" s="1497"/>
      <c r="AG187" s="1498"/>
      <c r="AH187" s="1496"/>
      <c r="AI187" s="1497"/>
      <c r="AJ187" s="1498"/>
      <c r="AK187" s="1388"/>
      <c r="AL187" s="1491"/>
      <c r="AM187" s="499"/>
      <c r="AN187" s="791"/>
    </row>
    <row r="188" spans="1:40" s="58" customFormat="1" ht="9" customHeight="1">
      <c r="A188" s="1511"/>
      <c r="B188" s="476"/>
      <c r="C188" s="1075"/>
      <c r="D188" s="493" t="s">
        <v>158</v>
      </c>
      <c r="E188" s="718"/>
      <c r="F188" s="718"/>
      <c r="G188" s="718"/>
      <c r="H188" s="718"/>
      <c r="I188" s="1323"/>
      <c r="J188" s="1323"/>
      <c r="K188" s="1096"/>
      <c r="L188" s="720"/>
      <c r="M188" s="720"/>
      <c r="N188" s="1306" t="s">
        <v>158</v>
      </c>
      <c r="O188" s="464" t="s">
        <v>158</v>
      </c>
      <c r="P188" s="1324"/>
      <c r="Q188" s="464"/>
      <c r="R188" s="99"/>
      <c r="S188" s="110"/>
      <c r="T188" s="111"/>
      <c r="U188" s="107" t="s">
        <v>158</v>
      </c>
      <c r="V188" s="112" t="s">
        <v>158</v>
      </c>
      <c r="W188" s="112" t="s">
        <v>158</v>
      </c>
      <c r="X188" s="1486"/>
      <c r="Y188" s="1486"/>
      <c r="Z188" s="1392" t="s">
        <v>158</v>
      </c>
      <c r="AA188" s="112"/>
      <c r="AB188" s="1493"/>
      <c r="AC188" s="1494"/>
      <c r="AD188" s="1495"/>
      <c r="AE188" s="1493"/>
      <c r="AF188" s="1494"/>
      <c r="AG188" s="1495"/>
      <c r="AH188" s="1493"/>
      <c r="AI188" s="1494"/>
      <c r="AJ188" s="1495"/>
      <c r="AK188" s="1392"/>
      <c r="AL188" s="1492"/>
      <c r="AM188" s="1102"/>
      <c r="AN188" s="791"/>
    </row>
    <row r="189" spans="1:40" s="58" customFormat="1" ht="72.75" customHeight="1">
      <c r="A189" s="1509" t="s">
        <v>55</v>
      </c>
      <c r="B189" s="233" t="s">
        <v>552</v>
      </c>
      <c r="C189" s="234">
        <v>100</v>
      </c>
      <c r="D189" s="274" t="s">
        <v>553</v>
      </c>
      <c r="E189" s="235" t="s">
        <v>554</v>
      </c>
      <c r="F189" s="235" t="s">
        <v>148</v>
      </c>
      <c r="G189" s="235" t="s">
        <v>555</v>
      </c>
      <c r="H189" s="235" t="s">
        <v>556</v>
      </c>
      <c r="I189" s="1319" t="s">
        <v>22</v>
      </c>
      <c r="J189" s="1319" t="s">
        <v>22</v>
      </c>
      <c r="K189" s="1098">
        <v>1</v>
      </c>
      <c r="L189" s="238">
        <v>39156</v>
      </c>
      <c r="M189" s="238">
        <v>39964</v>
      </c>
      <c r="N189" s="1302">
        <v>2009</v>
      </c>
      <c r="O189" s="240">
        <v>496900</v>
      </c>
      <c r="P189" s="1320">
        <v>2927141854</v>
      </c>
      <c r="Q189" s="240" t="s">
        <v>151</v>
      </c>
      <c r="R189" s="81" t="s">
        <v>140</v>
      </c>
      <c r="S189" s="92" t="s">
        <v>140</v>
      </c>
      <c r="T189" s="93">
        <v>1</v>
      </c>
      <c r="U189" s="89">
        <v>2927141854</v>
      </c>
      <c r="V189" s="94">
        <v>5890.8067095995166</v>
      </c>
      <c r="W189" s="94">
        <v>5890.8067095995166</v>
      </c>
      <c r="X189" s="1484" t="s">
        <v>245</v>
      </c>
      <c r="Y189" s="1484" t="s">
        <v>245</v>
      </c>
      <c r="Z189" s="1393" t="s">
        <v>245</v>
      </c>
      <c r="AA189" s="94">
        <v>21</v>
      </c>
      <c r="AB189" s="1499" t="s">
        <v>129</v>
      </c>
      <c r="AC189" s="1500"/>
      <c r="AD189" s="1501"/>
      <c r="AE189" s="1499" t="s">
        <v>22</v>
      </c>
      <c r="AF189" s="1500"/>
      <c r="AG189" s="1501"/>
      <c r="AH189" s="1499" t="s">
        <v>22</v>
      </c>
      <c r="AI189" s="1500"/>
      <c r="AJ189" s="1501"/>
      <c r="AK189" s="1393" t="s">
        <v>22</v>
      </c>
      <c r="AL189" s="1490" t="s">
        <v>16</v>
      </c>
      <c r="AM189" s="1481" t="s">
        <v>557</v>
      </c>
      <c r="AN189" s="791"/>
    </row>
    <row r="190" spans="1:40" s="58" customFormat="1" ht="57.75" customHeight="1">
      <c r="A190" s="1510"/>
      <c r="B190" s="687" t="s">
        <v>552</v>
      </c>
      <c r="C190" s="910">
        <v>115</v>
      </c>
      <c r="D190" s="489" t="s">
        <v>553</v>
      </c>
      <c r="E190" s="716" t="s">
        <v>263</v>
      </c>
      <c r="F190" s="716" t="s">
        <v>148</v>
      </c>
      <c r="G190" s="716" t="s">
        <v>558</v>
      </c>
      <c r="H190" s="716" t="s">
        <v>559</v>
      </c>
      <c r="I190" s="1321" t="s">
        <v>22</v>
      </c>
      <c r="J190" s="1321" t="s">
        <v>22</v>
      </c>
      <c r="K190" s="1094">
        <v>1</v>
      </c>
      <c r="L190" s="222">
        <v>39147</v>
      </c>
      <c r="M190" s="222">
        <v>40016</v>
      </c>
      <c r="N190" s="1305">
        <v>2009</v>
      </c>
      <c r="O190" s="470">
        <v>496900</v>
      </c>
      <c r="P190" s="1322">
        <v>4704397815</v>
      </c>
      <c r="Q190" s="470" t="s">
        <v>151</v>
      </c>
      <c r="R190" s="19" t="s">
        <v>140</v>
      </c>
      <c r="S190" s="30" t="s">
        <v>140</v>
      </c>
      <c r="T190" s="31">
        <v>1</v>
      </c>
      <c r="U190" s="27">
        <v>4704397815</v>
      </c>
      <c r="V190" s="16">
        <v>9467.4940933789494</v>
      </c>
      <c r="W190" s="16">
        <v>9467.4940933789494</v>
      </c>
      <c r="X190" s="1485"/>
      <c r="Y190" s="1485"/>
      <c r="Z190" s="1388" t="s">
        <v>245</v>
      </c>
      <c r="AA190" s="16">
        <v>5</v>
      </c>
      <c r="AB190" s="1496" t="s">
        <v>22</v>
      </c>
      <c r="AC190" s="1497"/>
      <c r="AD190" s="1498"/>
      <c r="AE190" s="1496" t="s">
        <v>22</v>
      </c>
      <c r="AF190" s="1497"/>
      <c r="AG190" s="1498"/>
      <c r="AH190" s="1496" t="s">
        <v>22</v>
      </c>
      <c r="AI190" s="1497"/>
      <c r="AJ190" s="1498"/>
      <c r="AK190" s="1388" t="s">
        <v>22</v>
      </c>
      <c r="AL190" s="1491"/>
      <c r="AM190" s="1482"/>
      <c r="AN190" s="791"/>
    </row>
    <row r="191" spans="1:40" s="58" customFormat="1" ht="53.25" customHeight="1">
      <c r="A191" s="1510"/>
      <c r="B191" s="687" t="s">
        <v>560</v>
      </c>
      <c r="C191" s="910">
        <v>120</v>
      </c>
      <c r="D191" s="489" t="s">
        <v>561</v>
      </c>
      <c r="E191" s="716" t="s">
        <v>562</v>
      </c>
      <c r="F191" s="716" t="s">
        <v>523</v>
      </c>
      <c r="G191" s="716"/>
      <c r="H191" s="716" t="s">
        <v>563</v>
      </c>
      <c r="I191" s="1321" t="s">
        <v>22</v>
      </c>
      <c r="J191" s="1321" t="s">
        <v>22</v>
      </c>
      <c r="K191" s="1094">
        <v>1</v>
      </c>
      <c r="L191" s="222">
        <v>37809</v>
      </c>
      <c r="M191" s="222">
        <v>38260</v>
      </c>
      <c r="N191" s="1305">
        <v>2004</v>
      </c>
      <c r="O191" s="470">
        <v>358000</v>
      </c>
      <c r="P191" s="1322">
        <v>14373607.15</v>
      </c>
      <c r="Q191" s="470" t="s">
        <v>525</v>
      </c>
      <c r="R191" s="19">
        <v>8.7510000000000004E-2</v>
      </c>
      <c r="S191" s="30">
        <v>1257834.3616965001</v>
      </c>
      <c r="T191" s="31">
        <v>2595.17</v>
      </c>
      <c r="U191" s="27">
        <v>3264294000.4439063</v>
      </c>
      <c r="V191" s="16">
        <v>9118.1396660444316</v>
      </c>
      <c r="W191" s="16">
        <v>9118.1396660444316</v>
      </c>
      <c r="X191" s="1485"/>
      <c r="Y191" s="1485"/>
      <c r="Z191" s="1388" t="s">
        <v>245</v>
      </c>
      <c r="AA191" s="16">
        <v>21</v>
      </c>
      <c r="AB191" s="1496" t="s">
        <v>22</v>
      </c>
      <c r="AC191" s="1497"/>
      <c r="AD191" s="1498"/>
      <c r="AE191" s="1496" t="s">
        <v>22</v>
      </c>
      <c r="AF191" s="1497"/>
      <c r="AG191" s="1498"/>
      <c r="AH191" s="1496" t="s">
        <v>22</v>
      </c>
      <c r="AI191" s="1497"/>
      <c r="AJ191" s="1498"/>
      <c r="AK191" s="1388" t="s">
        <v>22</v>
      </c>
      <c r="AL191" s="1491"/>
      <c r="AM191" s="1482"/>
      <c r="AN191" s="791"/>
    </row>
    <row r="192" spans="1:40" s="58" customFormat="1" ht="44.25" customHeight="1">
      <c r="A192" s="1510"/>
      <c r="B192" s="687" t="s">
        <v>564</v>
      </c>
      <c r="C192" s="910">
        <v>158</v>
      </c>
      <c r="D192" s="489" t="s">
        <v>565</v>
      </c>
      <c r="E192" s="716" t="s">
        <v>566</v>
      </c>
      <c r="F192" s="716" t="s">
        <v>567</v>
      </c>
      <c r="G192" s="716"/>
      <c r="H192" s="716" t="s">
        <v>568</v>
      </c>
      <c r="I192" s="1321" t="s">
        <v>22</v>
      </c>
      <c r="J192" s="1321" t="s">
        <v>22</v>
      </c>
      <c r="K192" s="1094">
        <v>1</v>
      </c>
      <c r="L192" s="222">
        <v>39539</v>
      </c>
      <c r="M192" s="222">
        <v>41061</v>
      </c>
      <c r="N192" s="1305">
        <v>2012</v>
      </c>
      <c r="O192" s="470">
        <v>566700</v>
      </c>
      <c r="P192" s="1322">
        <v>12427664</v>
      </c>
      <c r="Q192" s="470" t="s">
        <v>142</v>
      </c>
      <c r="R192" s="19">
        <v>1.2543</v>
      </c>
      <c r="S192" s="30">
        <v>15588018.9552</v>
      </c>
      <c r="T192" s="31">
        <v>1792.63</v>
      </c>
      <c r="U192" s="27">
        <v>27943550419.660175</v>
      </c>
      <c r="V192" s="16">
        <v>49309.247255444105</v>
      </c>
      <c r="W192" s="16">
        <v>49309.247255444105</v>
      </c>
      <c r="X192" s="1485"/>
      <c r="Y192" s="1485"/>
      <c r="Z192" s="1388" t="s">
        <v>245</v>
      </c>
      <c r="AA192" s="16">
        <v>1</v>
      </c>
      <c r="AB192" s="1496" t="s">
        <v>22</v>
      </c>
      <c r="AC192" s="1497"/>
      <c r="AD192" s="1498"/>
      <c r="AE192" s="1496" t="s">
        <v>129</v>
      </c>
      <c r="AF192" s="1497"/>
      <c r="AG192" s="1498"/>
      <c r="AH192" s="1496" t="s">
        <v>22</v>
      </c>
      <c r="AI192" s="1497"/>
      <c r="AJ192" s="1498"/>
      <c r="AK192" s="1388" t="s">
        <v>22</v>
      </c>
      <c r="AL192" s="1491"/>
      <c r="AM192" s="1482"/>
      <c r="AN192" s="791"/>
    </row>
    <row r="193" spans="1:40" s="58" customFormat="1" ht="8.25" customHeight="1">
      <c r="A193" s="1510"/>
      <c r="B193" s="687"/>
      <c r="C193" s="910"/>
      <c r="D193" s="489" t="s">
        <v>158</v>
      </c>
      <c r="E193" s="716"/>
      <c r="F193" s="716"/>
      <c r="G193" s="716"/>
      <c r="H193" s="716"/>
      <c r="I193" s="1321"/>
      <c r="J193" s="1321"/>
      <c r="K193" s="1094"/>
      <c r="L193" s="222"/>
      <c r="M193" s="222"/>
      <c r="N193" s="1305" t="s">
        <v>158</v>
      </c>
      <c r="O193" s="470" t="s">
        <v>158</v>
      </c>
      <c r="P193" s="1322"/>
      <c r="Q193" s="470"/>
      <c r="R193" s="19"/>
      <c r="S193" s="30"/>
      <c r="T193" s="31"/>
      <c r="U193" s="27" t="s">
        <v>158</v>
      </c>
      <c r="V193" s="16" t="s">
        <v>158</v>
      </c>
      <c r="W193" s="16" t="s">
        <v>158</v>
      </c>
      <c r="X193" s="1485"/>
      <c r="Y193" s="1485"/>
      <c r="Z193" s="1388" t="s">
        <v>158</v>
      </c>
      <c r="AA193" s="16"/>
      <c r="AB193" s="1496"/>
      <c r="AC193" s="1497"/>
      <c r="AD193" s="1498"/>
      <c r="AE193" s="1496"/>
      <c r="AF193" s="1497"/>
      <c r="AG193" s="1498"/>
      <c r="AH193" s="1496"/>
      <c r="AI193" s="1497"/>
      <c r="AJ193" s="1498"/>
      <c r="AK193" s="1388"/>
      <c r="AL193" s="1491"/>
      <c r="AM193" s="1482"/>
      <c r="AN193" s="791"/>
    </row>
    <row r="194" spans="1:40" s="58" customFormat="1" ht="8.25" customHeight="1">
      <c r="A194" s="1511"/>
      <c r="B194" s="476"/>
      <c r="C194" s="1075"/>
      <c r="D194" s="493" t="s">
        <v>158</v>
      </c>
      <c r="E194" s="718"/>
      <c r="F194" s="718"/>
      <c r="G194" s="718"/>
      <c r="H194" s="718"/>
      <c r="I194" s="1323"/>
      <c r="J194" s="1323"/>
      <c r="K194" s="1096"/>
      <c r="L194" s="720"/>
      <c r="M194" s="720"/>
      <c r="N194" s="1306" t="s">
        <v>158</v>
      </c>
      <c r="O194" s="464" t="s">
        <v>158</v>
      </c>
      <c r="P194" s="1324"/>
      <c r="Q194" s="464"/>
      <c r="R194" s="99"/>
      <c r="S194" s="110"/>
      <c r="T194" s="111"/>
      <c r="U194" s="107" t="s">
        <v>158</v>
      </c>
      <c r="V194" s="112" t="s">
        <v>158</v>
      </c>
      <c r="W194" s="112" t="s">
        <v>158</v>
      </c>
      <c r="X194" s="1486"/>
      <c r="Y194" s="1486"/>
      <c r="Z194" s="1392" t="s">
        <v>158</v>
      </c>
      <c r="AA194" s="112"/>
      <c r="AB194" s="1493"/>
      <c r="AC194" s="1494"/>
      <c r="AD194" s="1495"/>
      <c r="AE194" s="1493"/>
      <c r="AF194" s="1494"/>
      <c r="AG194" s="1495"/>
      <c r="AH194" s="1493"/>
      <c r="AI194" s="1494"/>
      <c r="AJ194" s="1495"/>
      <c r="AK194" s="1392"/>
      <c r="AL194" s="1492"/>
      <c r="AM194" s="1483"/>
      <c r="AN194" s="791"/>
    </row>
    <row r="195" spans="1:40" s="58" customFormat="1" ht="30" customHeight="1">
      <c r="A195" s="1509" t="s">
        <v>57</v>
      </c>
      <c r="B195" s="233" t="s">
        <v>569</v>
      </c>
      <c r="C195" s="234" t="s">
        <v>570</v>
      </c>
      <c r="D195" s="274" t="s">
        <v>571</v>
      </c>
      <c r="E195" s="235" t="s">
        <v>281</v>
      </c>
      <c r="F195" s="235" t="s">
        <v>148</v>
      </c>
      <c r="G195" s="235" t="s">
        <v>572</v>
      </c>
      <c r="H195" s="236" t="s">
        <v>573</v>
      </c>
      <c r="I195" s="235" t="s">
        <v>22</v>
      </c>
      <c r="J195" s="235" t="s">
        <v>22</v>
      </c>
      <c r="K195" s="1098">
        <v>0.5</v>
      </c>
      <c r="L195" s="238">
        <v>36333</v>
      </c>
      <c r="M195" s="238">
        <v>38915</v>
      </c>
      <c r="N195" s="239">
        <v>2006</v>
      </c>
      <c r="O195" s="240">
        <v>408000</v>
      </c>
      <c r="P195" s="1326">
        <v>19941780178</v>
      </c>
      <c r="Q195" s="240" t="s">
        <v>151</v>
      </c>
      <c r="R195" s="81" t="s">
        <v>140</v>
      </c>
      <c r="S195" s="92" t="s">
        <v>140</v>
      </c>
      <c r="T195" s="93">
        <v>1</v>
      </c>
      <c r="U195" s="89">
        <v>19941780178</v>
      </c>
      <c r="V195" s="94">
        <v>48876.91220098039</v>
      </c>
      <c r="W195" s="94">
        <v>24438.456100490195</v>
      </c>
      <c r="X195" s="1484" t="str">
        <f>IF(W195="","",IF(SUM(W195:W198)&gt;=PARAMETROS!$G$5,"CUMPLE","NO CUMPLE"))</f>
        <v>CUMPLE</v>
      </c>
      <c r="Y195" s="1484" t="str">
        <f>IF(W195="","",IF(W195+W196&gt;=PARAMETROS!$I$5,"CUMPLE","NO CUMPLE"))</f>
        <v>CUMPLE</v>
      </c>
      <c r="Z195" s="1393" t="s">
        <v>245</v>
      </c>
      <c r="AA195" s="95" t="s">
        <v>574</v>
      </c>
      <c r="AB195" s="1484" t="s">
        <v>22</v>
      </c>
      <c r="AC195" s="1484"/>
      <c r="AD195" s="1484"/>
      <c r="AE195" s="1484" t="s">
        <v>22</v>
      </c>
      <c r="AF195" s="1484"/>
      <c r="AG195" s="1484"/>
      <c r="AH195" s="1484" t="s">
        <v>22</v>
      </c>
      <c r="AI195" s="1484"/>
      <c r="AJ195" s="1484"/>
      <c r="AK195" s="1393" t="s">
        <v>22</v>
      </c>
      <c r="AL195" s="1487" t="s">
        <v>21</v>
      </c>
      <c r="AM195" s="1367"/>
      <c r="AN195" s="791"/>
    </row>
    <row r="196" spans="1:40" s="58" customFormat="1" ht="30" customHeight="1">
      <c r="A196" s="1510"/>
      <c r="B196" s="687" t="s">
        <v>569</v>
      </c>
      <c r="C196" s="910" t="s">
        <v>575</v>
      </c>
      <c r="D196" s="489" t="s">
        <v>571</v>
      </c>
      <c r="E196" s="716" t="s">
        <v>281</v>
      </c>
      <c r="F196" s="716" t="s">
        <v>148</v>
      </c>
      <c r="G196" s="716" t="s">
        <v>576</v>
      </c>
      <c r="H196" s="716" t="s">
        <v>577</v>
      </c>
      <c r="I196" s="716" t="s">
        <v>22</v>
      </c>
      <c r="J196" s="716" t="s">
        <v>22</v>
      </c>
      <c r="K196" s="1094">
        <v>0.5</v>
      </c>
      <c r="L196" s="222">
        <v>38916</v>
      </c>
      <c r="M196" s="222">
        <v>40267</v>
      </c>
      <c r="N196" s="223">
        <v>2010</v>
      </c>
      <c r="O196" s="470">
        <v>515000</v>
      </c>
      <c r="P196" s="1327">
        <v>7564702533</v>
      </c>
      <c r="Q196" s="470" t="s">
        <v>151</v>
      </c>
      <c r="R196" s="19" t="s">
        <v>140</v>
      </c>
      <c r="S196" s="30" t="s">
        <v>140</v>
      </c>
      <c r="T196" s="31">
        <v>1</v>
      </c>
      <c r="U196" s="27">
        <v>7564702533</v>
      </c>
      <c r="V196" s="16">
        <v>14688.742782524272</v>
      </c>
      <c r="W196" s="16">
        <v>7344.3713912621361</v>
      </c>
      <c r="X196" s="1485"/>
      <c r="Y196" s="1485"/>
      <c r="Z196" s="1388" t="s">
        <v>245</v>
      </c>
      <c r="AA196" s="32" t="s">
        <v>578</v>
      </c>
      <c r="AB196" s="1485" t="s">
        <v>22</v>
      </c>
      <c r="AC196" s="1485"/>
      <c r="AD196" s="1485"/>
      <c r="AE196" s="1485" t="s">
        <v>22</v>
      </c>
      <c r="AF196" s="1485"/>
      <c r="AG196" s="1485"/>
      <c r="AH196" s="1485" t="s">
        <v>22</v>
      </c>
      <c r="AI196" s="1485"/>
      <c r="AJ196" s="1485"/>
      <c r="AK196" s="1388" t="s">
        <v>22</v>
      </c>
      <c r="AL196" s="1488"/>
      <c r="AM196" s="499"/>
      <c r="AN196" s="791"/>
    </row>
    <row r="197" spans="1:40" s="58" customFormat="1" ht="30" customHeight="1">
      <c r="A197" s="1510"/>
      <c r="B197" s="687" t="s">
        <v>579</v>
      </c>
      <c r="C197" s="910" t="s">
        <v>580</v>
      </c>
      <c r="D197" s="489" t="s">
        <v>581</v>
      </c>
      <c r="E197" s="716" t="s">
        <v>207</v>
      </c>
      <c r="F197" s="716" t="s">
        <v>148</v>
      </c>
      <c r="G197" s="716" t="s">
        <v>582</v>
      </c>
      <c r="H197" s="1074" t="s">
        <v>583</v>
      </c>
      <c r="I197" s="716" t="s">
        <v>22</v>
      </c>
      <c r="J197" s="716" t="s">
        <v>22</v>
      </c>
      <c r="K197" s="1094">
        <v>0.5</v>
      </c>
      <c r="L197" s="222">
        <v>40137</v>
      </c>
      <c r="M197" s="222">
        <v>41232</v>
      </c>
      <c r="N197" s="223">
        <v>2012</v>
      </c>
      <c r="O197" s="470">
        <v>566700</v>
      </c>
      <c r="P197" s="1327">
        <v>4761160509</v>
      </c>
      <c r="Q197" s="470" t="s">
        <v>151</v>
      </c>
      <c r="R197" s="19" t="s">
        <v>140</v>
      </c>
      <c r="S197" s="30" t="s">
        <v>140</v>
      </c>
      <c r="T197" s="31">
        <v>1</v>
      </c>
      <c r="U197" s="27">
        <v>4761160509</v>
      </c>
      <c r="V197" s="16">
        <v>8401.5537480148232</v>
      </c>
      <c r="W197" s="16">
        <v>4200.7768740074116</v>
      </c>
      <c r="X197" s="1485"/>
      <c r="Y197" s="1485"/>
      <c r="Z197" s="1388" t="s">
        <v>245</v>
      </c>
      <c r="AA197" s="32" t="s">
        <v>584</v>
      </c>
      <c r="AB197" s="1485" t="s">
        <v>22</v>
      </c>
      <c r="AC197" s="1485"/>
      <c r="AD197" s="1485"/>
      <c r="AE197" s="1485" t="s">
        <v>22</v>
      </c>
      <c r="AF197" s="1485"/>
      <c r="AG197" s="1485"/>
      <c r="AH197" s="1485" t="s">
        <v>22</v>
      </c>
      <c r="AI197" s="1485"/>
      <c r="AJ197" s="1485"/>
      <c r="AK197" s="1388" t="s">
        <v>22</v>
      </c>
      <c r="AL197" s="1488"/>
      <c r="AM197" s="499"/>
      <c r="AN197" s="791"/>
    </row>
    <row r="198" spans="1:40" s="58" customFormat="1" ht="102" customHeight="1">
      <c r="A198" s="1510"/>
      <c r="B198" s="687" t="s">
        <v>579</v>
      </c>
      <c r="C198" s="910" t="s">
        <v>585</v>
      </c>
      <c r="D198" s="489" t="s">
        <v>581</v>
      </c>
      <c r="E198" s="716" t="s">
        <v>207</v>
      </c>
      <c r="F198" s="716" t="s">
        <v>148</v>
      </c>
      <c r="G198" s="716" t="s">
        <v>586</v>
      </c>
      <c r="H198" s="1074" t="s">
        <v>587</v>
      </c>
      <c r="I198" s="716" t="s">
        <v>22</v>
      </c>
      <c r="J198" s="716" t="s">
        <v>22</v>
      </c>
      <c r="K198" s="1094">
        <v>0.4</v>
      </c>
      <c r="L198" s="222">
        <v>40143</v>
      </c>
      <c r="M198" s="222">
        <v>41183</v>
      </c>
      <c r="N198" s="223">
        <v>2012</v>
      </c>
      <c r="O198" s="470">
        <v>566700</v>
      </c>
      <c r="P198" s="1327">
        <v>4331349652</v>
      </c>
      <c r="Q198" s="470" t="s">
        <v>151</v>
      </c>
      <c r="R198" s="19" t="s">
        <v>140</v>
      </c>
      <c r="S198" s="30" t="s">
        <v>140</v>
      </c>
      <c r="T198" s="31">
        <v>1</v>
      </c>
      <c r="U198" s="27">
        <v>4331349652</v>
      </c>
      <c r="V198" s="16">
        <v>7643.1086147873657</v>
      </c>
      <c r="W198" s="16">
        <v>3057.2434459149463</v>
      </c>
      <c r="X198" s="1485"/>
      <c r="Y198" s="1485"/>
      <c r="Z198" s="1388" t="s">
        <v>245</v>
      </c>
      <c r="AA198" s="32" t="s">
        <v>588</v>
      </c>
      <c r="AB198" s="1496" t="s">
        <v>129</v>
      </c>
      <c r="AC198" s="1497"/>
      <c r="AD198" s="1498"/>
      <c r="AE198" s="1496" t="s">
        <v>22</v>
      </c>
      <c r="AF198" s="1497"/>
      <c r="AG198" s="1498"/>
      <c r="AH198" s="1496" t="s">
        <v>22</v>
      </c>
      <c r="AI198" s="1497"/>
      <c r="AJ198" s="1498"/>
      <c r="AK198" s="1388" t="s">
        <v>22</v>
      </c>
      <c r="AL198" s="1488"/>
      <c r="AM198" s="499"/>
      <c r="AN198" s="791"/>
    </row>
    <row r="199" spans="1:40" s="58" customFormat="1" ht="9" customHeight="1">
      <c r="A199" s="1510"/>
      <c r="B199" s="687"/>
      <c r="C199" s="910"/>
      <c r="D199" s="489" t="s">
        <v>158</v>
      </c>
      <c r="E199" s="716"/>
      <c r="F199" s="716"/>
      <c r="G199" s="716"/>
      <c r="H199" s="1074"/>
      <c r="I199" s="716"/>
      <c r="J199" s="716"/>
      <c r="K199" s="1094"/>
      <c r="L199" s="222"/>
      <c r="M199" s="222"/>
      <c r="N199" s="223" t="s">
        <v>158</v>
      </c>
      <c r="O199" s="470" t="s">
        <v>158</v>
      </c>
      <c r="P199" s="1327"/>
      <c r="Q199" s="470"/>
      <c r="R199" s="19"/>
      <c r="S199" s="30"/>
      <c r="T199" s="31"/>
      <c r="U199" s="27" t="s">
        <v>158</v>
      </c>
      <c r="V199" s="16" t="s">
        <v>158</v>
      </c>
      <c r="W199" s="16" t="s">
        <v>158</v>
      </c>
      <c r="X199" s="1485"/>
      <c r="Y199" s="1485"/>
      <c r="Z199" s="1388"/>
      <c r="AA199" s="32"/>
      <c r="AB199" s="1485"/>
      <c r="AC199" s="1485"/>
      <c r="AD199" s="1485"/>
      <c r="AE199" s="1485"/>
      <c r="AF199" s="1485"/>
      <c r="AG199" s="1485"/>
      <c r="AH199" s="1485"/>
      <c r="AI199" s="1485"/>
      <c r="AJ199" s="1485"/>
      <c r="AK199" s="1388"/>
      <c r="AL199" s="1488"/>
      <c r="AM199" s="499"/>
      <c r="AN199" s="791"/>
    </row>
    <row r="200" spans="1:40" s="58" customFormat="1" ht="14.25" customHeight="1" thickBot="1">
      <c r="A200" s="1511"/>
      <c r="B200" s="476"/>
      <c r="C200" s="1075"/>
      <c r="D200" s="493" t="s">
        <v>158</v>
      </c>
      <c r="E200" s="718"/>
      <c r="F200" s="718"/>
      <c r="G200" s="718"/>
      <c r="H200" s="719"/>
      <c r="I200" s="718"/>
      <c r="J200" s="718"/>
      <c r="K200" s="1096"/>
      <c r="L200" s="720"/>
      <c r="M200" s="720"/>
      <c r="N200" s="721" t="s">
        <v>158</v>
      </c>
      <c r="O200" s="464" t="s">
        <v>158</v>
      </c>
      <c r="P200" s="1328"/>
      <c r="Q200" s="464"/>
      <c r="R200" s="99"/>
      <c r="S200" s="110"/>
      <c r="T200" s="111"/>
      <c r="U200" s="107" t="s">
        <v>158</v>
      </c>
      <c r="V200" s="112" t="s">
        <v>158</v>
      </c>
      <c r="W200" s="112" t="s">
        <v>158</v>
      </c>
      <c r="X200" s="1486"/>
      <c r="Y200" s="1486"/>
      <c r="Z200" s="1392"/>
      <c r="AA200" s="112"/>
      <c r="AB200" s="1486"/>
      <c r="AC200" s="1486"/>
      <c r="AD200" s="1486"/>
      <c r="AE200" s="1486"/>
      <c r="AF200" s="1486"/>
      <c r="AG200" s="1486"/>
      <c r="AH200" s="1486"/>
      <c r="AI200" s="1486"/>
      <c r="AJ200" s="1486"/>
      <c r="AK200" s="1392"/>
      <c r="AL200" s="1489"/>
      <c r="AM200" s="1102"/>
      <c r="AN200" s="791"/>
    </row>
    <row r="201" spans="1:40" s="58" customFormat="1" ht="57.75" customHeight="1">
      <c r="A201" s="1509" t="s">
        <v>58</v>
      </c>
      <c r="B201" s="233" t="s">
        <v>589</v>
      </c>
      <c r="C201" s="234">
        <v>175</v>
      </c>
      <c r="D201" s="274" t="s">
        <v>590</v>
      </c>
      <c r="E201" s="235" t="s">
        <v>214</v>
      </c>
      <c r="F201" s="235" t="s">
        <v>139</v>
      </c>
      <c r="G201" s="235" t="s">
        <v>326</v>
      </c>
      <c r="H201" s="236" t="s">
        <v>591</v>
      </c>
      <c r="I201" s="235" t="s">
        <v>22</v>
      </c>
      <c r="J201" s="235" t="s">
        <v>22</v>
      </c>
      <c r="K201" s="1098">
        <v>1</v>
      </c>
      <c r="L201" s="238">
        <v>37201</v>
      </c>
      <c r="M201" s="238">
        <v>38173</v>
      </c>
      <c r="N201" s="239">
        <v>2004</v>
      </c>
      <c r="O201" s="240">
        <v>358000</v>
      </c>
      <c r="P201" s="1326">
        <v>1561333.21</v>
      </c>
      <c r="Q201" s="240" t="s">
        <v>142</v>
      </c>
      <c r="R201" s="81">
        <v>1.2318</v>
      </c>
      <c r="S201" s="92">
        <v>1923250.248078</v>
      </c>
      <c r="T201" s="93">
        <v>2674.1</v>
      </c>
      <c r="U201" s="89">
        <v>5142963488.3853798</v>
      </c>
      <c r="V201" s="94">
        <v>14365.819799959161</v>
      </c>
      <c r="W201" s="94">
        <v>14365.819799959161</v>
      </c>
      <c r="X201" s="1484" t="str">
        <f>IF(W201="","",IF(SUM(W201:W204)&gt;=PARAMETROS!$G$5,"CUMPLE","NO CUMPLE"))</f>
        <v>CUMPLE</v>
      </c>
      <c r="Y201" s="1484" t="str">
        <f>IF(W201="","",IF(W201&gt;=PARAMETROS!$I$5,"CUMPLE","NO CUMPLE"))</f>
        <v>CUMPLE</v>
      </c>
      <c r="Z201" s="1393" t="s">
        <v>245</v>
      </c>
      <c r="AA201" s="94" t="s">
        <v>592</v>
      </c>
      <c r="AB201" s="1484" t="s">
        <v>22</v>
      </c>
      <c r="AC201" s="1484"/>
      <c r="AD201" s="1484"/>
      <c r="AE201" s="1484" t="s">
        <v>22</v>
      </c>
      <c r="AF201" s="1484"/>
      <c r="AG201" s="1484"/>
      <c r="AH201" s="1484" t="s">
        <v>22</v>
      </c>
      <c r="AI201" s="1484"/>
      <c r="AJ201" s="1484"/>
      <c r="AK201" s="1393" t="s">
        <v>22</v>
      </c>
      <c r="AL201" s="1490" t="s">
        <v>16</v>
      </c>
      <c r="AM201" s="1481" t="s">
        <v>557</v>
      </c>
      <c r="AN201" s="791"/>
    </row>
    <row r="202" spans="1:40" s="58" customFormat="1" ht="56.25" customHeight="1">
      <c r="A202" s="1510"/>
      <c r="B202" s="687" t="s">
        <v>593</v>
      </c>
      <c r="C202" s="910">
        <v>184</v>
      </c>
      <c r="D202" s="489" t="s">
        <v>594</v>
      </c>
      <c r="E202" s="716" t="s">
        <v>182</v>
      </c>
      <c r="F202" s="716" t="s">
        <v>139</v>
      </c>
      <c r="G202" s="716" t="s">
        <v>326</v>
      </c>
      <c r="H202" s="716" t="s">
        <v>595</v>
      </c>
      <c r="I202" s="716" t="s">
        <v>22</v>
      </c>
      <c r="J202" s="716" t="s">
        <v>22</v>
      </c>
      <c r="K202" s="1094">
        <v>0.5</v>
      </c>
      <c r="L202" s="222">
        <v>39114</v>
      </c>
      <c r="M202" s="222">
        <v>39120</v>
      </c>
      <c r="N202" s="223">
        <v>2007</v>
      </c>
      <c r="O202" s="470">
        <v>433700</v>
      </c>
      <c r="P202" s="1327">
        <v>3592883.42</v>
      </c>
      <c r="Q202" s="470" t="s">
        <v>142</v>
      </c>
      <c r="R202" s="19">
        <v>1.2939000000000001</v>
      </c>
      <c r="S202" s="30">
        <v>4648831.8571380004</v>
      </c>
      <c r="T202" s="31">
        <v>2232.37</v>
      </c>
      <c r="U202" s="27">
        <v>10377912772.919157</v>
      </c>
      <c r="V202" s="16">
        <v>23928.782045006126</v>
      </c>
      <c r="W202" s="16">
        <v>11964.391022503063</v>
      </c>
      <c r="X202" s="1485"/>
      <c r="Y202" s="1485"/>
      <c r="Z202" s="1388" t="s">
        <v>245</v>
      </c>
      <c r="AA202" s="16" t="s">
        <v>596</v>
      </c>
      <c r="AB202" s="1485" t="s">
        <v>22</v>
      </c>
      <c r="AC202" s="1485"/>
      <c r="AD202" s="1485"/>
      <c r="AE202" s="1485" t="s">
        <v>129</v>
      </c>
      <c r="AF202" s="1485"/>
      <c r="AG202" s="1485"/>
      <c r="AH202" s="1485" t="s">
        <v>22</v>
      </c>
      <c r="AI202" s="1485"/>
      <c r="AJ202" s="1485"/>
      <c r="AK202" s="1388" t="s">
        <v>22</v>
      </c>
      <c r="AL202" s="1491"/>
      <c r="AM202" s="1482"/>
      <c r="AN202" s="791"/>
    </row>
    <row r="203" spans="1:40" s="58" customFormat="1" ht="60" customHeight="1">
      <c r="A203" s="1510"/>
      <c r="B203" s="687" t="s">
        <v>593</v>
      </c>
      <c r="C203" s="910">
        <v>192</v>
      </c>
      <c r="D203" s="489" t="s">
        <v>594</v>
      </c>
      <c r="E203" s="716" t="s">
        <v>214</v>
      </c>
      <c r="F203" s="716" t="s">
        <v>139</v>
      </c>
      <c r="G203" s="716" t="s">
        <v>326</v>
      </c>
      <c r="H203" s="1074" t="s">
        <v>597</v>
      </c>
      <c r="I203" s="716" t="s">
        <v>22</v>
      </c>
      <c r="J203" s="716" t="s">
        <v>22</v>
      </c>
      <c r="K203" s="1094">
        <v>0.5</v>
      </c>
      <c r="L203" s="222">
        <v>35586</v>
      </c>
      <c r="M203" s="222">
        <v>37053</v>
      </c>
      <c r="N203" s="223">
        <v>2001</v>
      </c>
      <c r="O203" s="470">
        <v>286000</v>
      </c>
      <c r="P203" s="1327">
        <v>2678981.19</v>
      </c>
      <c r="Q203" s="470" t="s">
        <v>142</v>
      </c>
      <c r="R203" s="19">
        <v>0.84975000000000001</v>
      </c>
      <c r="S203" s="30">
        <v>2276464.2662025001</v>
      </c>
      <c r="T203" s="31">
        <v>2296.31</v>
      </c>
      <c r="U203" s="27">
        <v>5227467659.1234627</v>
      </c>
      <c r="V203" s="16">
        <v>18277.858947984136</v>
      </c>
      <c r="W203" s="16">
        <v>9138.9294739920679</v>
      </c>
      <c r="X203" s="1485"/>
      <c r="Y203" s="1485"/>
      <c r="Z203" s="1388" t="s">
        <v>245</v>
      </c>
      <c r="AA203" s="16" t="s">
        <v>598</v>
      </c>
      <c r="AB203" s="1485" t="s">
        <v>22</v>
      </c>
      <c r="AC203" s="1485"/>
      <c r="AD203" s="1485"/>
      <c r="AE203" s="1485" t="s">
        <v>22</v>
      </c>
      <c r="AF203" s="1485"/>
      <c r="AG203" s="1485"/>
      <c r="AH203" s="1485" t="s">
        <v>22</v>
      </c>
      <c r="AI203" s="1485"/>
      <c r="AJ203" s="1485"/>
      <c r="AK203" s="1388" t="s">
        <v>22</v>
      </c>
      <c r="AL203" s="1491"/>
      <c r="AM203" s="1482"/>
      <c r="AN203" s="791"/>
    </row>
    <row r="204" spans="1:40" s="58" customFormat="1" ht="12.75" customHeight="1">
      <c r="A204" s="1510"/>
      <c r="B204" s="687"/>
      <c r="C204" s="910"/>
      <c r="D204" s="489" t="s">
        <v>158</v>
      </c>
      <c r="E204" s="716"/>
      <c r="F204" s="716"/>
      <c r="G204" s="716"/>
      <c r="H204" s="1316"/>
      <c r="I204" s="716"/>
      <c r="J204" s="716"/>
      <c r="K204" s="1094"/>
      <c r="L204" s="222"/>
      <c r="M204" s="222"/>
      <c r="N204" s="223" t="s">
        <v>158</v>
      </c>
      <c r="O204" s="470" t="s">
        <v>158</v>
      </c>
      <c r="P204" s="1327"/>
      <c r="Q204" s="470"/>
      <c r="R204" s="19"/>
      <c r="S204" s="30"/>
      <c r="T204" s="31"/>
      <c r="U204" s="27" t="s">
        <v>158</v>
      </c>
      <c r="V204" s="16" t="s">
        <v>158</v>
      </c>
      <c r="W204" s="16" t="s">
        <v>158</v>
      </c>
      <c r="X204" s="1485"/>
      <c r="Y204" s="1485"/>
      <c r="Z204" s="1388" t="s">
        <v>245</v>
      </c>
      <c r="AA204" s="16"/>
      <c r="AB204" s="1485"/>
      <c r="AC204" s="1485"/>
      <c r="AD204" s="1485"/>
      <c r="AE204" s="1485"/>
      <c r="AF204" s="1485"/>
      <c r="AG204" s="1485"/>
      <c r="AH204" s="1485"/>
      <c r="AI204" s="1485"/>
      <c r="AJ204" s="1485"/>
      <c r="AK204" s="1388"/>
      <c r="AL204" s="1491"/>
      <c r="AM204" s="1482"/>
      <c r="AN204" s="791"/>
    </row>
    <row r="205" spans="1:40" s="58" customFormat="1" ht="9.75" customHeight="1">
      <c r="A205" s="1510"/>
      <c r="B205" s="687"/>
      <c r="C205" s="910"/>
      <c r="D205" s="489" t="s">
        <v>158</v>
      </c>
      <c r="E205" s="716"/>
      <c r="F205" s="716"/>
      <c r="G205" s="716"/>
      <c r="H205" s="1074"/>
      <c r="I205" s="716"/>
      <c r="J205" s="716"/>
      <c r="K205" s="1094"/>
      <c r="L205" s="222"/>
      <c r="M205" s="222"/>
      <c r="N205" s="223" t="s">
        <v>158</v>
      </c>
      <c r="O205" s="470" t="s">
        <v>158</v>
      </c>
      <c r="P205" s="1327"/>
      <c r="Q205" s="470"/>
      <c r="R205" s="19"/>
      <c r="S205" s="30"/>
      <c r="T205" s="31"/>
      <c r="U205" s="27" t="s">
        <v>158</v>
      </c>
      <c r="V205" s="16" t="s">
        <v>158</v>
      </c>
      <c r="W205" s="16" t="s">
        <v>158</v>
      </c>
      <c r="X205" s="1485"/>
      <c r="Y205" s="1485"/>
      <c r="Z205" s="1388"/>
      <c r="AA205" s="16"/>
      <c r="AB205" s="1485"/>
      <c r="AC205" s="1485"/>
      <c r="AD205" s="1485"/>
      <c r="AE205" s="1485"/>
      <c r="AF205" s="1485"/>
      <c r="AG205" s="1485"/>
      <c r="AH205" s="1485"/>
      <c r="AI205" s="1485"/>
      <c r="AJ205" s="1485"/>
      <c r="AK205" s="1388"/>
      <c r="AL205" s="1491"/>
      <c r="AM205" s="1482"/>
      <c r="AN205" s="791"/>
    </row>
    <row r="206" spans="1:40" s="58" customFormat="1" ht="11.25" customHeight="1" thickBot="1">
      <c r="A206" s="1511"/>
      <c r="B206" s="476"/>
      <c r="C206" s="1075"/>
      <c r="D206" s="493" t="s">
        <v>158</v>
      </c>
      <c r="E206" s="718"/>
      <c r="F206" s="718"/>
      <c r="G206" s="718"/>
      <c r="H206" s="719"/>
      <c r="I206" s="718"/>
      <c r="J206" s="718"/>
      <c r="K206" s="1096"/>
      <c r="L206" s="720"/>
      <c r="M206" s="720"/>
      <c r="N206" s="721" t="s">
        <v>158</v>
      </c>
      <c r="O206" s="464" t="s">
        <v>158</v>
      </c>
      <c r="P206" s="1328"/>
      <c r="Q206" s="464"/>
      <c r="R206" s="99"/>
      <c r="S206" s="110"/>
      <c r="T206" s="111"/>
      <c r="U206" s="107" t="s">
        <v>158</v>
      </c>
      <c r="V206" s="112" t="s">
        <v>158</v>
      </c>
      <c r="W206" s="112" t="s">
        <v>158</v>
      </c>
      <c r="X206" s="1486"/>
      <c r="Y206" s="1486"/>
      <c r="Z206" s="1392"/>
      <c r="AA206" s="112"/>
      <c r="AB206" s="1486"/>
      <c r="AC206" s="1486"/>
      <c r="AD206" s="1486"/>
      <c r="AE206" s="1486"/>
      <c r="AF206" s="1486"/>
      <c r="AG206" s="1486"/>
      <c r="AH206" s="1486"/>
      <c r="AI206" s="1486"/>
      <c r="AJ206" s="1486"/>
      <c r="AK206" s="1392"/>
      <c r="AL206" s="1492"/>
      <c r="AM206" s="1483"/>
      <c r="AN206" s="791"/>
    </row>
    <row r="207" spans="1:40" s="58" customFormat="1" ht="69.75" customHeight="1">
      <c r="A207" s="1509" t="s">
        <v>59</v>
      </c>
      <c r="B207" s="233" t="s">
        <v>599</v>
      </c>
      <c r="C207" s="234">
        <v>90</v>
      </c>
      <c r="D207" s="274" t="s">
        <v>600</v>
      </c>
      <c r="E207" s="235" t="s">
        <v>155</v>
      </c>
      <c r="F207" s="235" t="s">
        <v>148</v>
      </c>
      <c r="G207" s="1309" t="s">
        <v>601</v>
      </c>
      <c r="H207" s="1317" t="s">
        <v>602</v>
      </c>
      <c r="I207" s="235" t="s">
        <v>22</v>
      </c>
      <c r="J207" s="235" t="s">
        <v>22</v>
      </c>
      <c r="K207" s="1098">
        <v>1</v>
      </c>
      <c r="L207" s="238">
        <v>38323</v>
      </c>
      <c r="M207" s="238">
        <v>40694</v>
      </c>
      <c r="N207" s="239">
        <v>2011</v>
      </c>
      <c r="O207" s="240">
        <v>535600</v>
      </c>
      <c r="P207" s="1326">
        <v>8415351165</v>
      </c>
      <c r="Q207" s="240" t="s">
        <v>151</v>
      </c>
      <c r="R207" s="81" t="s">
        <v>140</v>
      </c>
      <c r="S207" s="92" t="s">
        <v>140</v>
      </c>
      <c r="T207" s="93">
        <v>1</v>
      </c>
      <c r="U207" s="89">
        <v>8415351165</v>
      </c>
      <c r="V207" s="94">
        <v>15712.007402912621</v>
      </c>
      <c r="W207" s="94">
        <v>15712.007402912621</v>
      </c>
      <c r="X207" s="1484" t="str">
        <f>IF(W207="","",IF(SUM(W207:W210)&gt;=PARAMETROS!$G$5,"CUMPLE","NO CUMPLE"))</f>
        <v>CUMPLE</v>
      </c>
      <c r="Y207" s="1484" t="str">
        <f>IF(W207="","",IF(W207&gt;=PARAMETROS!$I$5,"CUMPLE","NO CUMPLE"))</f>
        <v>CUMPLE</v>
      </c>
      <c r="Z207" s="1393" t="s">
        <v>245</v>
      </c>
      <c r="AA207" s="80" t="s">
        <v>603</v>
      </c>
      <c r="AB207" s="1484" t="s">
        <v>22</v>
      </c>
      <c r="AC207" s="1484"/>
      <c r="AD207" s="1484"/>
      <c r="AE207" s="1508" t="s">
        <v>22</v>
      </c>
      <c r="AF207" s="1508"/>
      <c r="AG207" s="1508"/>
      <c r="AH207" s="1508" t="s">
        <v>22</v>
      </c>
      <c r="AI207" s="1508"/>
      <c r="AJ207" s="1508"/>
      <c r="AK207" s="1394" t="s">
        <v>22</v>
      </c>
      <c r="AL207" s="1487" t="s">
        <v>21</v>
      </c>
      <c r="AM207" s="1125"/>
      <c r="AN207" s="791"/>
    </row>
    <row r="208" spans="1:40" s="58" customFormat="1" ht="63.75" customHeight="1">
      <c r="A208" s="1510"/>
      <c r="B208" s="687" t="s">
        <v>599</v>
      </c>
      <c r="C208" s="910">
        <v>97</v>
      </c>
      <c r="D208" s="489" t="s">
        <v>600</v>
      </c>
      <c r="E208" s="716" t="s">
        <v>155</v>
      </c>
      <c r="F208" s="716" t="s">
        <v>148</v>
      </c>
      <c r="G208" s="716" t="s">
        <v>604</v>
      </c>
      <c r="H208" s="1317" t="s">
        <v>605</v>
      </c>
      <c r="I208" s="716" t="s">
        <v>22</v>
      </c>
      <c r="J208" s="716" t="s">
        <v>22</v>
      </c>
      <c r="K208" s="1094">
        <v>0.5</v>
      </c>
      <c r="L208" s="222">
        <v>36312</v>
      </c>
      <c r="M208" s="222">
        <v>37833</v>
      </c>
      <c r="N208" s="223">
        <v>2003</v>
      </c>
      <c r="O208" s="470">
        <v>332000</v>
      </c>
      <c r="P208" s="1327">
        <v>5331439397</v>
      </c>
      <c r="Q208" s="470" t="s">
        <v>151</v>
      </c>
      <c r="R208" s="19" t="s">
        <v>140</v>
      </c>
      <c r="S208" s="30" t="s">
        <v>140</v>
      </c>
      <c r="T208" s="31">
        <v>1</v>
      </c>
      <c r="U208" s="27">
        <v>5331439397</v>
      </c>
      <c r="V208" s="16">
        <v>16058.55240060241</v>
      </c>
      <c r="W208" s="16">
        <v>8029.2762003012049</v>
      </c>
      <c r="X208" s="1485"/>
      <c r="Y208" s="1485"/>
      <c r="Z208" s="1388" t="s">
        <v>245</v>
      </c>
      <c r="AA208" s="16" t="s">
        <v>606</v>
      </c>
      <c r="AB208" s="1485" t="s">
        <v>22</v>
      </c>
      <c r="AC208" s="1485"/>
      <c r="AD208" s="1485"/>
      <c r="AE208" s="1485" t="s">
        <v>22</v>
      </c>
      <c r="AF208" s="1485"/>
      <c r="AG208" s="1485"/>
      <c r="AH208" s="1485" t="s">
        <v>22</v>
      </c>
      <c r="AI208" s="1485"/>
      <c r="AJ208" s="1485"/>
      <c r="AK208" s="1388" t="s">
        <v>22</v>
      </c>
      <c r="AL208" s="1488"/>
      <c r="AM208" s="1126"/>
      <c r="AN208" s="791"/>
    </row>
    <row r="209" spans="1:40" s="58" customFormat="1" ht="97.5" customHeight="1">
      <c r="A209" s="1510"/>
      <c r="B209" s="687" t="s">
        <v>599</v>
      </c>
      <c r="C209" s="910">
        <v>99</v>
      </c>
      <c r="D209" s="489" t="s">
        <v>600</v>
      </c>
      <c r="E209" s="716" t="s">
        <v>207</v>
      </c>
      <c r="F209" s="716" t="s">
        <v>148</v>
      </c>
      <c r="G209" s="716" t="s">
        <v>607</v>
      </c>
      <c r="H209" s="1074" t="s">
        <v>608</v>
      </c>
      <c r="I209" s="716" t="s">
        <v>22</v>
      </c>
      <c r="J209" s="716" t="s">
        <v>22</v>
      </c>
      <c r="K209" s="1094">
        <v>1</v>
      </c>
      <c r="L209" s="222">
        <v>39246</v>
      </c>
      <c r="M209" s="222">
        <v>40311</v>
      </c>
      <c r="N209" s="223">
        <v>2010</v>
      </c>
      <c r="O209" s="470">
        <v>515000</v>
      </c>
      <c r="P209" s="1327"/>
      <c r="Q209" s="470" t="s">
        <v>151</v>
      </c>
      <c r="R209" s="19" t="s">
        <v>140</v>
      </c>
      <c r="S209" s="30" t="s">
        <v>140</v>
      </c>
      <c r="T209" s="31">
        <v>1</v>
      </c>
      <c r="U209" s="27"/>
      <c r="V209" s="16"/>
      <c r="W209" s="16"/>
      <c r="X209" s="1485"/>
      <c r="Y209" s="1485"/>
      <c r="Z209" s="1388" t="s">
        <v>245</v>
      </c>
      <c r="AA209" s="16" t="s">
        <v>609</v>
      </c>
      <c r="AB209" s="1485"/>
      <c r="AC209" s="1485"/>
      <c r="AD209" s="1485"/>
      <c r="AE209" s="1485"/>
      <c r="AF209" s="1485"/>
      <c r="AG209" s="1485"/>
      <c r="AH209" s="1485"/>
      <c r="AI209" s="1485"/>
      <c r="AJ209" s="1485"/>
      <c r="AK209" s="1388"/>
      <c r="AL209" s="1488"/>
      <c r="AM209" s="1126"/>
      <c r="AN209" s="791"/>
    </row>
    <row r="210" spans="1:40" s="58" customFormat="1" ht="80.25" customHeight="1">
      <c r="A210" s="1510"/>
      <c r="B210" s="687" t="s">
        <v>599</v>
      </c>
      <c r="C210" s="910">
        <v>104</v>
      </c>
      <c r="D210" s="489" t="s">
        <v>600</v>
      </c>
      <c r="E210" s="716" t="s">
        <v>610</v>
      </c>
      <c r="F210" s="716" t="s">
        <v>148</v>
      </c>
      <c r="G210" s="716" t="s">
        <v>611</v>
      </c>
      <c r="H210" s="1074" t="s">
        <v>612</v>
      </c>
      <c r="I210" s="716" t="s">
        <v>22</v>
      </c>
      <c r="J210" s="716" t="s">
        <v>22</v>
      </c>
      <c r="K210" s="1094">
        <v>0.5</v>
      </c>
      <c r="L210" s="222" t="s">
        <v>613</v>
      </c>
      <c r="M210" s="222">
        <v>40633</v>
      </c>
      <c r="N210" s="223">
        <v>2011</v>
      </c>
      <c r="O210" s="470">
        <v>535600</v>
      </c>
      <c r="P210" s="1327"/>
      <c r="Q210" s="470" t="s">
        <v>151</v>
      </c>
      <c r="R210" s="19" t="s">
        <v>140</v>
      </c>
      <c r="S210" s="30" t="s">
        <v>140</v>
      </c>
      <c r="T210" s="31">
        <v>1</v>
      </c>
      <c r="U210" s="27"/>
      <c r="V210" s="16"/>
      <c r="W210" s="16"/>
      <c r="X210" s="1485"/>
      <c r="Y210" s="1485"/>
      <c r="Z210" s="1388" t="s">
        <v>245</v>
      </c>
      <c r="AA210" s="16" t="s">
        <v>609</v>
      </c>
      <c r="AB210" s="1485"/>
      <c r="AC210" s="1485"/>
      <c r="AD210" s="1485"/>
      <c r="AE210" s="1485"/>
      <c r="AF210" s="1485"/>
      <c r="AG210" s="1485"/>
      <c r="AH210" s="1485"/>
      <c r="AI210" s="1485"/>
      <c r="AJ210" s="1485"/>
      <c r="AK210" s="1388"/>
      <c r="AL210" s="1488"/>
      <c r="AM210" s="1125"/>
      <c r="AN210" s="791"/>
    </row>
    <row r="211" spans="1:40" s="58" customFormat="1" ht="11.25" customHeight="1">
      <c r="A211" s="1510"/>
      <c r="B211" s="687"/>
      <c r="C211" s="910"/>
      <c r="D211" s="489" t="s">
        <v>158</v>
      </c>
      <c r="E211" s="716"/>
      <c r="F211" s="716"/>
      <c r="G211" s="716"/>
      <c r="H211" s="1074"/>
      <c r="I211" s="716"/>
      <c r="J211" s="716"/>
      <c r="K211" s="1094"/>
      <c r="L211" s="222"/>
      <c r="M211" s="222"/>
      <c r="N211" s="223" t="s">
        <v>158</v>
      </c>
      <c r="O211" s="470" t="s">
        <v>158</v>
      </c>
      <c r="P211" s="1327"/>
      <c r="Q211" s="470"/>
      <c r="R211" s="19"/>
      <c r="S211" s="30"/>
      <c r="T211" s="31"/>
      <c r="U211" s="27" t="s">
        <v>158</v>
      </c>
      <c r="V211" s="16" t="s">
        <v>158</v>
      </c>
      <c r="W211" s="16" t="s">
        <v>158</v>
      </c>
      <c r="X211" s="1485"/>
      <c r="Y211" s="1485"/>
      <c r="Z211" s="1388"/>
      <c r="AA211" s="16"/>
      <c r="AB211" s="1485"/>
      <c r="AC211" s="1485"/>
      <c r="AD211" s="1485"/>
      <c r="AE211" s="1485"/>
      <c r="AF211" s="1485"/>
      <c r="AG211" s="1485"/>
      <c r="AH211" s="1485"/>
      <c r="AI211" s="1485"/>
      <c r="AJ211" s="1485"/>
      <c r="AK211" s="1388"/>
      <c r="AL211" s="1488"/>
      <c r="AM211" s="499"/>
      <c r="AN211" s="791"/>
    </row>
    <row r="212" spans="1:40" s="58" customFormat="1" ht="12" customHeight="1" thickBot="1">
      <c r="A212" s="1511"/>
      <c r="B212" s="476"/>
      <c r="C212" s="1075"/>
      <c r="D212" s="493" t="s">
        <v>158</v>
      </c>
      <c r="E212" s="718"/>
      <c r="F212" s="718"/>
      <c r="G212" s="718"/>
      <c r="H212" s="719"/>
      <c r="I212" s="718"/>
      <c r="J212" s="718"/>
      <c r="K212" s="1096"/>
      <c r="L212" s="720"/>
      <c r="M212" s="720"/>
      <c r="N212" s="721" t="s">
        <v>158</v>
      </c>
      <c r="O212" s="464" t="s">
        <v>158</v>
      </c>
      <c r="P212" s="1328"/>
      <c r="Q212" s="464"/>
      <c r="R212" s="99"/>
      <c r="S212" s="110"/>
      <c r="T212" s="111"/>
      <c r="U212" s="107" t="s">
        <v>158</v>
      </c>
      <c r="V212" s="112" t="s">
        <v>158</v>
      </c>
      <c r="W212" s="112" t="s">
        <v>158</v>
      </c>
      <c r="X212" s="1486"/>
      <c r="Y212" s="1486"/>
      <c r="Z212" s="1392"/>
      <c r="AA212" s="112"/>
      <c r="AB212" s="1486"/>
      <c r="AC212" s="1486"/>
      <c r="AD212" s="1486"/>
      <c r="AE212" s="1486"/>
      <c r="AF212" s="1486"/>
      <c r="AG212" s="1486"/>
      <c r="AH212" s="1486"/>
      <c r="AI212" s="1486"/>
      <c r="AJ212" s="1486"/>
      <c r="AK212" s="1392"/>
      <c r="AL212" s="1489"/>
      <c r="AM212" s="1102"/>
      <c r="AN212" s="791"/>
    </row>
    <row r="213" spans="1:40" s="58" customFormat="1" ht="60.75" customHeight="1">
      <c r="A213" s="1509" t="s">
        <v>61</v>
      </c>
      <c r="B213" s="233" t="s">
        <v>614</v>
      </c>
      <c r="C213" s="234">
        <v>163</v>
      </c>
      <c r="D213" s="274" t="s">
        <v>615</v>
      </c>
      <c r="E213" s="235" t="s">
        <v>155</v>
      </c>
      <c r="F213" s="235" t="s">
        <v>148</v>
      </c>
      <c r="G213" s="235" t="s">
        <v>616</v>
      </c>
      <c r="H213" s="236" t="s">
        <v>617</v>
      </c>
      <c r="I213" s="235" t="s">
        <v>22</v>
      </c>
      <c r="J213" s="235" t="s">
        <v>22</v>
      </c>
      <c r="K213" s="1098">
        <v>0.2</v>
      </c>
      <c r="L213" s="238">
        <v>40079</v>
      </c>
      <c r="M213" s="238">
        <v>42094</v>
      </c>
      <c r="N213" s="239">
        <v>2015</v>
      </c>
      <c r="O213" s="240">
        <v>644350</v>
      </c>
      <c r="P213" s="1326">
        <v>14008976863</v>
      </c>
      <c r="Q213" s="240" t="s">
        <v>151</v>
      </c>
      <c r="R213" s="81" t="s">
        <v>140</v>
      </c>
      <c r="S213" s="92" t="s">
        <v>140</v>
      </c>
      <c r="T213" s="93">
        <v>1</v>
      </c>
      <c r="U213" s="89">
        <v>14008976863</v>
      </c>
      <c r="V213" s="94">
        <v>21741.253764258556</v>
      </c>
      <c r="W213" s="94">
        <v>4348.2507528517117</v>
      </c>
      <c r="X213" s="1484" t="str">
        <f>IF(W213="","",IF(SUM(W213:W216)&gt;=PARAMETROS!$G$5,"CUMPLE","NO CUMPLE"))</f>
        <v>CUMPLE</v>
      </c>
      <c r="Y213" s="1484" t="str">
        <f>IF(W213="","",IF(W213+W214+W215&gt;=PARAMETROS!$I$5,"CUMPLE","NO CUMPLE"))</f>
        <v>CUMPLE</v>
      </c>
      <c r="Z213" s="1393" t="s">
        <v>245</v>
      </c>
      <c r="AA213" s="94" t="s">
        <v>618</v>
      </c>
      <c r="AB213" s="1484" t="s">
        <v>22</v>
      </c>
      <c r="AC213" s="1484"/>
      <c r="AD213" s="1484"/>
      <c r="AE213" s="1484" t="s">
        <v>129</v>
      </c>
      <c r="AF213" s="1484"/>
      <c r="AG213" s="1484"/>
      <c r="AH213" s="1484" t="s">
        <v>22</v>
      </c>
      <c r="AI213" s="1484"/>
      <c r="AJ213" s="1484"/>
      <c r="AK213" s="1393" t="s">
        <v>22</v>
      </c>
      <c r="AL213" s="1487" t="s">
        <v>21</v>
      </c>
      <c r="AM213" s="429"/>
      <c r="AN213" s="791"/>
    </row>
    <row r="214" spans="1:40" s="58" customFormat="1" ht="79.5" customHeight="1">
      <c r="A214" s="1510"/>
      <c r="B214" s="687" t="s">
        <v>614</v>
      </c>
      <c r="C214" s="910">
        <v>167</v>
      </c>
      <c r="D214" s="489" t="s">
        <v>615</v>
      </c>
      <c r="E214" s="716" t="s">
        <v>207</v>
      </c>
      <c r="F214" s="716" t="s">
        <v>148</v>
      </c>
      <c r="G214" s="716" t="s">
        <v>619</v>
      </c>
      <c r="H214" s="1074" t="s">
        <v>620</v>
      </c>
      <c r="I214" s="716" t="s">
        <v>22</v>
      </c>
      <c r="J214" s="716" t="s">
        <v>22</v>
      </c>
      <c r="K214" s="1094">
        <v>1</v>
      </c>
      <c r="L214" s="222">
        <v>35177</v>
      </c>
      <c r="M214" s="222">
        <v>35563</v>
      </c>
      <c r="N214" s="223">
        <v>1997</v>
      </c>
      <c r="O214" s="470">
        <v>172005</v>
      </c>
      <c r="P214" s="1327">
        <v>384734738</v>
      </c>
      <c r="Q214" s="470" t="s">
        <v>151</v>
      </c>
      <c r="R214" s="19" t="s">
        <v>326</v>
      </c>
      <c r="S214" s="30" t="s">
        <v>140</v>
      </c>
      <c r="T214" s="31">
        <v>1</v>
      </c>
      <c r="U214" s="27">
        <v>384734738</v>
      </c>
      <c r="V214" s="16">
        <v>2236.7648498590156</v>
      </c>
      <c r="W214" s="16">
        <v>2236.7648498590156</v>
      </c>
      <c r="X214" s="1485"/>
      <c r="Y214" s="1485"/>
      <c r="Z214" s="1388" t="s">
        <v>245</v>
      </c>
      <c r="AA214" s="16" t="s">
        <v>621</v>
      </c>
      <c r="AB214" s="1485" t="s">
        <v>129</v>
      </c>
      <c r="AC214" s="1485"/>
      <c r="AD214" s="1485"/>
      <c r="AE214" s="1485" t="s">
        <v>129</v>
      </c>
      <c r="AF214" s="1485"/>
      <c r="AG214" s="1485"/>
      <c r="AH214" s="1485" t="s">
        <v>22</v>
      </c>
      <c r="AI214" s="1485"/>
      <c r="AJ214" s="1485"/>
      <c r="AK214" s="1388" t="s">
        <v>22</v>
      </c>
      <c r="AL214" s="1488"/>
      <c r="AM214" s="499"/>
      <c r="AN214" s="791"/>
    </row>
    <row r="215" spans="1:40" s="58" customFormat="1" ht="47.25" customHeight="1">
      <c r="A215" s="1510"/>
      <c r="B215" s="687" t="s">
        <v>614</v>
      </c>
      <c r="C215" s="910">
        <v>169</v>
      </c>
      <c r="D215" s="489" t="s">
        <v>615</v>
      </c>
      <c r="E215" s="716" t="s">
        <v>622</v>
      </c>
      <c r="F215" s="716" t="s">
        <v>148</v>
      </c>
      <c r="G215" s="491" t="s">
        <v>623</v>
      </c>
      <c r="H215" s="1074" t="s">
        <v>624</v>
      </c>
      <c r="I215" s="716" t="s">
        <v>22</v>
      </c>
      <c r="J215" s="716" t="s">
        <v>22</v>
      </c>
      <c r="K215" s="1094">
        <v>0.25</v>
      </c>
      <c r="L215" s="222">
        <v>39534</v>
      </c>
      <c r="M215" s="222">
        <v>40628</v>
      </c>
      <c r="N215" s="223">
        <v>2011</v>
      </c>
      <c r="O215" s="470">
        <v>535600</v>
      </c>
      <c r="P215" s="1327">
        <v>3753633746</v>
      </c>
      <c r="Q215" s="470" t="s">
        <v>151</v>
      </c>
      <c r="R215" s="19" t="s">
        <v>326</v>
      </c>
      <c r="S215" s="30" t="s">
        <v>140</v>
      </c>
      <c r="T215" s="31">
        <v>1</v>
      </c>
      <c r="U215" s="27">
        <v>3753633746</v>
      </c>
      <c r="V215" s="16">
        <v>7008.2780918595963</v>
      </c>
      <c r="W215" s="16">
        <v>1752.0695229648991</v>
      </c>
      <c r="X215" s="1485"/>
      <c r="Y215" s="1485"/>
      <c r="Z215" s="1388" t="s">
        <v>245</v>
      </c>
      <c r="AA215" s="16" t="s">
        <v>625</v>
      </c>
      <c r="AB215" s="1485" t="s">
        <v>129</v>
      </c>
      <c r="AC215" s="1485"/>
      <c r="AD215" s="1485"/>
      <c r="AE215" s="1485" t="s">
        <v>129</v>
      </c>
      <c r="AF215" s="1485"/>
      <c r="AG215" s="1485"/>
      <c r="AH215" s="1485" t="s">
        <v>22</v>
      </c>
      <c r="AI215" s="1485"/>
      <c r="AJ215" s="1485"/>
      <c r="AK215" s="1388" t="s">
        <v>22</v>
      </c>
      <c r="AL215" s="1488"/>
      <c r="AM215" s="499"/>
      <c r="AN215" s="791"/>
    </row>
    <row r="216" spans="1:40" s="58" customFormat="1" ht="53.25" customHeight="1">
      <c r="A216" s="1510"/>
      <c r="B216" s="687" t="s">
        <v>626</v>
      </c>
      <c r="C216" s="910">
        <v>173</v>
      </c>
      <c r="D216" s="489" t="s">
        <v>627</v>
      </c>
      <c r="E216" s="716" t="s">
        <v>628</v>
      </c>
      <c r="F216" s="716" t="s">
        <v>139</v>
      </c>
      <c r="G216" s="716" t="s">
        <v>326</v>
      </c>
      <c r="H216" s="1074" t="s">
        <v>629</v>
      </c>
      <c r="I216" s="716" t="s">
        <v>22</v>
      </c>
      <c r="J216" s="716" t="s">
        <v>22</v>
      </c>
      <c r="K216" s="1094">
        <v>1</v>
      </c>
      <c r="L216" s="222">
        <v>38549</v>
      </c>
      <c r="M216" s="222">
        <v>39287</v>
      </c>
      <c r="N216" s="223">
        <v>2007</v>
      </c>
      <c r="O216" s="470">
        <v>433700</v>
      </c>
      <c r="P216" s="1327">
        <v>1153657.47</v>
      </c>
      <c r="Q216" s="470" t="s">
        <v>142</v>
      </c>
      <c r="R216" s="19">
        <v>1.3821699999999999</v>
      </c>
      <c r="S216" s="30">
        <v>1594550.7453098998</v>
      </c>
      <c r="T216" s="31">
        <v>1912.9</v>
      </c>
      <c r="U216" s="27">
        <v>3050216120.7033076</v>
      </c>
      <c r="V216" s="16">
        <v>7033.0092707016547</v>
      </c>
      <c r="W216" s="16">
        <v>7033.0092707016547</v>
      </c>
      <c r="X216" s="1485"/>
      <c r="Y216" s="1485"/>
      <c r="Z216" s="1388" t="s">
        <v>245</v>
      </c>
      <c r="AA216" s="42" t="s">
        <v>630</v>
      </c>
      <c r="AB216" s="1485" t="s">
        <v>22</v>
      </c>
      <c r="AC216" s="1485"/>
      <c r="AD216" s="1485"/>
      <c r="AE216" s="1485" t="s">
        <v>129</v>
      </c>
      <c r="AF216" s="1485"/>
      <c r="AG216" s="1485"/>
      <c r="AH216" s="1485" t="s">
        <v>22</v>
      </c>
      <c r="AI216" s="1485"/>
      <c r="AJ216" s="1485"/>
      <c r="AK216" s="1388" t="s">
        <v>22</v>
      </c>
      <c r="AL216" s="1488"/>
      <c r="AM216" s="499"/>
      <c r="AN216" s="791"/>
    </row>
    <row r="217" spans="1:40" s="58" customFormat="1" ht="9.75" customHeight="1">
      <c r="A217" s="1510"/>
      <c r="B217" s="687"/>
      <c r="C217" s="910"/>
      <c r="D217" s="489" t="s">
        <v>158</v>
      </c>
      <c r="E217" s="716"/>
      <c r="F217" s="716"/>
      <c r="G217" s="716"/>
      <c r="H217" s="1074"/>
      <c r="I217" s="716"/>
      <c r="J217" s="716"/>
      <c r="K217" s="1094"/>
      <c r="L217" s="222"/>
      <c r="M217" s="222"/>
      <c r="N217" s="223" t="s">
        <v>158</v>
      </c>
      <c r="O217" s="470" t="s">
        <v>158</v>
      </c>
      <c r="P217" s="1327"/>
      <c r="Q217" s="470"/>
      <c r="R217" s="19"/>
      <c r="S217" s="30"/>
      <c r="T217" s="31"/>
      <c r="U217" s="27" t="s">
        <v>158</v>
      </c>
      <c r="V217" s="16" t="s">
        <v>158</v>
      </c>
      <c r="W217" s="16" t="s">
        <v>158</v>
      </c>
      <c r="X217" s="1485"/>
      <c r="Y217" s="1485"/>
      <c r="Z217" s="1388"/>
      <c r="AA217" s="16"/>
      <c r="AB217" s="1485"/>
      <c r="AC217" s="1485"/>
      <c r="AD217" s="1485"/>
      <c r="AE217" s="1485"/>
      <c r="AF217" s="1485"/>
      <c r="AG217" s="1485"/>
      <c r="AH217" s="1485"/>
      <c r="AI217" s="1485"/>
      <c r="AJ217" s="1485"/>
      <c r="AK217" s="1388"/>
      <c r="AL217" s="1488"/>
      <c r="AM217" s="499"/>
      <c r="AN217" s="791"/>
    </row>
    <row r="218" spans="1:40" s="58" customFormat="1" ht="9" customHeight="1" thickBot="1">
      <c r="A218" s="1511"/>
      <c r="B218" s="476"/>
      <c r="C218" s="1075"/>
      <c r="D218" s="493" t="s">
        <v>158</v>
      </c>
      <c r="E218" s="718"/>
      <c r="F218" s="718"/>
      <c r="G218" s="718"/>
      <c r="H218" s="719"/>
      <c r="I218" s="718"/>
      <c r="J218" s="718"/>
      <c r="K218" s="1096"/>
      <c r="L218" s="720"/>
      <c r="M218" s="720"/>
      <c r="N218" s="721" t="s">
        <v>158</v>
      </c>
      <c r="O218" s="464" t="s">
        <v>158</v>
      </c>
      <c r="P218" s="1328"/>
      <c r="Q218" s="464"/>
      <c r="R218" s="99"/>
      <c r="S218" s="110"/>
      <c r="T218" s="111"/>
      <c r="U218" s="107" t="s">
        <v>158</v>
      </c>
      <c r="V218" s="112" t="s">
        <v>158</v>
      </c>
      <c r="W218" s="112" t="s">
        <v>158</v>
      </c>
      <c r="X218" s="1486"/>
      <c r="Y218" s="1486"/>
      <c r="Z218" s="1392"/>
      <c r="AA218" s="112"/>
      <c r="AB218" s="1486"/>
      <c r="AC218" s="1486"/>
      <c r="AD218" s="1486"/>
      <c r="AE218" s="1486"/>
      <c r="AF218" s="1486"/>
      <c r="AG218" s="1486"/>
      <c r="AH218" s="1486"/>
      <c r="AI218" s="1486"/>
      <c r="AJ218" s="1486"/>
      <c r="AK218" s="1392"/>
      <c r="AL218" s="1489"/>
      <c r="AM218" s="1102"/>
      <c r="AN218" s="791"/>
    </row>
    <row r="219" spans="1:40" s="58" customFormat="1" ht="53.25" customHeight="1">
      <c r="A219" s="1509" t="s">
        <v>62</v>
      </c>
      <c r="B219" s="233" t="s">
        <v>631</v>
      </c>
      <c r="C219" s="234">
        <v>360</v>
      </c>
      <c r="D219" s="274" t="s">
        <v>632</v>
      </c>
      <c r="E219" s="235" t="s">
        <v>633</v>
      </c>
      <c r="F219" s="235" t="s">
        <v>139</v>
      </c>
      <c r="G219" s="1318" t="s">
        <v>326</v>
      </c>
      <c r="H219" s="236" t="s">
        <v>634</v>
      </c>
      <c r="I219" s="235" t="s">
        <v>22</v>
      </c>
      <c r="J219" s="235" t="s">
        <v>22</v>
      </c>
      <c r="K219" s="1098">
        <v>0.23</v>
      </c>
      <c r="L219" s="238">
        <v>35473</v>
      </c>
      <c r="M219" s="238">
        <v>36189</v>
      </c>
      <c r="N219" s="239">
        <v>1999</v>
      </c>
      <c r="O219" s="240">
        <v>236460</v>
      </c>
      <c r="P219" s="1326">
        <v>7035211.1399999997</v>
      </c>
      <c r="Q219" s="240" t="s">
        <v>142</v>
      </c>
      <c r="R219" s="81">
        <v>1.1385000000000001</v>
      </c>
      <c r="S219" s="92">
        <v>8009587.88289</v>
      </c>
      <c r="T219" s="93">
        <v>1580.72</v>
      </c>
      <c r="U219" s="89">
        <v>12660915758.24188</v>
      </c>
      <c r="V219" s="94">
        <v>53543.583516205195</v>
      </c>
      <c r="W219" s="94">
        <v>12315.024208727196</v>
      </c>
      <c r="X219" s="1484" t="str">
        <f>IF(W219="","",IF(SUM(W219:W222)&gt;=PARAMETROS!$G$5,"CUMPLE","NO CUMPLE"))</f>
        <v>CUMPLE</v>
      </c>
      <c r="Y219" s="1484" t="str">
        <f>IF(W219="","",IF(W219+W220&gt;=PARAMETROS!$I$5,"CUMPLE","NO CUMPLE"))</f>
        <v>CUMPLE</v>
      </c>
      <c r="Z219" s="1393" t="s">
        <v>245</v>
      </c>
      <c r="AA219" s="94" t="s">
        <v>635</v>
      </c>
      <c r="AB219" s="1484" t="s">
        <v>22</v>
      </c>
      <c r="AC219" s="1484"/>
      <c r="AD219" s="1484"/>
      <c r="AE219" s="1484" t="s">
        <v>22</v>
      </c>
      <c r="AF219" s="1484"/>
      <c r="AG219" s="1484"/>
      <c r="AH219" s="1484" t="s">
        <v>22</v>
      </c>
      <c r="AI219" s="1484"/>
      <c r="AJ219" s="1484"/>
      <c r="AK219" s="1393" t="s">
        <v>22</v>
      </c>
      <c r="AL219" s="1487" t="s">
        <v>21</v>
      </c>
      <c r="AM219" s="1300"/>
      <c r="AN219" s="791"/>
    </row>
    <row r="220" spans="1:40" s="58" customFormat="1" ht="60.75" customHeight="1">
      <c r="A220" s="1510"/>
      <c r="B220" s="687" t="s">
        <v>631</v>
      </c>
      <c r="C220" s="910">
        <v>374</v>
      </c>
      <c r="D220" s="489" t="s">
        <v>632</v>
      </c>
      <c r="E220" s="716" t="s">
        <v>214</v>
      </c>
      <c r="F220" s="716" t="s">
        <v>139</v>
      </c>
      <c r="G220" s="716" t="s">
        <v>326</v>
      </c>
      <c r="H220" s="1074" t="s">
        <v>636</v>
      </c>
      <c r="I220" s="716" t="s">
        <v>22</v>
      </c>
      <c r="J220" s="716" t="s">
        <v>22</v>
      </c>
      <c r="K220" s="1094">
        <v>0.5</v>
      </c>
      <c r="L220" s="222">
        <v>37939</v>
      </c>
      <c r="M220" s="222">
        <v>39339</v>
      </c>
      <c r="N220" s="223">
        <v>2007</v>
      </c>
      <c r="O220" s="470">
        <v>433700</v>
      </c>
      <c r="P220" s="1327">
        <v>2523923.36</v>
      </c>
      <c r="Q220" s="470" t="s">
        <v>142</v>
      </c>
      <c r="R220" s="19">
        <v>1.3893800000000001</v>
      </c>
      <c r="S220" s="30">
        <v>3506688.6379168001</v>
      </c>
      <c r="T220" s="31">
        <v>2157.75</v>
      </c>
      <c r="U220" s="27">
        <v>7566557408.4649754</v>
      </c>
      <c r="V220" s="16">
        <v>17446.523883940456</v>
      </c>
      <c r="W220" s="16">
        <v>8723.2619419702278</v>
      </c>
      <c r="X220" s="1485"/>
      <c r="Y220" s="1485"/>
      <c r="Z220" s="1388" t="s">
        <v>245</v>
      </c>
      <c r="AA220" s="16" t="s">
        <v>637</v>
      </c>
      <c r="AB220" s="1485" t="s">
        <v>22</v>
      </c>
      <c r="AC220" s="1485"/>
      <c r="AD220" s="1485"/>
      <c r="AE220" s="1485" t="s">
        <v>22</v>
      </c>
      <c r="AF220" s="1485"/>
      <c r="AG220" s="1485"/>
      <c r="AH220" s="1485" t="s">
        <v>22</v>
      </c>
      <c r="AI220" s="1485"/>
      <c r="AJ220" s="1485"/>
      <c r="AK220" s="1388" t="s">
        <v>22</v>
      </c>
      <c r="AL220" s="1488"/>
      <c r="AM220" s="499"/>
      <c r="AN220" s="791"/>
    </row>
    <row r="221" spans="1:40" s="58" customFormat="1" ht="48" customHeight="1">
      <c r="A221" s="1510"/>
      <c r="B221" s="687" t="s">
        <v>638</v>
      </c>
      <c r="C221" s="910">
        <v>391</v>
      </c>
      <c r="D221" s="489" t="s">
        <v>639</v>
      </c>
      <c r="E221" s="716" t="s">
        <v>147</v>
      </c>
      <c r="F221" s="716" t="s">
        <v>148</v>
      </c>
      <c r="G221" s="716" t="s">
        <v>640</v>
      </c>
      <c r="H221" s="1074" t="s">
        <v>641</v>
      </c>
      <c r="I221" s="716" t="s">
        <v>22</v>
      </c>
      <c r="J221" s="716" t="s">
        <v>22</v>
      </c>
      <c r="K221" s="1094">
        <v>0.6</v>
      </c>
      <c r="L221" s="222">
        <v>39997</v>
      </c>
      <c r="M221" s="222">
        <v>42388</v>
      </c>
      <c r="N221" s="223">
        <v>2016</v>
      </c>
      <c r="O221" s="470">
        <v>689554</v>
      </c>
      <c r="P221" s="1327">
        <v>6787423570</v>
      </c>
      <c r="Q221" s="470" t="s">
        <v>151</v>
      </c>
      <c r="R221" s="19" t="s">
        <v>140</v>
      </c>
      <c r="S221" s="30" t="s">
        <v>140</v>
      </c>
      <c r="T221" s="31">
        <v>1</v>
      </c>
      <c r="U221" s="27">
        <v>6787423570</v>
      </c>
      <c r="V221" s="16">
        <v>9843.2081751392925</v>
      </c>
      <c r="W221" s="16">
        <v>5905.9249050835751</v>
      </c>
      <c r="X221" s="1485"/>
      <c r="Y221" s="1485"/>
      <c r="Z221" s="1388" t="s">
        <v>245</v>
      </c>
      <c r="AA221" s="16" t="s">
        <v>326</v>
      </c>
      <c r="AB221" s="1485"/>
      <c r="AC221" s="1485"/>
      <c r="AD221" s="1485"/>
      <c r="AE221" s="1485"/>
      <c r="AF221" s="1485"/>
      <c r="AG221" s="1485"/>
      <c r="AH221" s="1485"/>
      <c r="AI221" s="1485"/>
      <c r="AJ221" s="1485"/>
      <c r="AK221" s="1388"/>
      <c r="AL221" s="1488"/>
      <c r="AM221" s="690"/>
      <c r="AN221" s="791"/>
    </row>
    <row r="222" spans="1:40" s="58" customFormat="1" ht="66" customHeight="1">
      <c r="A222" s="1510"/>
      <c r="B222" s="687" t="s">
        <v>638</v>
      </c>
      <c r="C222" s="910">
        <v>399</v>
      </c>
      <c r="D222" s="489" t="s">
        <v>639</v>
      </c>
      <c r="E222" s="716" t="s">
        <v>147</v>
      </c>
      <c r="F222" s="716" t="s">
        <v>148</v>
      </c>
      <c r="G222" s="716" t="s">
        <v>642</v>
      </c>
      <c r="H222" s="1074" t="s">
        <v>643</v>
      </c>
      <c r="I222" s="716" t="s">
        <v>22</v>
      </c>
      <c r="J222" s="716" t="s">
        <v>22</v>
      </c>
      <c r="K222" s="1094">
        <v>0.45</v>
      </c>
      <c r="L222" s="222">
        <v>40954</v>
      </c>
      <c r="M222" s="222">
        <v>42331</v>
      </c>
      <c r="N222" s="223">
        <v>2015</v>
      </c>
      <c r="O222" s="470">
        <v>644350</v>
      </c>
      <c r="P222" s="1327">
        <v>6670475572</v>
      </c>
      <c r="Q222" s="470" t="s">
        <v>151</v>
      </c>
      <c r="R222" s="19" t="s">
        <v>140</v>
      </c>
      <c r="S222" s="30" t="s">
        <v>140</v>
      </c>
      <c r="T222" s="31">
        <v>1</v>
      </c>
      <c r="U222" s="27">
        <v>6670475572</v>
      </c>
      <c r="V222" s="16">
        <v>10352.255097384961</v>
      </c>
      <c r="W222" s="16">
        <v>4658.514793823233</v>
      </c>
      <c r="X222" s="1485"/>
      <c r="Y222" s="1485"/>
      <c r="Z222" s="1388" t="s">
        <v>245</v>
      </c>
      <c r="AA222" s="16" t="s">
        <v>326</v>
      </c>
      <c r="AB222" s="1485"/>
      <c r="AC222" s="1485"/>
      <c r="AD222" s="1485"/>
      <c r="AE222" s="1485"/>
      <c r="AF222" s="1485"/>
      <c r="AG222" s="1485"/>
      <c r="AH222" s="1485"/>
      <c r="AI222" s="1485"/>
      <c r="AJ222" s="1485"/>
      <c r="AK222" s="1388"/>
      <c r="AL222" s="1488"/>
      <c r="AM222" s="690"/>
      <c r="AN222" s="791"/>
    </row>
    <row r="223" spans="1:40" s="58" customFormat="1" ht="12" customHeight="1">
      <c r="A223" s="1510"/>
      <c r="B223" s="687"/>
      <c r="C223" s="910"/>
      <c r="D223" s="489" t="s">
        <v>158</v>
      </c>
      <c r="E223" s="716"/>
      <c r="F223" s="716"/>
      <c r="G223" s="716"/>
      <c r="H223" s="1074"/>
      <c r="I223" s="716"/>
      <c r="J223" s="716"/>
      <c r="K223" s="1094"/>
      <c r="L223" s="222"/>
      <c r="M223" s="222"/>
      <c r="N223" s="223" t="s">
        <v>158</v>
      </c>
      <c r="O223" s="470" t="s">
        <v>158</v>
      </c>
      <c r="P223" s="1327"/>
      <c r="Q223" s="470"/>
      <c r="R223" s="19"/>
      <c r="S223" s="30"/>
      <c r="T223" s="31"/>
      <c r="U223" s="27" t="s">
        <v>158</v>
      </c>
      <c r="V223" s="16" t="s">
        <v>158</v>
      </c>
      <c r="W223" s="16" t="s">
        <v>158</v>
      </c>
      <c r="X223" s="1485"/>
      <c r="Y223" s="1485"/>
      <c r="Z223" s="1388"/>
      <c r="AA223" s="16"/>
      <c r="AB223" s="1485"/>
      <c r="AC223" s="1485"/>
      <c r="AD223" s="1485"/>
      <c r="AE223" s="1485"/>
      <c r="AF223" s="1485"/>
      <c r="AG223" s="1485"/>
      <c r="AH223" s="1485"/>
      <c r="AI223" s="1485"/>
      <c r="AJ223" s="1485"/>
      <c r="AK223" s="1388"/>
      <c r="AL223" s="1488"/>
      <c r="AM223" s="499"/>
      <c r="AN223" s="791"/>
    </row>
    <row r="224" spans="1:40" s="58" customFormat="1" ht="6" customHeight="1" thickBot="1">
      <c r="A224" s="1511"/>
      <c r="B224" s="476"/>
      <c r="C224" s="1075"/>
      <c r="D224" s="493" t="s">
        <v>158</v>
      </c>
      <c r="E224" s="718"/>
      <c r="F224" s="718"/>
      <c r="G224" s="718"/>
      <c r="H224" s="719"/>
      <c r="I224" s="718"/>
      <c r="J224" s="718"/>
      <c r="K224" s="1096"/>
      <c r="L224" s="720"/>
      <c r="M224" s="720"/>
      <c r="N224" s="721" t="s">
        <v>158</v>
      </c>
      <c r="O224" s="464" t="s">
        <v>158</v>
      </c>
      <c r="P224" s="1328"/>
      <c r="Q224" s="464"/>
      <c r="R224" s="99"/>
      <c r="S224" s="110"/>
      <c r="T224" s="111"/>
      <c r="U224" s="107" t="s">
        <v>158</v>
      </c>
      <c r="V224" s="112" t="s">
        <v>158</v>
      </c>
      <c r="W224" s="112" t="s">
        <v>158</v>
      </c>
      <c r="X224" s="1486"/>
      <c r="Y224" s="1486"/>
      <c r="Z224" s="1392"/>
      <c r="AA224" s="112"/>
      <c r="AB224" s="1486"/>
      <c r="AC224" s="1486"/>
      <c r="AD224" s="1486"/>
      <c r="AE224" s="1486"/>
      <c r="AF224" s="1486"/>
      <c r="AG224" s="1486"/>
      <c r="AH224" s="1486"/>
      <c r="AI224" s="1486"/>
      <c r="AJ224" s="1486"/>
      <c r="AK224" s="1392"/>
      <c r="AL224" s="1489"/>
      <c r="AM224" s="1102"/>
      <c r="AN224" s="791"/>
    </row>
    <row r="225" spans="1:40" ht="76.5" customHeight="1">
      <c r="A225" s="1509" t="s">
        <v>63</v>
      </c>
      <c r="B225" s="233" t="s">
        <v>644</v>
      </c>
      <c r="C225" s="234">
        <v>115</v>
      </c>
      <c r="D225" s="235" t="s">
        <v>645</v>
      </c>
      <c r="E225" s="235" t="s">
        <v>646</v>
      </c>
      <c r="F225" s="235" t="s">
        <v>523</v>
      </c>
      <c r="G225" s="235" t="s">
        <v>647</v>
      </c>
      <c r="H225" s="236" t="s">
        <v>648</v>
      </c>
      <c r="I225" s="236" t="s">
        <v>22</v>
      </c>
      <c r="J225" s="236" t="s">
        <v>22</v>
      </c>
      <c r="K225" s="1329">
        <v>1</v>
      </c>
      <c r="L225" s="1330">
        <v>39406</v>
      </c>
      <c r="M225" s="1331">
        <v>40954</v>
      </c>
      <c r="N225" s="1332">
        <v>2012</v>
      </c>
      <c r="O225" s="242">
        <v>566700</v>
      </c>
      <c r="P225" s="1333">
        <v>53898155.810000002</v>
      </c>
      <c r="Q225" s="242" t="s">
        <v>525</v>
      </c>
      <c r="R225" s="91">
        <v>7.8399999999999997E-2</v>
      </c>
      <c r="S225" s="91">
        <v>4225615.4155040001</v>
      </c>
      <c r="T225" s="91">
        <v>1785.24</v>
      </c>
      <c r="U225" s="91">
        <v>7543737664.374361</v>
      </c>
      <c r="V225" s="91">
        <v>13311.695190355322</v>
      </c>
      <c r="W225" s="816">
        <v>13311.695190355322</v>
      </c>
      <c r="X225" s="1484" t="str">
        <f>IF(W225="","",IF(SUM(W225:W228)&gt;=PARAMETROS!$G$5,"CUMPLE","NO CUMPLE"))</f>
        <v>CUMPLE</v>
      </c>
      <c r="Y225" s="1484" t="str">
        <f>IF(W225="","",IF(W225+W226&gt;=PARAMETROS!$I$5,"CUMPLE","NO CUMPLE"))</f>
        <v>CUMPLE</v>
      </c>
      <c r="Z225" s="1393" t="s">
        <v>245</v>
      </c>
      <c r="AA225" s="94" t="s">
        <v>649</v>
      </c>
      <c r="AB225" s="1484" t="s">
        <v>129</v>
      </c>
      <c r="AC225" s="1484"/>
      <c r="AD225" s="1484"/>
      <c r="AE225" s="1484" t="s">
        <v>22</v>
      </c>
      <c r="AF225" s="1484"/>
      <c r="AG225" s="1484"/>
      <c r="AH225" s="1484" t="s">
        <v>22</v>
      </c>
      <c r="AI225" s="1484"/>
      <c r="AJ225" s="1484"/>
      <c r="AK225" s="1393" t="s">
        <v>22</v>
      </c>
      <c r="AL225" s="1490" t="s">
        <v>16</v>
      </c>
      <c r="AM225" s="1481" t="s">
        <v>557</v>
      </c>
      <c r="AN225" s="809"/>
    </row>
    <row r="226" spans="1:40" ht="69" customHeight="1">
      <c r="A226" s="1510"/>
      <c r="B226" s="687" t="s">
        <v>644</v>
      </c>
      <c r="C226" s="910">
        <v>120</v>
      </c>
      <c r="D226" s="716" t="s">
        <v>645</v>
      </c>
      <c r="E226" s="716" t="s">
        <v>646</v>
      </c>
      <c r="F226" s="716" t="s">
        <v>523</v>
      </c>
      <c r="G226" s="716" t="s">
        <v>650</v>
      </c>
      <c r="H226" s="1074" t="s">
        <v>651</v>
      </c>
      <c r="I226" s="1074" t="s">
        <v>22</v>
      </c>
      <c r="J226" s="1074" t="s">
        <v>22</v>
      </c>
      <c r="K226" s="492">
        <v>1</v>
      </c>
      <c r="L226" s="1334">
        <v>40295</v>
      </c>
      <c r="M226" s="1335">
        <v>36851</v>
      </c>
      <c r="N226" s="1336">
        <v>2000</v>
      </c>
      <c r="O226" s="1080">
        <v>260100</v>
      </c>
      <c r="P226" s="1337">
        <v>10649069.51</v>
      </c>
      <c r="Q226" s="1080" t="s">
        <v>525</v>
      </c>
      <c r="R226" s="29">
        <v>0.10619000000000001</v>
      </c>
      <c r="S226" s="29">
        <v>1130824.6912669002</v>
      </c>
      <c r="T226" s="29">
        <v>2122.61</v>
      </c>
      <c r="U226" s="29">
        <v>2400299797.9300351</v>
      </c>
      <c r="V226" s="29">
        <v>9228.3729255287781</v>
      </c>
      <c r="W226" s="42">
        <v>9228.3729255287781</v>
      </c>
      <c r="X226" s="1485"/>
      <c r="Y226" s="1485"/>
      <c r="Z226" s="1388" t="s">
        <v>245</v>
      </c>
      <c r="AA226" s="16" t="s">
        <v>652</v>
      </c>
      <c r="AB226" s="1485" t="s">
        <v>129</v>
      </c>
      <c r="AC226" s="1485"/>
      <c r="AD226" s="1485"/>
      <c r="AE226" s="1485" t="s">
        <v>22</v>
      </c>
      <c r="AF226" s="1485"/>
      <c r="AG226" s="1485"/>
      <c r="AH226" s="1485" t="s">
        <v>22</v>
      </c>
      <c r="AI226" s="1485"/>
      <c r="AJ226" s="1485"/>
      <c r="AK226" s="1388" t="s">
        <v>22</v>
      </c>
      <c r="AL226" s="1491"/>
      <c r="AM226" s="1482"/>
      <c r="AN226" s="809"/>
    </row>
    <row r="227" spans="1:40" ht="52.5" customHeight="1">
      <c r="A227" s="1510"/>
      <c r="B227" s="687" t="s">
        <v>653</v>
      </c>
      <c r="C227" s="910">
        <v>125</v>
      </c>
      <c r="D227" s="716" t="s">
        <v>654</v>
      </c>
      <c r="E227" s="716" t="s">
        <v>207</v>
      </c>
      <c r="F227" s="716" t="s">
        <v>148</v>
      </c>
      <c r="G227" s="716" t="s">
        <v>655</v>
      </c>
      <c r="H227" s="1074" t="s">
        <v>656</v>
      </c>
      <c r="I227" s="1074" t="s">
        <v>22</v>
      </c>
      <c r="J227" s="1074" t="s">
        <v>22</v>
      </c>
      <c r="K227" s="492">
        <v>0.8</v>
      </c>
      <c r="L227" s="1334">
        <v>39204</v>
      </c>
      <c r="M227" s="1335">
        <v>39906</v>
      </c>
      <c r="N227" s="1336">
        <v>2009</v>
      </c>
      <c r="O227" s="1080">
        <v>496900</v>
      </c>
      <c r="P227" s="1337">
        <v>1592082109</v>
      </c>
      <c r="Q227" s="1080" t="s">
        <v>151</v>
      </c>
      <c r="R227" s="29" t="s">
        <v>326</v>
      </c>
      <c r="S227" s="29" t="s">
        <v>326</v>
      </c>
      <c r="T227" s="29">
        <v>1</v>
      </c>
      <c r="U227" s="29">
        <v>1592082109</v>
      </c>
      <c r="V227" s="29">
        <v>3204.0291990340111</v>
      </c>
      <c r="W227" s="42">
        <v>2563.2233592272091</v>
      </c>
      <c r="X227" s="1485"/>
      <c r="Y227" s="1485"/>
      <c r="Z227" s="1388" t="s">
        <v>245</v>
      </c>
      <c r="AA227" s="16" t="s">
        <v>657</v>
      </c>
      <c r="AB227" s="1485" t="s">
        <v>129</v>
      </c>
      <c r="AC227" s="1485"/>
      <c r="AD227" s="1485"/>
      <c r="AE227" s="1485" t="s">
        <v>22</v>
      </c>
      <c r="AF227" s="1485"/>
      <c r="AG227" s="1485"/>
      <c r="AH227" s="1485" t="s">
        <v>22</v>
      </c>
      <c r="AI227" s="1485"/>
      <c r="AJ227" s="1485"/>
      <c r="AK227" s="1388" t="s">
        <v>22</v>
      </c>
      <c r="AL227" s="1491"/>
      <c r="AM227" s="1482"/>
      <c r="AN227" s="809"/>
    </row>
    <row r="228" spans="1:40" ht="66.75" customHeight="1">
      <c r="A228" s="1510"/>
      <c r="B228" s="687" t="s">
        <v>658</v>
      </c>
      <c r="C228" s="910">
        <v>128</v>
      </c>
      <c r="D228" s="716" t="s">
        <v>659</v>
      </c>
      <c r="E228" s="716" t="s">
        <v>147</v>
      </c>
      <c r="F228" s="716" t="s">
        <v>148</v>
      </c>
      <c r="G228" s="1076" t="s">
        <v>660</v>
      </c>
      <c r="H228" s="1077" t="s">
        <v>661</v>
      </c>
      <c r="I228" s="1074" t="s">
        <v>22</v>
      </c>
      <c r="J228" s="1074" t="s">
        <v>22</v>
      </c>
      <c r="K228" s="492">
        <v>0.51</v>
      </c>
      <c r="L228" s="1334">
        <v>41907</v>
      </c>
      <c r="M228" s="1335">
        <v>42362</v>
      </c>
      <c r="N228" s="1336">
        <v>2015</v>
      </c>
      <c r="O228" s="1080">
        <v>644350</v>
      </c>
      <c r="P228" s="1337">
        <v>3102329760</v>
      </c>
      <c r="Q228" s="1080" t="s">
        <v>151</v>
      </c>
      <c r="R228" s="29" t="s">
        <v>326</v>
      </c>
      <c r="S228" s="29" t="s">
        <v>326</v>
      </c>
      <c r="T228" s="29">
        <v>1</v>
      </c>
      <c r="U228" s="29">
        <v>3102329760</v>
      </c>
      <c r="V228" s="29">
        <v>4814.6655699542171</v>
      </c>
      <c r="W228" s="42">
        <v>2455.4794406766509</v>
      </c>
      <c r="X228" s="1485"/>
      <c r="Y228" s="1485"/>
      <c r="Z228" s="1388" t="s">
        <v>245</v>
      </c>
      <c r="AA228" s="16" t="s">
        <v>326</v>
      </c>
      <c r="AB228" s="1496"/>
      <c r="AC228" s="1497"/>
      <c r="AD228" s="1498"/>
      <c r="AE228" s="1496"/>
      <c r="AF228" s="1497"/>
      <c r="AG228" s="1498"/>
      <c r="AH228" s="1496"/>
      <c r="AI228" s="1497"/>
      <c r="AJ228" s="1498"/>
      <c r="AL228" s="1491"/>
      <c r="AM228" s="1482"/>
      <c r="AN228" s="809"/>
    </row>
    <row r="229" spans="1:40" ht="8.25" customHeight="1">
      <c r="A229" s="1510"/>
      <c r="B229" s="687"/>
      <c r="C229" s="910"/>
      <c r="D229" s="716"/>
      <c r="E229" s="716"/>
      <c r="F229" s="716"/>
      <c r="G229" s="716"/>
      <c r="H229" s="1074"/>
      <c r="I229" s="1074"/>
      <c r="J229" s="1074"/>
      <c r="K229" s="492"/>
      <c r="L229" s="1334"/>
      <c r="M229" s="1335"/>
      <c r="N229" s="1336" t="s">
        <v>158</v>
      </c>
      <c r="O229" s="1080" t="s">
        <v>158</v>
      </c>
      <c r="P229" s="1337"/>
      <c r="U229" s="29" t="s">
        <v>158</v>
      </c>
      <c r="V229" s="29" t="s">
        <v>158</v>
      </c>
      <c r="W229" s="42" t="s">
        <v>158</v>
      </c>
      <c r="X229" s="1485"/>
      <c r="Y229" s="1485"/>
      <c r="AB229" s="1496"/>
      <c r="AC229" s="1497"/>
      <c r="AD229" s="1498"/>
      <c r="AE229" s="1496"/>
      <c r="AF229" s="1497"/>
      <c r="AG229" s="1498"/>
      <c r="AH229" s="1496"/>
      <c r="AI229" s="1497"/>
      <c r="AJ229" s="1498"/>
      <c r="AL229" s="1491"/>
      <c r="AM229" s="1482"/>
      <c r="AN229" s="809"/>
    </row>
    <row r="230" spans="1:40" ht="5.25" customHeight="1" thickBot="1">
      <c r="A230" s="1511"/>
      <c r="B230" s="476"/>
      <c r="C230" s="1075"/>
      <c r="D230" s="718"/>
      <c r="E230" s="718"/>
      <c r="F230" s="718"/>
      <c r="G230" s="718"/>
      <c r="H230" s="719"/>
      <c r="I230" s="719"/>
      <c r="J230" s="719"/>
      <c r="K230" s="1338"/>
      <c r="L230" s="1339"/>
      <c r="M230" s="1340"/>
      <c r="N230" s="1341"/>
      <c r="O230" s="475"/>
      <c r="P230" s="1342"/>
      <c r="Q230" s="475"/>
      <c r="R230" s="109"/>
      <c r="S230" s="109"/>
      <c r="T230" s="109"/>
      <c r="U230" s="109"/>
      <c r="V230" s="109"/>
      <c r="W230" s="677"/>
      <c r="X230" s="1486"/>
      <c r="Y230" s="1486"/>
      <c r="Z230" s="99"/>
      <c r="AA230" s="677"/>
      <c r="AB230" s="1493"/>
      <c r="AC230" s="1494"/>
      <c r="AD230" s="1495"/>
      <c r="AE230" s="1493"/>
      <c r="AF230" s="1494"/>
      <c r="AG230" s="1495"/>
      <c r="AH230" s="1493"/>
      <c r="AI230" s="1494"/>
      <c r="AJ230" s="1495"/>
      <c r="AK230" s="99"/>
      <c r="AL230" s="1492"/>
      <c r="AM230" s="1483"/>
      <c r="AN230" s="809"/>
    </row>
    <row r="231" spans="1:40" ht="30" customHeight="1">
      <c r="A231" s="1509" t="s">
        <v>662</v>
      </c>
      <c r="B231" s="233"/>
      <c r="C231" s="234"/>
      <c r="D231" s="235"/>
      <c r="E231" s="235"/>
      <c r="F231" s="235"/>
      <c r="G231" s="235"/>
      <c r="H231" s="236"/>
      <c r="I231" s="236"/>
      <c r="J231" s="236"/>
      <c r="K231" s="1329"/>
      <c r="L231" s="1330"/>
      <c r="M231" s="1331"/>
      <c r="N231" s="1332"/>
      <c r="O231" s="242"/>
      <c r="P231" s="1333"/>
      <c r="Q231" s="242"/>
      <c r="R231" s="91"/>
      <c r="S231" s="91"/>
      <c r="T231" s="91"/>
      <c r="U231" s="91"/>
      <c r="V231" s="91"/>
      <c r="W231" s="816"/>
      <c r="X231" s="1484" t="str">
        <f>IF(W231="","",IF(SUM(W231:W233)&gt;=PARAMETROS!$G$5,"CUMPLE","NO CUMPLE"))</f>
        <v/>
      </c>
      <c r="Y231" s="1484" t="str">
        <f>IF(W231="","",IF(W231&gt;=PARAMETROS!$I$5,"CUMPLE","NO CUMPLE"))</f>
        <v/>
      </c>
      <c r="Z231" s="81"/>
      <c r="AA231" s="816"/>
      <c r="AB231" s="1499"/>
      <c r="AC231" s="1500"/>
      <c r="AD231" s="1501"/>
      <c r="AE231" s="1499"/>
      <c r="AF231" s="1500"/>
      <c r="AG231" s="1501"/>
      <c r="AH231" s="1499"/>
      <c r="AI231" s="1500"/>
      <c r="AJ231" s="1501"/>
      <c r="AK231" s="81"/>
      <c r="AL231" s="1487"/>
      <c r="AM231" s="795"/>
      <c r="AN231" s="809"/>
    </row>
    <row r="232" spans="1:40" ht="30" customHeight="1">
      <c r="A232" s="1510"/>
      <c r="B232" s="687"/>
      <c r="C232" s="910"/>
      <c r="D232" s="716"/>
      <c r="E232" s="716"/>
      <c r="F232" s="716"/>
      <c r="G232" s="716"/>
      <c r="H232" s="1074"/>
      <c r="I232" s="1074"/>
      <c r="J232" s="1074"/>
      <c r="K232" s="492"/>
      <c r="L232" s="1334"/>
      <c r="M232" s="1335"/>
      <c r="N232" s="1336"/>
      <c r="O232" s="1080"/>
      <c r="P232" s="1337"/>
      <c r="X232" s="1485"/>
      <c r="Y232" s="1485"/>
      <c r="AB232" s="1496"/>
      <c r="AC232" s="1497"/>
      <c r="AD232" s="1498"/>
      <c r="AE232" s="1496"/>
      <c r="AF232" s="1497"/>
      <c r="AG232" s="1498"/>
      <c r="AH232" s="1496"/>
      <c r="AI232" s="1497"/>
      <c r="AJ232" s="1498"/>
      <c r="AL232" s="1488"/>
      <c r="AM232" s="796"/>
      <c r="AN232" s="809"/>
    </row>
    <row r="233" spans="1:40" ht="30" customHeight="1">
      <c r="A233" s="1510"/>
      <c r="B233" s="687"/>
      <c r="C233" s="910"/>
      <c r="D233" s="716"/>
      <c r="E233" s="716"/>
      <c r="F233" s="716"/>
      <c r="G233" s="716"/>
      <c r="H233" s="1074"/>
      <c r="I233" s="1074"/>
      <c r="J233" s="1074"/>
      <c r="K233" s="492"/>
      <c r="L233" s="1334"/>
      <c r="M233" s="1335"/>
      <c r="N233" s="1336"/>
      <c r="O233" s="1080"/>
      <c r="P233" s="1337"/>
      <c r="X233" s="1485"/>
      <c r="Y233" s="1485"/>
      <c r="AB233" s="1496"/>
      <c r="AC233" s="1497"/>
      <c r="AD233" s="1498"/>
      <c r="AE233" s="1496"/>
      <c r="AF233" s="1497"/>
      <c r="AG233" s="1498"/>
      <c r="AH233" s="1496"/>
      <c r="AI233" s="1497"/>
      <c r="AJ233" s="1498"/>
      <c r="AL233" s="1488"/>
      <c r="AM233" s="796"/>
      <c r="AN233" s="809"/>
    </row>
    <row r="234" spans="1:40" ht="30" customHeight="1">
      <c r="A234" s="1510"/>
      <c r="B234" s="687"/>
      <c r="C234" s="910"/>
      <c r="D234" s="716"/>
      <c r="E234" s="716"/>
      <c r="F234" s="716"/>
      <c r="G234" s="716"/>
      <c r="H234" s="1074"/>
      <c r="I234" s="1074"/>
      <c r="J234" s="1074"/>
      <c r="K234" s="492"/>
      <c r="L234" s="1334"/>
      <c r="M234" s="1335"/>
      <c r="N234" s="1336"/>
      <c r="O234" s="1080"/>
      <c r="P234" s="1337"/>
      <c r="X234" s="1485"/>
      <c r="Y234" s="1485"/>
      <c r="AB234" s="1496"/>
      <c r="AC234" s="1497"/>
      <c r="AD234" s="1498"/>
      <c r="AE234" s="1496"/>
      <c r="AF234" s="1497"/>
      <c r="AG234" s="1498"/>
      <c r="AH234" s="1496"/>
      <c r="AI234" s="1497"/>
      <c r="AJ234" s="1498"/>
      <c r="AL234" s="1488"/>
      <c r="AM234" s="796"/>
      <c r="AN234" s="809"/>
    </row>
    <row r="235" spans="1:40" ht="30" customHeight="1">
      <c r="A235" s="1510"/>
      <c r="B235" s="687"/>
      <c r="C235" s="910"/>
      <c r="D235" s="716"/>
      <c r="E235" s="716"/>
      <c r="F235" s="716"/>
      <c r="G235" s="716"/>
      <c r="H235" s="1074"/>
      <c r="I235" s="1074"/>
      <c r="J235" s="1074"/>
      <c r="K235" s="492"/>
      <c r="L235" s="1334"/>
      <c r="M235" s="1335"/>
      <c r="N235" s="1336"/>
      <c r="O235" s="1080"/>
      <c r="P235" s="1337"/>
      <c r="X235" s="1485"/>
      <c r="Y235" s="1485"/>
      <c r="AB235" s="1496"/>
      <c r="AC235" s="1497"/>
      <c r="AD235" s="1498"/>
      <c r="AE235" s="1496"/>
      <c r="AF235" s="1497"/>
      <c r="AG235" s="1498"/>
      <c r="AH235" s="1496"/>
      <c r="AI235" s="1497"/>
      <c r="AJ235" s="1498"/>
      <c r="AL235" s="1488"/>
      <c r="AM235" s="796"/>
      <c r="AN235" s="809"/>
    </row>
    <row r="236" spans="1:40" ht="30" customHeight="1" thickBot="1">
      <c r="A236" s="1511"/>
      <c r="B236" s="476"/>
      <c r="C236" s="1075"/>
      <c r="D236" s="718"/>
      <c r="E236" s="718"/>
      <c r="F236" s="718"/>
      <c r="G236" s="718"/>
      <c r="H236" s="719"/>
      <c r="I236" s="719"/>
      <c r="J236" s="719"/>
      <c r="K236" s="1338"/>
      <c r="L236" s="1339"/>
      <c r="M236" s="1340"/>
      <c r="N236" s="1341"/>
      <c r="O236" s="475"/>
      <c r="P236" s="475"/>
      <c r="Q236" s="475"/>
      <c r="R236" s="109"/>
      <c r="S236" s="109"/>
      <c r="T236" s="109"/>
      <c r="U236" s="109"/>
      <c r="V236" s="109"/>
      <c r="W236" s="677"/>
      <c r="X236" s="1486"/>
      <c r="Y236" s="1486"/>
      <c r="Z236" s="99"/>
      <c r="AA236" s="677"/>
      <c r="AB236" s="1493"/>
      <c r="AC236" s="1494"/>
      <c r="AD236" s="1495"/>
      <c r="AE236" s="1493"/>
      <c r="AF236" s="1494"/>
      <c r="AG236" s="1495"/>
      <c r="AH236" s="1493"/>
      <c r="AI236" s="1494"/>
      <c r="AJ236" s="1495"/>
      <c r="AK236" s="99"/>
      <c r="AL236" s="1489"/>
      <c r="AM236" s="801"/>
      <c r="AN236" s="809"/>
    </row>
    <row r="237" spans="1:40" ht="30" customHeight="1">
      <c r="A237" s="1509" t="s">
        <v>663</v>
      </c>
      <c r="B237" s="233"/>
      <c r="C237" s="234"/>
      <c r="D237" s="235"/>
      <c r="E237" s="235"/>
      <c r="F237" s="235"/>
      <c r="G237" s="235"/>
      <c r="H237" s="236"/>
      <c r="I237" s="236"/>
      <c r="J237" s="236"/>
      <c r="K237" s="1329"/>
      <c r="L237" s="1330"/>
      <c r="M237" s="1331"/>
      <c r="N237" s="1332"/>
      <c r="O237" s="242"/>
      <c r="P237" s="242"/>
      <c r="Q237" s="242"/>
      <c r="R237" s="91"/>
      <c r="S237" s="91"/>
      <c r="T237" s="91"/>
      <c r="U237" s="91"/>
      <c r="V237" s="91"/>
      <c r="W237" s="816"/>
      <c r="X237" s="1484" t="str">
        <f>IF(W237="","",IF(SUM(W237:W239)&gt;=PARAMETROS!$G$5,"CUMPLE","NO CUMPLE"))</f>
        <v/>
      </c>
      <c r="Y237" s="1484" t="str">
        <f>IF(W237="","",IF(W237&gt;=PARAMETROS!$I$5,"CUMPLE","NO CUMPLE"))</f>
        <v/>
      </c>
      <c r="Z237" s="81"/>
      <c r="AA237" s="816"/>
      <c r="AB237" s="1499"/>
      <c r="AC237" s="1500"/>
      <c r="AD237" s="1501"/>
      <c r="AE237" s="1499"/>
      <c r="AF237" s="1500"/>
      <c r="AG237" s="1501"/>
      <c r="AH237" s="1499"/>
      <c r="AI237" s="1500"/>
      <c r="AJ237" s="1501"/>
      <c r="AK237" s="81"/>
      <c r="AL237" s="1487"/>
      <c r="AM237" s="795"/>
      <c r="AN237" s="809"/>
    </row>
    <row r="238" spans="1:40" ht="30" customHeight="1">
      <c r="A238" s="1510"/>
      <c r="B238" s="687"/>
      <c r="C238" s="910"/>
      <c r="D238" s="716"/>
      <c r="E238" s="716"/>
      <c r="F238" s="716"/>
      <c r="G238" s="716"/>
      <c r="H238" s="1074"/>
      <c r="I238" s="1074"/>
      <c r="J238" s="1074"/>
      <c r="K238" s="492"/>
      <c r="L238" s="1334"/>
      <c r="M238" s="1335"/>
      <c r="N238" s="1336"/>
      <c r="O238" s="1080"/>
      <c r="P238" s="1080"/>
      <c r="X238" s="1485"/>
      <c r="Y238" s="1485"/>
      <c r="AB238" s="1496"/>
      <c r="AC238" s="1497"/>
      <c r="AD238" s="1498"/>
      <c r="AE238" s="1496"/>
      <c r="AF238" s="1497"/>
      <c r="AG238" s="1498"/>
      <c r="AH238" s="1496"/>
      <c r="AI238" s="1497"/>
      <c r="AJ238" s="1498"/>
      <c r="AL238" s="1488"/>
      <c r="AM238" s="796"/>
      <c r="AN238" s="809"/>
    </row>
    <row r="239" spans="1:40" ht="30" customHeight="1">
      <c r="A239" s="1510"/>
      <c r="B239" s="687"/>
      <c r="C239" s="910"/>
      <c r="D239" s="716"/>
      <c r="E239" s="716"/>
      <c r="F239" s="716"/>
      <c r="G239" s="716"/>
      <c r="H239" s="1074"/>
      <c r="I239" s="1074"/>
      <c r="J239" s="1074"/>
      <c r="K239" s="492"/>
      <c r="L239" s="1334"/>
      <c r="M239" s="1335"/>
      <c r="N239" s="1336"/>
      <c r="O239" s="1080"/>
      <c r="P239" s="1080"/>
      <c r="X239" s="1485"/>
      <c r="Y239" s="1485"/>
      <c r="AB239" s="1496"/>
      <c r="AC239" s="1497"/>
      <c r="AD239" s="1498"/>
      <c r="AE239" s="1496"/>
      <c r="AF239" s="1497"/>
      <c r="AG239" s="1498"/>
      <c r="AH239" s="1496"/>
      <c r="AI239" s="1497"/>
      <c r="AJ239" s="1498"/>
      <c r="AL239" s="1488"/>
      <c r="AM239" s="796"/>
      <c r="AN239" s="809"/>
    </row>
    <row r="240" spans="1:40" ht="30" customHeight="1">
      <c r="A240" s="1510"/>
      <c r="B240" s="687"/>
      <c r="C240" s="910"/>
      <c r="D240" s="716"/>
      <c r="E240" s="716"/>
      <c r="F240" s="716"/>
      <c r="G240" s="716"/>
      <c r="H240" s="1074"/>
      <c r="I240" s="1074"/>
      <c r="J240" s="1074"/>
      <c r="K240" s="492"/>
      <c r="L240" s="1334"/>
      <c r="M240" s="1335"/>
      <c r="N240" s="1336"/>
      <c r="O240" s="1080"/>
      <c r="P240" s="1080"/>
      <c r="X240" s="1485"/>
      <c r="Y240" s="1485"/>
      <c r="AB240" s="1496"/>
      <c r="AC240" s="1497"/>
      <c r="AD240" s="1498"/>
      <c r="AE240" s="1496"/>
      <c r="AF240" s="1497"/>
      <c r="AG240" s="1498"/>
      <c r="AH240" s="1496"/>
      <c r="AI240" s="1497"/>
      <c r="AJ240" s="1498"/>
      <c r="AL240" s="1488"/>
      <c r="AM240" s="796"/>
      <c r="AN240" s="809"/>
    </row>
    <row r="241" spans="1:40" ht="30" customHeight="1">
      <c r="A241" s="1510"/>
      <c r="B241" s="687"/>
      <c r="C241" s="910"/>
      <c r="D241" s="716"/>
      <c r="E241" s="716"/>
      <c r="F241" s="716"/>
      <c r="G241" s="716"/>
      <c r="H241" s="1074"/>
      <c r="I241" s="1074"/>
      <c r="J241" s="1074"/>
      <c r="K241" s="492"/>
      <c r="L241" s="1334"/>
      <c r="M241" s="1335"/>
      <c r="N241" s="1336"/>
      <c r="O241" s="1080"/>
      <c r="P241" s="1080"/>
      <c r="X241" s="1485"/>
      <c r="Y241" s="1485"/>
      <c r="AB241" s="1496"/>
      <c r="AC241" s="1497"/>
      <c r="AD241" s="1498"/>
      <c r="AE241" s="1496"/>
      <c r="AF241" s="1497"/>
      <c r="AG241" s="1498"/>
      <c r="AH241" s="1496"/>
      <c r="AI241" s="1497"/>
      <c r="AJ241" s="1498"/>
      <c r="AL241" s="1488"/>
      <c r="AM241" s="796"/>
      <c r="AN241" s="809"/>
    </row>
    <row r="242" spans="1:40" ht="30" customHeight="1" thickBot="1">
      <c r="A242" s="1511"/>
      <c r="B242" s="476"/>
      <c r="C242" s="1075"/>
      <c r="D242" s="718"/>
      <c r="E242" s="718"/>
      <c r="F242" s="718"/>
      <c r="G242" s="718"/>
      <c r="H242" s="719"/>
      <c r="I242" s="719"/>
      <c r="J242" s="719"/>
      <c r="K242" s="1338"/>
      <c r="L242" s="1339"/>
      <c r="M242" s="1340"/>
      <c r="N242" s="1341"/>
      <c r="O242" s="475"/>
      <c r="P242" s="475"/>
      <c r="Q242" s="475"/>
      <c r="R242" s="109"/>
      <c r="S242" s="109"/>
      <c r="T242" s="109"/>
      <c r="U242" s="109"/>
      <c r="V242" s="109"/>
      <c r="W242" s="677"/>
      <c r="X242" s="1486"/>
      <c r="Y242" s="1486"/>
      <c r="Z242" s="99"/>
      <c r="AA242" s="677"/>
      <c r="AB242" s="1493"/>
      <c r="AC242" s="1494"/>
      <c r="AD242" s="1495"/>
      <c r="AE242" s="1493"/>
      <c r="AF242" s="1494"/>
      <c r="AG242" s="1495"/>
      <c r="AH242" s="1493"/>
      <c r="AI242" s="1494"/>
      <c r="AJ242" s="1495"/>
      <c r="AK242" s="99"/>
      <c r="AL242" s="1489"/>
      <c r="AM242" s="801"/>
      <c r="AN242" s="809"/>
    </row>
    <row r="243" spans="1:40" ht="30" customHeight="1">
      <c r="A243" s="1509" t="s">
        <v>664</v>
      </c>
      <c r="B243" s="233"/>
      <c r="C243" s="234"/>
      <c r="D243" s="235"/>
      <c r="E243" s="235"/>
      <c r="F243" s="235"/>
      <c r="G243" s="235"/>
      <c r="H243" s="236"/>
      <c r="I243" s="236"/>
      <c r="J243" s="236"/>
      <c r="K243" s="1329"/>
      <c r="L243" s="1330"/>
      <c r="M243" s="1331"/>
      <c r="N243" s="1332"/>
      <c r="O243" s="242"/>
      <c r="P243" s="242"/>
      <c r="Q243" s="242"/>
      <c r="R243" s="91"/>
      <c r="S243" s="91"/>
      <c r="T243" s="91"/>
      <c r="U243" s="91"/>
      <c r="V243" s="91"/>
      <c r="W243" s="816"/>
      <c r="X243" s="1484" t="str">
        <f>IF(W243="","",IF(SUM(W243:W245)&gt;=PARAMETROS!$G$5,"CUMPLE","NO CUMPLE"))</f>
        <v/>
      </c>
      <c r="Y243" s="1484" t="str">
        <f>IF(W243="","",IF(W243&gt;=PARAMETROS!$I$5,"CUMPLE","NO CUMPLE"))</f>
        <v/>
      </c>
      <c r="Z243" s="81"/>
      <c r="AA243" s="816"/>
      <c r="AB243" s="1499"/>
      <c r="AC243" s="1500"/>
      <c r="AD243" s="1501"/>
      <c r="AE243" s="1499"/>
      <c r="AF243" s="1500"/>
      <c r="AG243" s="1501"/>
      <c r="AH243" s="1499"/>
      <c r="AI243" s="1500"/>
      <c r="AJ243" s="1501"/>
      <c r="AK243" s="81"/>
      <c r="AL243" s="1487"/>
      <c r="AM243" s="795"/>
      <c r="AN243" s="809"/>
    </row>
    <row r="244" spans="1:40" ht="30" customHeight="1">
      <c r="A244" s="1510"/>
      <c r="B244" s="687"/>
      <c r="C244" s="910"/>
      <c r="D244" s="716"/>
      <c r="E244" s="716"/>
      <c r="F244" s="716"/>
      <c r="G244" s="716"/>
      <c r="H244" s="1074"/>
      <c r="I244" s="1074"/>
      <c r="J244" s="1074"/>
      <c r="K244" s="492"/>
      <c r="L244" s="1334"/>
      <c r="M244" s="1335"/>
      <c r="N244" s="1336"/>
      <c r="O244" s="1080"/>
      <c r="P244" s="1080"/>
      <c r="X244" s="1485"/>
      <c r="Y244" s="1485"/>
      <c r="AB244" s="1496"/>
      <c r="AC244" s="1497"/>
      <c r="AD244" s="1498"/>
      <c r="AE244" s="1496"/>
      <c r="AF244" s="1497"/>
      <c r="AG244" s="1498"/>
      <c r="AH244" s="1496"/>
      <c r="AI244" s="1497"/>
      <c r="AJ244" s="1498"/>
      <c r="AL244" s="1488"/>
      <c r="AM244" s="796"/>
      <c r="AN244" s="809"/>
    </row>
    <row r="245" spans="1:40" ht="30" customHeight="1">
      <c r="A245" s="1510"/>
      <c r="B245" s="687"/>
      <c r="C245" s="910"/>
      <c r="D245" s="716"/>
      <c r="E245" s="716"/>
      <c r="F245" s="716"/>
      <c r="G245" s="716"/>
      <c r="H245" s="1074"/>
      <c r="I245" s="1074"/>
      <c r="J245" s="1074"/>
      <c r="K245" s="492"/>
      <c r="L245" s="1334"/>
      <c r="M245" s="1335"/>
      <c r="N245" s="1336"/>
      <c r="O245" s="1080"/>
      <c r="P245" s="1080"/>
      <c r="X245" s="1485"/>
      <c r="Y245" s="1485"/>
      <c r="AB245" s="1496"/>
      <c r="AC245" s="1497"/>
      <c r="AD245" s="1498"/>
      <c r="AE245" s="1496"/>
      <c r="AF245" s="1497"/>
      <c r="AG245" s="1498"/>
      <c r="AH245" s="1496"/>
      <c r="AI245" s="1497"/>
      <c r="AJ245" s="1498"/>
      <c r="AL245" s="1488"/>
      <c r="AM245" s="796"/>
      <c r="AN245" s="809"/>
    </row>
    <row r="246" spans="1:40" ht="30" customHeight="1">
      <c r="A246" s="1510"/>
      <c r="B246" s="687"/>
      <c r="C246" s="910"/>
      <c r="D246" s="716"/>
      <c r="E246" s="716"/>
      <c r="F246" s="716"/>
      <c r="G246" s="716"/>
      <c r="H246" s="1074"/>
      <c r="I246" s="1074"/>
      <c r="J246" s="1074"/>
      <c r="K246" s="492"/>
      <c r="L246" s="1334"/>
      <c r="M246" s="1335"/>
      <c r="N246" s="1336"/>
      <c r="O246" s="1080"/>
      <c r="P246" s="1080"/>
      <c r="X246" s="1485"/>
      <c r="Y246" s="1485"/>
      <c r="AB246" s="1496"/>
      <c r="AC246" s="1497"/>
      <c r="AD246" s="1498"/>
      <c r="AE246" s="1496"/>
      <c r="AF246" s="1497"/>
      <c r="AG246" s="1498"/>
      <c r="AH246" s="1496"/>
      <c r="AI246" s="1497"/>
      <c r="AJ246" s="1498"/>
      <c r="AL246" s="1488"/>
      <c r="AM246" s="796"/>
      <c r="AN246" s="809"/>
    </row>
    <row r="247" spans="1:40" ht="30" customHeight="1">
      <c r="A247" s="1510"/>
      <c r="B247" s="687"/>
      <c r="C247" s="910"/>
      <c r="D247" s="716"/>
      <c r="E247" s="716"/>
      <c r="F247" s="716"/>
      <c r="G247" s="716"/>
      <c r="H247" s="1074"/>
      <c r="I247" s="1074"/>
      <c r="J247" s="1074"/>
      <c r="K247" s="492"/>
      <c r="L247" s="1334"/>
      <c r="M247" s="1335"/>
      <c r="N247" s="1336"/>
      <c r="O247" s="1080"/>
      <c r="P247" s="1080"/>
      <c r="X247" s="1485"/>
      <c r="Y247" s="1485"/>
      <c r="AB247" s="1496"/>
      <c r="AC247" s="1497"/>
      <c r="AD247" s="1498"/>
      <c r="AE247" s="1496"/>
      <c r="AF247" s="1497"/>
      <c r="AG247" s="1498"/>
      <c r="AH247" s="1496"/>
      <c r="AI247" s="1497"/>
      <c r="AJ247" s="1498"/>
      <c r="AL247" s="1488"/>
      <c r="AM247" s="796"/>
      <c r="AN247" s="809"/>
    </row>
    <row r="248" spans="1:40" ht="30" customHeight="1" thickBot="1">
      <c r="A248" s="1511"/>
      <c r="B248" s="476"/>
      <c r="C248" s="1075"/>
      <c r="D248" s="718"/>
      <c r="E248" s="718"/>
      <c r="F248" s="718"/>
      <c r="G248" s="718"/>
      <c r="H248" s="719"/>
      <c r="I248" s="719"/>
      <c r="J248" s="719"/>
      <c r="K248" s="1338"/>
      <c r="L248" s="1339"/>
      <c r="M248" s="1340"/>
      <c r="N248" s="1341"/>
      <c r="O248" s="475"/>
      <c r="P248" s="475"/>
      <c r="Q248" s="475"/>
      <c r="R248" s="109"/>
      <c r="S248" s="109"/>
      <c r="T248" s="109"/>
      <c r="U248" s="109"/>
      <c r="V248" s="109"/>
      <c r="W248" s="677"/>
      <c r="X248" s="1486"/>
      <c r="Y248" s="1486"/>
      <c r="Z248" s="99"/>
      <c r="AA248" s="677"/>
      <c r="AB248" s="1493"/>
      <c r="AC248" s="1494"/>
      <c r="AD248" s="1495"/>
      <c r="AE248" s="1493"/>
      <c r="AF248" s="1494"/>
      <c r="AG248" s="1495"/>
      <c r="AH248" s="1493"/>
      <c r="AI248" s="1494"/>
      <c r="AJ248" s="1495"/>
      <c r="AK248" s="99"/>
      <c r="AL248" s="1489"/>
      <c r="AM248" s="801"/>
      <c r="AN248" s="809"/>
    </row>
    <row r="249" spans="1:40" ht="30" customHeight="1">
      <c r="A249" s="1509" t="s">
        <v>665</v>
      </c>
      <c r="B249" s="233"/>
      <c r="C249" s="234"/>
      <c r="D249" s="235"/>
      <c r="E249" s="235"/>
      <c r="F249" s="235"/>
      <c r="G249" s="235"/>
      <c r="H249" s="236"/>
      <c r="I249" s="236"/>
      <c r="J249" s="236"/>
      <c r="K249" s="1329"/>
      <c r="L249" s="1330"/>
      <c r="M249" s="1331"/>
      <c r="N249" s="1332"/>
      <c r="O249" s="242"/>
      <c r="P249" s="242"/>
      <c r="Q249" s="242"/>
      <c r="R249" s="91"/>
      <c r="S249" s="91"/>
      <c r="T249" s="91"/>
      <c r="U249" s="91"/>
      <c r="V249" s="91"/>
      <c r="W249" s="816"/>
      <c r="X249" s="1484" t="str">
        <f>IF(W249="","",IF(SUM(W249:W251)&gt;=PARAMETROS!$G$5,"CUMPLE","NO CUMPLE"))</f>
        <v/>
      </c>
      <c r="Y249" s="1484" t="str">
        <f>IF(W249="","",IF(W249&gt;=PARAMETROS!$I$5,"CUMPLE","NO CUMPLE"))</f>
        <v/>
      </c>
      <c r="Z249" s="81"/>
      <c r="AA249" s="816"/>
      <c r="AB249" s="1499"/>
      <c r="AC249" s="1500"/>
      <c r="AD249" s="1501"/>
      <c r="AE249" s="1499"/>
      <c r="AF249" s="1500"/>
      <c r="AG249" s="1501"/>
      <c r="AH249" s="1499"/>
      <c r="AI249" s="1500"/>
      <c r="AJ249" s="1501"/>
      <c r="AK249" s="81"/>
      <c r="AL249" s="1487"/>
      <c r="AM249" s="795"/>
      <c r="AN249" s="809"/>
    </row>
    <row r="250" spans="1:40" ht="30" customHeight="1">
      <c r="A250" s="1510"/>
      <c r="B250" s="687"/>
      <c r="C250" s="910"/>
      <c r="D250" s="716"/>
      <c r="E250" s="716"/>
      <c r="F250" s="716"/>
      <c r="G250" s="716"/>
      <c r="H250" s="1074"/>
      <c r="I250" s="1074"/>
      <c r="J250" s="1074"/>
      <c r="K250" s="492"/>
      <c r="L250" s="1334"/>
      <c r="M250" s="1335"/>
      <c r="N250" s="1336"/>
      <c r="O250" s="1080"/>
      <c r="P250" s="1080"/>
      <c r="X250" s="1485"/>
      <c r="Y250" s="1485"/>
      <c r="AB250" s="1496"/>
      <c r="AC250" s="1497"/>
      <c r="AD250" s="1498"/>
      <c r="AE250" s="1496"/>
      <c r="AF250" s="1497"/>
      <c r="AG250" s="1498"/>
      <c r="AH250" s="1496"/>
      <c r="AI250" s="1497"/>
      <c r="AJ250" s="1498"/>
      <c r="AL250" s="1488"/>
      <c r="AM250" s="796"/>
      <c r="AN250" s="809"/>
    </row>
    <row r="251" spans="1:40" ht="30" customHeight="1">
      <c r="A251" s="1510"/>
      <c r="B251" s="687"/>
      <c r="C251" s="910"/>
      <c r="D251" s="716"/>
      <c r="E251" s="716"/>
      <c r="F251" s="716"/>
      <c r="G251" s="716"/>
      <c r="H251" s="1074"/>
      <c r="I251" s="1074"/>
      <c r="J251" s="1074"/>
      <c r="K251" s="492"/>
      <c r="L251" s="1334"/>
      <c r="M251" s="1335"/>
      <c r="N251" s="1336"/>
      <c r="O251" s="1080"/>
      <c r="P251" s="1080"/>
      <c r="X251" s="1485"/>
      <c r="Y251" s="1485"/>
      <c r="AB251" s="1496"/>
      <c r="AC251" s="1497"/>
      <c r="AD251" s="1498"/>
      <c r="AE251" s="1496"/>
      <c r="AF251" s="1497"/>
      <c r="AG251" s="1498"/>
      <c r="AH251" s="1496"/>
      <c r="AI251" s="1497"/>
      <c r="AJ251" s="1498"/>
      <c r="AL251" s="1488"/>
      <c r="AM251" s="796"/>
      <c r="AN251" s="809"/>
    </row>
    <row r="252" spans="1:40" ht="30" customHeight="1">
      <c r="A252" s="1510"/>
      <c r="B252" s="687"/>
      <c r="C252" s="910"/>
      <c r="D252" s="716"/>
      <c r="E252" s="716"/>
      <c r="F252" s="716"/>
      <c r="G252" s="716"/>
      <c r="H252" s="1074"/>
      <c r="I252" s="1074"/>
      <c r="J252" s="1074"/>
      <c r="K252" s="492"/>
      <c r="L252" s="1334"/>
      <c r="M252" s="1335"/>
      <c r="N252" s="1336"/>
      <c r="O252" s="1080"/>
      <c r="P252" s="1080"/>
      <c r="X252" s="1485"/>
      <c r="Y252" s="1485"/>
      <c r="AB252" s="1496"/>
      <c r="AC252" s="1497"/>
      <c r="AD252" s="1498"/>
      <c r="AE252" s="1496"/>
      <c r="AF252" s="1497"/>
      <c r="AG252" s="1498"/>
      <c r="AH252" s="1496"/>
      <c r="AI252" s="1497"/>
      <c r="AJ252" s="1498"/>
      <c r="AL252" s="1488"/>
      <c r="AM252" s="796"/>
      <c r="AN252" s="809"/>
    </row>
    <row r="253" spans="1:40" ht="30" customHeight="1">
      <c r="A253" s="1510"/>
      <c r="B253" s="687"/>
      <c r="C253" s="910"/>
      <c r="D253" s="716"/>
      <c r="E253" s="716"/>
      <c r="F253" s="716"/>
      <c r="G253" s="716"/>
      <c r="H253" s="1074"/>
      <c r="I253" s="1074"/>
      <c r="J253" s="1074"/>
      <c r="K253" s="492"/>
      <c r="L253" s="1334"/>
      <c r="M253" s="1335"/>
      <c r="N253" s="1336"/>
      <c r="O253" s="1080"/>
      <c r="P253" s="1080"/>
      <c r="X253" s="1485"/>
      <c r="Y253" s="1485"/>
      <c r="AB253" s="1496"/>
      <c r="AC253" s="1497"/>
      <c r="AD253" s="1498"/>
      <c r="AE253" s="1496"/>
      <c r="AF253" s="1497"/>
      <c r="AG253" s="1498"/>
      <c r="AH253" s="1496"/>
      <c r="AI253" s="1497"/>
      <c r="AJ253" s="1498"/>
      <c r="AL253" s="1488"/>
      <c r="AM253" s="796"/>
      <c r="AN253" s="809"/>
    </row>
    <row r="254" spans="1:40" ht="30" customHeight="1" thickBot="1">
      <c r="A254" s="1511"/>
      <c r="B254" s="476"/>
      <c r="C254" s="1075"/>
      <c r="D254" s="718"/>
      <c r="E254" s="718"/>
      <c r="F254" s="718"/>
      <c r="G254" s="718"/>
      <c r="H254" s="719"/>
      <c r="I254" s="719"/>
      <c r="J254" s="719"/>
      <c r="K254" s="1338"/>
      <c r="L254" s="1339"/>
      <c r="M254" s="1340"/>
      <c r="N254" s="1341"/>
      <c r="O254" s="475"/>
      <c r="P254" s="475"/>
      <c r="Q254" s="475"/>
      <c r="R254" s="109"/>
      <c r="S254" s="109"/>
      <c r="T254" s="109"/>
      <c r="U254" s="109"/>
      <c r="V254" s="109"/>
      <c r="W254" s="677"/>
      <c r="X254" s="1486"/>
      <c r="Y254" s="1486"/>
      <c r="Z254" s="99"/>
      <c r="AA254" s="677"/>
      <c r="AB254" s="1493"/>
      <c r="AC254" s="1494"/>
      <c r="AD254" s="1495"/>
      <c r="AE254" s="1493"/>
      <c r="AF254" s="1494"/>
      <c r="AG254" s="1495"/>
      <c r="AH254" s="1493"/>
      <c r="AI254" s="1494"/>
      <c r="AJ254" s="1495"/>
      <c r="AK254" s="99"/>
      <c r="AL254" s="1489"/>
      <c r="AM254" s="801"/>
      <c r="AN254" s="809"/>
    </row>
    <row r="255" spans="1:40" ht="30" customHeight="1">
      <c r="A255" s="1509" t="s">
        <v>666</v>
      </c>
      <c r="B255" s="233"/>
      <c r="C255" s="234"/>
      <c r="D255" s="235"/>
      <c r="E255" s="235"/>
      <c r="F255" s="235"/>
      <c r="G255" s="235"/>
      <c r="H255" s="236"/>
      <c r="I255" s="236"/>
      <c r="J255" s="236"/>
      <c r="K255" s="1329"/>
      <c r="L255" s="1330"/>
      <c r="M255" s="1331"/>
      <c r="N255" s="1332"/>
      <c r="O255" s="242"/>
      <c r="P255" s="242"/>
      <c r="Q255" s="242"/>
      <c r="R255" s="91"/>
      <c r="S255" s="91"/>
      <c r="T255" s="91"/>
      <c r="U255" s="91"/>
      <c r="V255" s="91"/>
      <c r="W255" s="816"/>
      <c r="X255" s="1484" t="str">
        <f>IF(W255="","",IF(SUM(W255:W257)&gt;=PARAMETROS!$G$5,"CUMPLE","NO CUMPLE"))</f>
        <v/>
      </c>
      <c r="Y255" s="1484" t="str">
        <f>IF(W255="","",IF(W255&gt;=PARAMETROS!$I$5,"CUMPLE","NO CUMPLE"))</f>
        <v/>
      </c>
      <c r="Z255" s="81"/>
      <c r="AA255" s="816"/>
      <c r="AB255" s="1499"/>
      <c r="AC255" s="1500"/>
      <c r="AD255" s="1501"/>
      <c r="AE255" s="1499"/>
      <c r="AF255" s="1500"/>
      <c r="AG255" s="1501"/>
      <c r="AH255" s="1499"/>
      <c r="AI255" s="1500"/>
      <c r="AJ255" s="1501"/>
      <c r="AK255" s="81"/>
      <c r="AL255" s="1487"/>
      <c r="AM255" s="795"/>
      <c r="AN255" s="809"/>
    </row>
    <row r="256" spans="1:40" ht="30" customHeight="1">
      <c r="A256" s="1510"/>
      <c r="B256" s="687"/>
      <c r="C256" s="910"/>
      <c r="D256" s="716"/>
      <c r="E256" s="716"/>
      <c r="F256" s="716"/>
      <c r="G256" s="716"/>
      <c r="H256" s="1074"/>
      <c r="I256" s="1074"/>
      <c r="J256" s="1074"/>
      <c r="K256" s="492"/>
      <c r="L256" s="1334"/>
      <c r="M256" s="1335"/>
      <c r="N256" s="1336"/>
      <c r="O256" s="1080"/>
      <c r="P256" s="1080"/>
      <c r="X256" s="1485"/>
      <c r="Y256" s="1485"/>
      <c r="AB256" s="1496"/>
      <c r="AC256" s="1497"/>
      <c r="AD256" s="1498"/>
      <c r="AE256" s="1496"/>
      <c r="AF256" s="1497"/>
      <c r="AG256" s="1498"/>
      <c r="AH256" s="1496"/>
      <c r="AI256" s="1497"/>
      <c r="AJ256" s="1498"/>
      <c r="AL256" s="1488"/>
      <c r="AM256" s="796"/>
      <c r="AN256" s="809"/>
    </row>
    <row r="257" spans="1:40" ht="30" customHeight="1">
      <c r="A257" s="1510"/>
      <c r="B257" s="687"/>
      <c r="C257" s="910"/>
      <c r="D257" s="716"/>
      <c r="E257" s="716"/>
      <c r="F257" s="716"/>
      <c r="G257" s="716"/>
      <c r="H257" s="1074"/>
      <c r="I257" s="1074"/>
      <c r="J257" s="1074"/>
      <c r="K257" s="492"/>
      <c r="L257" s="1334"/>
      <c r="M257" s="1335"/>
      <c r="N257" s="1336"/>
      <c r="O257" s="1080"/>
      <c r="P257" s="1080"/>
      <c r="X257" s="1485"/>
      <c r="Y257" s="1485"/>
      <c r="AB257" s="1496"/>
      <c r="AC257" s="1497"/>
      <c r="AD257" s="1498"/>
      <c r="AE257" s="1496"/>
      <c r="AF257" s="1497"/>
      <c r="AG257" s="1498"/>
      <c r="AH257" s="1496"/>
      <c r="AI257" s="1497"/>
      <c r="AJ257" s="1498"/>
      <c r="AL257" s="1488"/>
      <c r="AM257" s="796"/>
      <c r="AN257" s="809"/>
    </row>
    <row r="258" spans="1:40" ht="30" customHeight="1">
      <c r="A258" s="1510"/>
      <c r="B258" s="687"/>
      <c r="C258" s="910"/>
      <c r="D258" s="716"/>
      <c r="E258" s="716"/>
      <c r="F258" s="716"/>
      <c r="G258" s="716"/>
      <c r="H258" s="1074"/>
      <c r="I258" s="1074"/>
      <c r="J258" s="1074"/>
      <c r="K258" s="492"/>
      <c r="L258" s="1334"/>
      <c r="M258" s="1335"/>
      <c r="N258" s="1336"/>
      <c r="O258" s="1080"/>
      <c r="P258" s="1080"/>
      <c r="X258" s="1485"/>
      <c r="Y258" s="1485"/>
      <c r="AB258" s="1496"/>
      <c r="AC258" s="1497"/>
      <c r="AD258" s="1498"/>
      <c r="AE258" s="1496"/>
      <c r="AF258" s="1497"/>
      <c r="AG258" s="1498"/>
      <c r="AH258" s="1496"/>
      <c r="AI258" s="1497"/>
      <c r="AJ258" s="1498"/>
      <c r="AL258" s="1488"/>
      <c r="AM258" s="796"/>
      <c r="AN258" s="809"/>
    </row>
    <row r="259" spans="1:40" ht="30" customHeight="1">
      <c r="A259" s="1510"/>
      <c r="B259" s="687"/>
      <c r="C259" s="910"/>
      <c r="D259" s="716"/>
      <c r="E259" s="716"/>
      <c r="F259" s="716"/>
      <c r="G259" s="716"/>
      <c r="H259" s="1074"/>
      <c r="I259" s="1074"/>
      <c r="J259" s="1074"/>
      <c r="K259" s="492"/>
      <c r="L259" s="1334"/>
      <c r="M259" s="1335"/>
      <c r="N259" s="1336"/>
      <c r="O259" s="1080"/>
      <c r="P259" s="1080"/>
      <c r="X259" s="1485"/>
      <c r="Y259" s="1485"/>
      <c r="AB259" s="1496"/>
      <c r="AC259" s="1497"/>
      <c r="AD259" s="1498"/>
      <c r="AE259" s="1496"/>
      <c r="AF259" s="1497"/>
      <c r="AG259" s="1498"/>
      <c r="AH259" s="1496"/>
      <c r="AI259" s="1497"/>
      <c r="AJ259" s="1498"/>
      <c r="AL259" s="1488"/>
      <c r="AM259" s="796"/>
      <c r="AN259" s="809"/>
    </row>
    <row r="260" spans="1:40" ht="30" customHeight="1" thickBot="1">
      <c r="A260" s="1511"/>
      <c r="B260" s="476"/>
      <c r="C260" s="1075"/>
      <c r="D260" s="718"/>
      <c r="E260" s="718"/>
      <c r="F260" s="718"/>
      <c r="G260" s="718"/>
      <c r="H260" s="719"/>
      <c r="I260" s="719"/>
      <c r="J260" s="719"/>
      <c r="K260" s="1338"/>
      <c r="L260" s="1339"/>
      <c r="M260" s="1340"/>
      <c r="N260" s="1341"/>
      <c r="O260" s="475"/>
      <c r="P260" s="475"/>
      <c r="Q260" s="475"/>
      <c r="R260" s="109"/>
      <c r="S260" s="109"/>
      <c r="T260" s="109"/>
      <c r="U260" s="109"/>
      <c r="V260" s="109"/>
      <c r="W260" s="677"/>
      <c r="X260" s="1486"/>
      <c r="Y260" s="1486"/>
      <c r="Z260" s="99"/>
      <c r="AA260" s="677"/>
      <c r="AB260" s="1493"/>
      <c r="AC260" s="1494"/>
      <c r="AD260" s="1495"/>
      <c r="AE260" s="1493"/>
      <c r="AF260" s="1494"/>
      <c r="AG260" s="1495"/>
      <c r="AH260" s="1493"/>
      <c r="AI260" s="1494"/>
      <c r="AJ260" s="1495"/>
      <c r="AK260" s="99"/>
      <c r="AL260" s="1489"/>
      <c r="AM260" s="801"/>
      <c r="AN260" s="809"/>
    </row>
    <row r="261" spans="1:40" ht="30" customHeight="1">
      <c r="A261" s="1509" t="s">
        <v>667</v>
      </c>
      <c r="B261" s="233"/>
      <c r="C261" s="234"/>
      <c r="D261" s="235"/>
      <c r="E261" s="235"/>
      <c r="F261" s="235"/>
      <c r="G261" s="235"/>
      <c r="H261" s="236"/>
      <c r="I261" s="236"/>
      <c r="J261" s="236"/>
      <c r="K261" s="1329"/>
      <c r="L261" s="1330"/>
      <c r="M261" s="1331"/>
      <c r="N261" s="1332"/>
      <c r="O261" s="242"/>
      <c r="P261" s="242"/>
      <c r="Q261" s="242"/>
      <c r="R261" s="91"/>
      <c r="S261" s="91"/>
      <c r="T261" s="91"/>
      <c r="U261" s="91"/>
      <c r="V261" s="91"/>
      <c r="W261" s="816"/>
      <c r="X261" s="1484" t="str">
        <f>IF(W261="","",IF(SUM(W261:W263)&gt;=PARAMETROS!$G$5,"CUMPLE","NO CUMPLE"))</f>
        <v/>
      </c>
      <c r="Y261" s="1484" t="str">
        <f>IF(W261="","",IF(W261&gt;=PARAMETROS!$I$5,"CUMPLE","NO CUMPLE"))</f>
        <v/>
      </c>
      <c r="Z261" s="81"/>
      <c r="AA261" s="816"/>
      <c r="AB261" s="1499"/>
      <c r="AC261" s="1500"/>
      <c r="AD261" s="1501"/>
      <c r="AE261" s="1499"/>
      <c r="AF261" s="1500"/>
      <c r="AG261" s="1501"/>
      <c r="AH261" s="1499"/>
      <c r="AI261" s="1500"/>
      <c r="AJ261" s="1501"/>
      <c r="AK261" s="81"/>
      <c r="AL261" s="1487"/>
      <c r="AM261" s="795"/>
      <c r="AN261" s="809"/>
    </row>
    <row r="262" spans="1:40" ht="30" customHeight="1">
      <c r="A262" s="1510"/>
      <c r="B262" s="687"/>
      <c r="C262" s="910"/>
      <c r="D262" s="716"/>
      <c r="E262" s="716"/>
      <c r="F262" s="716"/>
      <c r="G262" s="716"/>
      <c r="H262" s="1074"/>
      <c r="I262" s="1074"/>
      <c r="J262" s="1074"/>
      <c r="K262" s="492"/>
      <c r="L262" s="1334"/>
      <c r="M262" s="1335"/>
      <c r="N262" s="1336"/>
      <c r="O262" s="1080"/>
      <c r="P262" s="1080"/>
      <c r="X262" s="1485"/>
      <c r="Y262" s="1485"/>
      <c r="AB262" s="1496"/>
      <c r="AC262" s="1497"/>
      <c r="AD262" s="1498"/>
      <c r="AE262" s="1496"/>
      <c r="AF262" s="1497"/>
      <c r="AG262" s="1498"/>
      <c r="AH262" s="1496"/>
      <c r="AI262" s="1497"/>
      <c r="AJ262" s="1498"/>
      <c r="AL262" s="1488"/>
      <c r="AM262" s="796"/>
      <c r="AN262" s="809"/>
    </row>
    <row r="263" spans="1:40" ht="30" customHeight="1">
      <c r="A263" s="1510"/>
      <c r="B263" s="687"/>
      <c r="C263" s="910"/>
      <c r="D263" s="716"/>
      <c r="E263" s="716"/>
      <c r="F263" s="716"/>
      <c r="G263" s="716"/>
      <c r="H263" s="1074"/>
      <c r="I263" s="1074"/>
      <c r="J263" s="1074"/>
      <c r="K263" s="492"/>
      <c r="L263" s="1334"/>
      <c r="M263" s="1335"/>
      <c r="N263" s="1336"/>
      <c r="O263" s="1080"/>
      <c r="P263" s="1080"/>
      <c r="X263" s="1485"/>
      <c r="Y263" s="1485"/>
      <c r="AB263" s="1496"/>
      <c r="AC263" s="1497"/>
      <c r="AD263" s="1498"/>
      <c r="AE263" s="1496"/>
      <c r="AF263" s="1497"/>
      <c r="AG263" s="1498"/>
      <c r="AH263" s="1496"/>
      <c r="AI263" s="1497"/>
      <c r="AJ263" s="1498"/>
      <c r="AL263" s="1488"/>
      <c r="AM263" s="796"/>
      <c r="AN263" s="809"/>
    </row>
    <row r="264" spans="1:40" ht="30" customHeight="1">
      <c r="A264" s="1510"/>
      <c r="B264" s="687"/>
      <c r="C264" s="910"/>
      <c r="D264" s="716"/>
      <c r="E264" s="716"/>
      <c r="F264" s="716"/>
      <c r="G264" s="716"/>
      <c r="H264" s="1074"/>
      <c r="I264" s="1074"/>
      <c r="J264" s="1074"/>
      <c r="K264" s="492"/>
      <c r="L264" s="1334"/>
      <c r="M264" s="1335"/>
      <c r="N264" s="1336"/>
      <c r="O264" s="1080"/>
      <c r="P264" s="1080"/>
      <c r="X264" s="1485"/>
      <c r="Y264" s="1485"/>
      <c r="AB264" s="1496"/>
      <c r="AC264" s="1497"/>
      <c r="AD264" s="1498"/>
      <c r="AE264" s="1496"/>
      <c r="AF264" s="1497"/>
      <c r="AG264" s="1498"/>
      <c r="AH264" s="1496"/>
      <c r="AI264" s="1497"/>
      <c r="AJ264" s="1498"/>
      <c r="AL264" s="1488"/>
      <c r="AM264" s="796"/>
      <c r="AN264" s="809"/>
    </row>
    <row r="265" spans="1:40" ht="30" customHeight="1">
      <c r="A265" s="1510"/>
      <c r="B265" s="687"/>
      <c r="C265" s="910"/>
      <c r="D265" s="716"/>
      <c r="E265" s="716"/>
      <c r="F265" s="716"/>
      <c r="G265" s="716"/>
      <c r="H265" s="1074"/>
      <c r="I265" s="1074"/>
      <c r="J265" s="1074"/>
      <c r="K265" s="492"/>
      <c r="L265" s="1334"/>
      <c r="M265" s="1335"/>
      <c r="N265" s="1336"/>
      <c r="O265" s="1080"/>
      <c r="P265" s="1080"/>
      <c r="X265" s="1485"/>
      <c r="Y265" s="1485"/>
      <c r="AB265" s="1496"/>
      <c r="AC265" s="1497"/>
      <c r="AD265" s="1498"/>
      <c r="AE265" s="1496"/>
      <c r="AF265" s="1497"/>
      <c r="AG265" s="1498"/>
      <c r="AH265" s="1496"/>
      <c r="AI265" s="1497"/>
      <c r="AJ265" s="1498"/>
      <c r="AL265" s="1488"/>
      <c r="AM265" s="796"/>
      <c r="AN265" s="809"/>
    </row>
    <row r="266" spans="1:40" ht="30" customHeight="1" thickBot="1">
      <c r="A266" s="1511"/>
      <c r="B266" s="476"/>
      <c r="C266" s="1075"/>
      <c r="D266" s="718"/>
      <c r="E266" s="718"/>
      <c r="F266" s="718"/>
      <c r="G266" s="718"/>
      <c r="H266" s="719"/>
      <c r="I266" s="719"/>
      <c r="J266" s="719"/>
      <c r="K266" s="1338"/>
      <c r="L266" s="1339"/>
      <c r="M266" s="1340"/>
      <c r="N266" s="1341"/>
      <c r="O266" s="475"/>
      <c r="P266" s="475"/>
      <c r="Q266" s="475"/>
      <c r="R266" s="109"/>
      <c r="S266" s="109"/>
      <c r="T266" s="109"/>
      <c r="U266" s="109"/>
      <c r="V266" s="109"/>
      <c r="W266" s="677"/>
      <c r="X266" s="1486"/>
      <c r="Y266" s="1486"/>
      <c r="Z266" s="99"/>
      <c r="AA266" s="677"/>
      <c r="AB266" s="1493"/>
      <c r="AC266" s="1494"/>
      <c r="AD266" s="1495"/>
      <c r="AE266" s="1493"/>
      <c r="AF266" s="1494"/>
      <c r="AG266" s="1495"/>
      <c r="AH266" s="1493"/>
      <c r="AI266" s="1494"/>
      <c r="AJ266" s="1495"/>
      <c r="AK266" s="99"/>
      <c r="AL266" s="1489"/>
      <c r="AM266" s="801"/>
      <c r="AN266" s="809"/>
    </row>
    <row r="267" spans="1:40" ht="30" customHeight="1">
      <c r="A267" s="1509" t="s">
        <v>668</v>
      </c>
      <c r="B267" s="233"/>
      <c r="C267" s="234"/>
      <c r="D267" s="235"/>
      <c r="E267" s="235"/>
      <c r="F267" s="235"/>
      <c r="G267" s="235"/>
      <c r="H267" s="236"/>
      <c r="I267" s="236"/>
      <c r="J267" s="236"/>
      <c r="K267" s="1329"/>
      <c r="L267" s="1330"/>
      <c r="M267" s="1331"/>
      <c r="N267" s="1332"/>
      <c r="O267" s="242"/>
      <c r="P267" s="242"/>
      <c r="Q267" s="242"/>
      <c r="R267" s="91"/>
      <c r="S267" s="91"/>
      <c r="T267" s="91"/>
      <c r="U267" s="91"/>
      <c r="V267" s="91"/>
      <c r="W267" s="816"/>
      <c r="X267" s="1484" t="str">
        <f>IF(W267="","",IF(SUM(W267:W269)&gt;=PARAMETROS!$G$5,"CUMPLE","NO CUMPLE"))</f>
        <v/>
      </c>
      <c r="Y267" s="1484" t="str">
        <f>IF(W267="","",IF(W267&gt;=PARAMETROS!$I$5,"CUMPLE","NO CUMPLE"))</f>
        <v/>
      </c>
      <c r="Z267" s="81"/>
      <c r="AA267" s="816"/>
      <c r="AB267" s="1499"/>
      <c r="AC267" s="1500"/>
      <c r="AD267" s="1501"/>
      <c r="AE267" s="1499"/>
      <c r="AF267" s="1500"/>
      <c r="AG267" s="1501"/>
      <c r="AH267" s="1499"/>
      <c r="AI267" s="1500"/>
      <c r="AJ267" s="1501"/>
      <c r="AK267" s="81"/>
      <c r="AL267" s="1487"/>
      <c r="AM267" s="795"/>
      <c r="AN267" s="809"/>
    </row>
    <row r="268" spans="1:40" ht="30" customHeight="1">
      <c r="A268" s="1510"/>
      <c r="B268" s="687"/>
      <c r="C268" s="910"/>
      <c r="D268" s="716"/>
      <c r="E268" s="716"/>
      <c r="F268" s="716"/>
      <c r="G268" s="716"/>
      <c r="H268" s="1074"/>
      <c r="X268" s="1485"/>
      <c r="Y268" s="1485"/>
      <c r="AB268" s="1496"/>
      <c r="AC268" s="1497"/>
      <c r="AD268" s="1498"/>
      <c r="AE268" s="1496"/>
      <c r="AF268" s="1497"/>
      <c r="AG268" s="1498"/>
      <c r="AH268" s="1496"/>
      <c r="AI268" s="1497"/>
      <c r="AJ268" s="1498"/>
      <c r="AL268" s="1488"/>
      <c r="AM268" s="796"/>
      <c r="AN268" s="809"/>
    </row>
    <row r="269" spans="1:40" ht="30" customHeight="1">
      <c r="A269" s="1510"/>
      <c r="B269" s="687"/>
      <c r="C269" s="910"/>
      <c r="D269" s="716"/>
      <c r="E269" s="716"/>
      <c r="F269" s="716"/>
      <c r="G269" s="716"/>
      <c r="H269" s="1074"/>
      <c r="X269" s="1485"/>
      <c r="Y269" s="1485"/>
      <c r="AB269" s="1496"/>
      <c r="AC269" s="1497"/>
      <c r="AD269" s="1498"/>
      <c r="AE269" s="1496"/>
      <c r="AF269" s="1497"/>
      <c r="AG269" s="1498"/>
      <c r="AH269" s="1496"/>
      <c r="AI269" s="1497"/>
      <c r="AJ269" s="1498"/>
      <c r="AL269" s="1488"/>
      <c r="AM269" s="796"/>
      <c r="AN269" s="809"/>
    </row>
    <row r="270" spans="1:40" ht="30" customHeight="1">
      <c r="A270" s="1510"/>
      <c r="B270" s="687"/>
      <c r="C270" s="910"/>
      <c r="D270" s="716"/>
      <c r="E270" s="716"/>
      <c r="F270" s="716"/>
      <c r="G270" s="716"/>
      <c r="H270" s="1074"/>
      <c r="X270" s="1485"/>
      <c r="Y270" s="1485"/>
      <c r="AB270" s="1496"/>
      <c r="AC270" s="1497"/>
      <c r="AD270" s="1498"/>
      <c r="AE270" s="1496"/>
      <c r="AF270" s="1497"/>
      <c r="AG270" s="1498"/>
      <c r="AH270" s="1496"/>
      <c r="AI270" s="1497"/>
      <c r="AJ270" s="1498"/>
      <c r="AL270" s="1488"/>
      <c r="AM270" s="796"/>
      <c r="AN270" s="809"/>
    </row>
    <row r="271" spans="1:40" ht="30" customHeight="1">
      <c r="A271" s="1510"/>
      <c r="B271" s="687"/>
      <c r="C271" s="910"/>
      <c r="D271" s="716"/>
      <c r="E271" s="716"/>
      <c r="F271" s="716"/>
      <c r="G271" s="716"/>
      <c r="H271" s="1074"/>
      <c r="X271" s="1485"/>
      <c r="Y271" s="1485"/>
      <c r="AB271" s="1496"/>
      <c r="AC271" s="1497"/>
      <c r="AD271" s="1498"/>
      <c r="AE271" s="1496"/>
      <c r="AF271" s="1497"/>
      <c r="AG271" s="1498"/>
      <c r="AH271" s="1496"/>
      <c r="AI271" s="1497"/>
      <c r="AJ271" s="1498"/>
      <c r="AL271" s="1488"/>
      <c r="AM271" s="796"/>
      <c r="AN271" s="809"/>
    </row>
    <row r="272" spans="1:40" ht="30" customHeight="1" thickBot="1">
      <c r="A272" s="1511"/>
      <c r="B272" s="476"/>
      <c r="C272" s="1075"/>
      <c r="D272" s="718"/>
      <c r="E272" s="718"/>
      <c r="F272" s="718"/>
      <c r="G272" s="718"/>
      <c r="H272" s="719"/>
      <c r="I272" s="817"/>
      <c r="J272" s="817"/>
      <c r="K272" s="818"/>
      <c r="L272" s="819"/>
      <c r="M272" s="820"/>
      <c r="N272" s="821"/>
      <c r="O272" s="109"/>
      <c r="P272" s="822"/>
      <c r="Q272" s="475"/>
      <c r="R272" s="109"/>
      <c r="S272" s="109"/>
      <c r="T272" s="109"/>
      <c r="U272" s="109"/>
      <c r="V272" s="109"/>
      <c r="W272" s="677"/>
      <c r="X272" s="1486"/>
      <c r="Y272" s="1486"/>
      <c r="Z272" s="99"/>
      <c r="AA272" s="677"/>
      <c r="AB272" s="1493"/>
      <c r="AC272" s="1494"/>
      <c r="AD272" s="1495"/>
      <c r="AE272" s="1493"/>
      <c r="AF272" s="1494"/>
      <c r="AG272" s="1495"/>
      <c r="AH272" s="1493"/>
      <c r="AI272" s="1494"/>
      <c r="AJ272" s="1495"/>
      <c r="AK272" s="99"/>
      <c r="AL272" s="1489"/>
      <c r="AM272" s="801"/>
      <c r="AN272" s="809"/>
    </row>
    <row r="273" spans="1:40" ht="30" customHeight="1">
      <c r="A273" s="1509" t="s">
        <v>669</v>
      </c>
      <c r="B273" s="233"/>
      <c r="C273" s="234"/>
      <c r="D273" s="235"/>
      <c r="E273" s="235"/>
      <c r="F273" s="235"/>
      <c r="G273" s="235"/>
      <c r="H273" s="236"/>
      <c r="I273" s="810"/>
      <c r="J273" s="810"/>
      <c r="K273" s="811"/>
      <c r="L273" s="812"/>
      <c r="M273" s="813"/>
      <c r="N273" s="814"/>
      <c r="O273" s="91"/>
      <c r="P273" s="815"/>
      <c r="Q273" s="242"/>
      <c r="R273" s="91"/>
      <c r="S273" s="91"/>
      <c r="T273" s="91"/>
      <c r="U273" s="91"/>
      <c r="V273" s="91"/>
      <c r="W273" s="816"/>
      <c r="X273" s="1484" t="str">
        <f>IF(W273="","",IF(SUM(W273:W275)&gt;=PARAMETROS!$G$5,"CUMPLE","NO CUMPLE"))</f>
        <v/>
      </c>
      <c r="Y273" s="1484" t="str">
        <f>IF(W273="","",IF(W273&gt;=PARAMETROS!$I$5,"CUMPLE","NO CUMPLE"))</f>
        <v/>
      </c>
      <c r="Z273" s="81"/>
      <c r="AA273" s="816"/>
      <c r="AB273" s="1499"/>
      <c r="AC273" s="1500"/>
      <c r="AD273" s="1501"/>
      <c r="AE273" s="1499"/>
      <c r="AF273" s="1500"/>
      <c r="AG273" s="1501"/>
      <c r="AH273" s="1499"/>
      <c r="AI273" s="1500"/>
      <c r="AJ273" s="1501"/>
      <c r="AK273" s="81"/>
      <c r="AL273" s="1487"/>
      <c r="AM273" s="795"/>
      <c r="AN273" s="809"/>
    </row>
    <row r="274" spans="1:40" ht="30" customHeight="1">
      <c r="A274" s="1510"/>
      <c r="B274" s="687"/>
      <c r="C274" s="910"/>
      <c r="D274" s="716"/>
      <c r="E274" s="716"/>
      <c r="F274" s="716"/>
      <c r="G274" s="716"/>
      <c r="H274" s="1074"/>
      <c r="X274" s="1485"/>
      <c r="Y274" s="1485"/>
      <c r="AB274" s="1496"/>
      <c r="AC274" s="1497"/>
      <c r="AD274" s="1498"/>
      <c r="AE274" s="1496"/>
      <c r="AF274" s="1497"/>
      <c r="AG274" s="1498"/>
      <c r="AH274" s="1496"/>
      <c r="AI274" s="1497"/>
      <c r="AJ274" s="1498"/>
      <c r="AL274" s="1488"/>
      <c r="AM274" s="796"/>
      <c r="AN274" s="809"/>
    </row>
    <row r="275" spans="1:40" ht="30" customHeight="1">
      <c r="A275" s="1510"/>
      <c r="B275" s="687"/>
      <c r="C275" s="910"/>
      <c r="D275" s="716"/>
      <c r="E275" s="716"/>
      <c r="F275" s="716"/>
      <c r="G275" s="716"/>
      <c r="H275" s="1074"/>
      <c r="X275" s="1485"/>
      <c r="Y275" s="1485"/>
      <c r="AB275" s="1496"/>
      <c r="AC275" s="1497"/>
      <c r="AD275" s="1498"/>
      <c r="AE275" s="1496"/>
      <c r="AF275" s="1497"/>
      <c r="AG275" s="1498"/>
      <c r="AH275" s="1496"/>
      <c r="AI275" s="1497"/>
      <c r="AJ275" s="1498"/>
      <c r="AL275" s="1488"/>
      <c r="AM275" s="796"/>
      <c r="AN275" s="809"/>
    </row>
    <row r="276" spans="1:40" ht="30" customHeight="1">
      <c r="A276" s="1510"/>
      <c r="B276" s="687"/>
      <c r="C276" s="910"/>
      <c r="D276" s="716"/>
      <c r="E276" s="716"/>
      <c r="F276" s="716"/>
      <c r="G276" s="716"/>
      <c r="H276" s="1074"/>
      <c r="X276" s="1485"/>
      <c r="Y276" s="1485"/>
      <c r="AB276" s="1496"/>
      <c r="AC276" s="1497"/>
      <c r="AD276" s="1498"/>
      <c r="AE276" s="1496"/>
      <c r="AF276" s="1497"/>
      <c r="AG276" s="1498"/>
      <c r="AH276" s="1496"/>
      <c r="AI276" s="1497"/>
      <c r="AJ276" s="1498"/>
      <c r="AL276" s="1488"/>
      <c r="AM276" s="796"/>
      <c r="AN276" s="809"/>
    </row>
    <row r="277" spans="1:40" ht="30" customHeight="1">
      <c r="A277" s="1510"/>
      <c r="B277" s="687"/>
      <c r="C277" s="910"/>
      <c r="D277" s="716"/>
      <c r="E277" s="716"/>
      <c r="F277" s="716"/>
      <c r="G277" s="716"/>
      <c r="H277" s="1074"/>
      <c r="X277" s="1485"/>
      <c r="Y277" s="1485"/>
      <c r="AB277" s="1496"/>
      <c r="AC277" s="1497"/>
      <c r="AD277" s="1498"/>
      <c r="AE277" s="1496"/>
      <c r="AF277" s="1497"/>
      <c r="AG277" s="1498"/>
      <c r="AH277" s="1496"/>
      <c r="AI277" s="1497"/>
      <c r="AJ277" s="1498"/>
      <c r="AL277" s="1488"/>
      <c r="AM277" s="796"/>
      <c r="AN277" s="809"/>
    </row>
    <row r="278" spans="1:40" ht="30" customHeight="1" thickBot="1">
      <c r="A278" s="1511"/>
      <c r="B278" s="476"/>
      <c r="C278" s="1075"/>
      <c r="D278" s="718"/>
      <c r="E278" s="718"/>
      <c r="F278" s="718"/>
      <c r="G278" s="718"/>
      <c r="H278" s="719"/>
      <c r="I278" s="817"/>
      <c r="J278" s="817"/>
      <c r="K278" s="818"/>
      <c r="L278" s="819"/>
      <c r="M278" s="820"/>
      <c r="N278" s="821"/>
      <c r="O278" s="109"/>
      <c r="P278" s="822"/>
      <c r="Q278" s="475"/>
      <c r="R278" s="109"/>
      <c r="S278" s="109"/>
      <c r="T278" s="109"/>
      <c r="U278" s="109"/>
      <c r="V278" s="109"/>
      <c r="W278" s="677"/>
      <c r="X278" s="1486"/>
      <c r="Y278" s="1486"/>
      <c r="Z278" s="99"/>
      <c r="AA278" s="677"/>
      <c r="AB278" s="1493"/>
      <c r="AC278" s="1494"/>
      <c r="AD278" s="1495"/>
      <c r="AE278" s="1493"/>
      <c r="AF278" s="1494"/>
      <c r="AG278" s="1495"/>
      <c r="AH278" s="1493"/>
      <c r="AI278" s="1494"/>
      <c r="AJ278" s="1495"/>
      <c r="AK278" s="99"/>
      <c r="AL278" s="1489"/>
      <c r="AM278" s="801"/>
      <c r="AN278" s="809"/>
    </row>
    <row r="279" spans="1:40" ht="30" customHeight="1">
      <c r="A279" s="1509" t="s">
        <v>670</v>
      </c>
      <c r="B279" s="233"/>
      <c r="C279" s="234"/>
      <c r="D279" s="235"/>
      <c r="E279" s="235"/>
      <c r="F279" s="235"/>
      <c r="G279" s="235"/>
      <c r="H279" s="236"/>
      <c r="I279" s="810"/>
      <c r="J279" s="810"/>
      <c r="K279" s="811"/>
      <c r="L279" s="812"/>
      <c r="M279" s="813"/>
      <c r="N279" s="814"/>
      <c r="O279" s="91"/>
      <c r="P279" s="815"/>
      <c r="Q279" s="242"/>
      <c r="R279" s="91"/>
      <c r="S279" s="91"/>
      <c r="T279" s="91"/>
      <c r="U279" s="91"/>
      <c r="V279" s="91"/>
      <c r="W279" s="816"/>
      <c r="X279" s="1484" t="str">
        <f>IF(W279="","",IF(SUM(W279:W281)&gt;=PARAMETROS!$G$5,"CUMPLE","NO CUMPLE"))</f>
        <v/>
      </c>
      <c r="Y279" s="1484" t="str">
        <f>IF(W279="","",IF(W279&gt;=PARAMETROS!$I$5,"CUMPLE","NO CUMPLE"))</f>
        <v/>
      </c>
      <c r="Z279" s="81"/>
      <c r="AA279" s="816"/>
      <c r="AB279" s="1499"/>
      <c r="AC279" s="1500"/>
      <c r="AD279" s="1501"/>
      <c r="AE279" s="1499"/>
      <c r="AF279" s="1500"/>
      <c r="AG279" s="1501"/>
      <c r="AH279" s="1499"/>
      <c r="AI279" s="1500"/>
      <c r="AJ279" s="1501"/>
      <c r="AK279" s="81"/>
      <c r="AL279" s="1487"/>
      <c r="AM279" s="795"/>
      <c r="AN279" s="809"/>
    </row>
    <row r="280" spans="1:40" ht="30" customHeight="1">
      <c r="A280" s="1510"/>
      <c r="B280" s="687"/>
      <c r="C280" s="910"/>
      <c r="D280" s="716"/>
      <c r="E280" s="716"/>
      <c r="F280" s="716"/>
      <c r="G280" s="716"/>
      <c r="H280" s="1074"/>
      <c r="X280" s="1485"/>
      <c r="Y280" s="1485"/>
      <c r="AB280" s="1496"/>
      <c r="AC280" s="1497"/>
      <c r="AD280" s="1498"/>
      <c r="AE280" s="1496"/>
      <c r="AF280" s="1497"/>
      <c r="AG280" s="1498"/>
      <c r="AH280" s="1496"/>
      <c r="AI280" s="1497"/>
      <c r="AJ280" s="1498"/>
      <c r="AL280" s="1488"/>
      <c r="AM280" s="796"/>
      <c r="AN280" s="809"/>
    </row>
    <row r="281" spans="1:40" ht="30" customHeight="1">
      <c r="A281" s="1510"/>
      <c r="B281" s="687"/>
      <c r="C281" s="910"/>
      <c r="D281" s="716"/>
      <c r="E281" s="716"/>
      <c r="F281" s="716"/>
      <c r="G281" s="716"/>
      <c r="H281" s="1074"/>
      <c r="X281" s="1485"/>
      <c r="Y281" s="1485"/>
      <c r="AB281" s="1496"/>
      <c r="AC281" s="1497"/>
      <c r="AD281" s="1498"/>
      <c r="AE281" s="1496"/>
      <c r="AF281" s="1497"/>
      <c r="AG281" s="1498"/>
      <c r="AH281" s="1496"/>
      <c r="AI281" s="1497"/>
      <c r="AJ281" s="1498"/>
      <c r="AL281" s="1488"/>
      <c r="AM281" s="796"/>
      <c r="AN281" s="809"/>
    </row>
    <row r="282" spans="1:40" ht="30" customHeight="1">
      <c r="A282" s="1510"/>
      <c r="B282" s="687"/>
      <c r="C282" s="910"/>
      <c r="D282" s="716"/>
      <c r="E282" s="716"/>
      <c r="F282" s="716"/>
      <c r="G282" s="716"/>
      <c r="H282" s="1074"/>
      <c r="X282" s="1485"/>
      <c r="Y282" s="1485"/>
      <c r="AB282" s="1496"/>
      <c r="AC282" s="1497"/>
      <c r="AD282" s="1498"/>
      <c r="AE282" s="1496"/>
      <c r="AF282" s="1497"/>
      <c r="AG282" s="1498"/>
      <c r="AH282" s="1496"/>
      <c r="AI282" s="1497"/>
      <c r="AJ282" s="1498"/>
      <c r="AL282" s="1488"/>
      <c r="AM282" s="796"/>
      <c r="AN282" s="809"/>
    </row>
    <row r="283" spans="1:40" ht="30" customHeight="1">
      <c r="A283" s="1510"/>
      <c r="B283" s="687"/>
      <c r="C283" s="910"/>
      <c r="D283" s="716"/>
      <c r="E283" s="716"/>
      <c r="F283" s="716"/>
      <c r="G283" s="716"/>
      <c r="H283" s="1074"/>
      <c r="X283" s="1485"/>
      <c r="Y283" s="1485"/>
      <c r="AB283" s="1496"/>
      <c r="AC283" s="1497"/>
      <c r="AD283" s="1498"/>
      <c r="AE283" s="1496"/>
      <c r="AF283" s="1497"/>
      <c r="AG283" s="1498"/>
      <c r="AH283" s="1496"/>
      <c r="AI283" s="1497"/>
      <c r="AJ283" s="1498"/>
      <c r="AL283" s="1488"/>
      <c r="AM283" s="796"/>
      <c r="AN283" s="809"/>
    </row>
    <row r="284" spans="1:40" ht="30" customHeight="1" thickBot="1">
      <c r="A284" s="1511"/>
      <c r="B284" s="476"/>
      <c r="C284" s="1075"/>
      <c r="D284" s="718"/>
      <c r="E284" s="718"/>
      <c r="F284" s="718"/>
      <c r="G284" s="718"/>
      <c r="H284" s="719"/>
      <c r="I284" s="817"/>
      <c r="J284" s="817"/>
      <c r="K284" s="818"/>
      <c r="L284" s="819"/>
      <c r="M284" s="820"/>
      <c r="N284" s="821"/>
      <c r="O284" s="109"/>
      <c r="P284" s="822"/>
      <c r="Q284" s="475"/>
      <c r="R284" s="109"/>
      <c r="S284" s="109"/>
      <c r="T284" s="109"/>
      <c r="U284" s="109"/>
      <c r="V284" s="109"/>
      <c r="W284" s="677"/>
      <c r="X284" s="1486"/>
      <c r="Y284" s="1486"/>
      <c r="Z284" s="99"/>
      <c r="AA284" s="677"/>
      <c r="AB284" s="1493"/>
      <c r="AC284" s="1494"/>
      <c r="AD284" s="1495"/>
      <c r="AE284" s="1493"/>
      <c r="AF284" s="1494"/>
      <c r="AG284" s="1495"/>
      <c r="AH284" s="1493"/>
      <c r="AI284" s="1494"/>
      <c r="AJ284" s="1495"/>
      <c r="AK284" s="99"/>
      <c r="AL284" s="1489"/>
      <c r="AM284" s="801"/>
      <c r="AN284" s="809"/>
    </row>
    <row r="285" spans="1:40" ht="30" customHeight="1">
      <c r="A285" s="1509" t="s">
        <v>671</v>
      </c>
      <c r="B285" s="233"/>
      <c r="C285" s="234"/>
      <c r="D285" s="235"/>
      <c r="E285" s="235"/>
      <c r="F285" s="235"/>
      <c r="G285" s="235"/>
      <c r="H285" s="236"/>
      <c r="I285" s="810"/>
      <c r="J285" s="810"/>
      <c r="K285" s="811"/>
      <c r="L285" s="812"/>
      <c r="M285" s="813"/>
      <c r="N285" s="814"/>
      <c r="O285" s="91"/>
      <c r="P285" s="815"/>
      <c r="Q285" s="242"/>
      <c r="R285" s="91"/>
      <c r="S285" s="91"/>
      <c r="T285" s="91"/>
      <c r="U285" s="91"/>
      <c r="V285" s="91"/>
      <c r="W285" s="816"/>
      <c r="X285" s="1484" t="str">
        <f>IF(W285="","",IF(SUM(W285:W287)&gt;=PARAMETROS!$G$5,"CUMPLE","NO CUMPLE"))</f>
        <v/>
      </c>
      <c r="Y285" s="1484" t="str">
        <f>IF(W285="","",IF(W285&gt;=PARAMETROS!$I$5,"CUMPLE","NO CUMPLE"))</f>
        <v/>
      </c>
      <c r="Z285" s="81"/>
      <c r="AA285" s="816"/>
      <c r="AB285" s="1499"/>
      <c r="AC285" s="1500"/>
      <c r="AD285" s="1501"/>
      <c r="AE285" s="1499"/>
      <c r="AF285" s="1500"/>
      <c r="AG285" s="1501"/>
      <c r="AH285" s="1499"/>
      <c r="AI285" s="1500"/>
      <c r="AJ285" s="1501"/>
      <c r="AK285" s="81"/>
      <c r="AL285" s="1487"/>
      <c r="AM285" s="795"/>
      <c r="AN285" s="809"/>
    </row>
    <row r="286" spans="1:40" ht="30" customHeight="1">
      <c r="A286" s="1510"/>
      <c r="B286" s="687"/>
      <c r="C286" s="910"/>
      <c r="D286" s="716"/>
      <c r="E286" s="716"/>
      <c r="F286" s="716"/>
      <c r="G286" s="716"/>
      <c r="H286" s="1074"/>
      <c r="X286" s="1485"/>
      <c r="Y286" s="1485"/>
      <c r="AB286" s="1496"/>
      <c r="AC286" s="1497"/>
      <c r="AD286" s="1498"/>
      <c r="AE286" s="1496"/>
      <c r="AF286" s="1497"/>
      <c r="AG286" s="1498"/>
      <c r="AH286" s="1496"/>
      <c r="AI286" s="1497"/>
      <c r="AJ286" s="1498"/>
      <c r="AL286" s="1488"/>
      <c r="AM286" s="796"/>
      <c r="AN286" s="809"/>
    </row>
    <row r="287" spans="1:40" ht="30" customHeight="1">
      <c r="A287" s="1510"/>
      <c r="B287" s="687"/>
      <c r="C287" s="910"/>
      <c r="D287" s="716"/>
      <c r="E287" s="716"/>
      <c r="F287" s="716"/>
      <c r="G287" s="716"/>
      <c r="H287" s="1074"/>
      <c r="X287" s="1485"/>
      <c r="Y287" s="1485"/>
      <c r="AB287" s="1496"/>
      <c r="AC287" s="1497"/>
      <c r="AD287" s="1498"/>
      <c r="AE287" s="1496"/>
      <c r="AF287" s="1497"/>
      <c r="AG287" s="1498"/>
      <c r="AH287" s="1496"/>
      <c r="AI287" s="1497"/>
      <c r="AJ287" s="1498"/>
      <c r="AL287" s="1488"/>
      <c r="AM287" s="796"/>
      <c r="AN287" s="809"/>
    </row>
    <row r="288" spans="1:40" ht="30" customHeight="1">
      <c r="A288" s="1510"/>
      <c r="B288" s="687"/>
      <c r="C288" s="910"/>
      <c r="D288" s="716"/>
      <c r="E288" s="716"/>
      <c r="F288" s="716"/>
      <c r="G288" s="716"/>
      <c r="H288" s="1074"/>
      <c r="X288" s="1485"/>
      <c r="Y288" s="1485"/>
      <c r="AB288" s="1496"/>
      <c r="AC288" s="1497"/>
      <c r="AD288" s="1498"/>
      <c r="AE288" s="1496"/>
      <c r="AF288" s="1497"/>
      <c r="AG288" s="1498"/>
      <c r="AH288" s="1496"/>
      <c r="AI288" s="1497"/>
      <c r="AJ288" s="1498"/>
      <c r="AL288" s="1488"/>
      <c r="AM288" s="796"/>
      <c r="AN288" s="809"/>
    </row>
    <row r="289" spans="1:40" ht="30" customHeight="1">
      <c r="A289" s="1510"/>
      <c r="B289" s="687"/>
      <c r="C289" s="910"/>
      <c r="D289" s="716"/>
      <c r="E289" s="716"/>
      <c r="F289" s="716"/>
      <c r="G289" s="716"/>
      <c r="H289" s="1074"/>
      <c r="X289" s="1485"/>
      <c r="Y289" s="1485"/>
      <c r="AB289" s="1496"/>
      <c r="AC289" s="1497"/>
      <c r="AD289" s="1498"/>
      <c r="AE289" s="1496"/>
      <c r="AF289" s="1497"/>
      <c r="AG289" s="1498"/>
      <c r="AH289" s="1496"/>
      <c r="AI289" s="1497"/>
      <c r="AJ289" s="1498"/>
      <c r="AL289" s="1488"/>
      <c r="AM289" s="796"/>
      <c r="AN289" s="809"/>
    </row>
    <row r="290" spans="1:40" ht="30" customHeight="1" thickBot="1">
      <c r="A290" s="1511"/>
      <c r="B290" s="476"/>
      <c r="C290" s="1075"/>
      <c r="D290" s="718"/>
      <c r="E290" s="718"/>
      <c r="F290" s="718"/>
      <c r="G290" s="718"/>
      <c r="H290" s="719"/>
      <c r="I290" s="817"/>
      <c r="J290" s="817"/>
      <c r="K290" s="818"/>
      <c r="L290" s="819"/>
      <c r="M290" s="820"/>
      <c r="N290" s="821"/>
      <c r="O290" s="109"/>
      <c r="P290" s="822"/>
      <c r="Q290" s="475"/>
      <c r="R290" s="109"/>
      <c r="S290" s="109"/>
      <c r="T290" s="109"/>
      <c r="U290" s="109"/>
      <c r="V290" s="109"/>
      <c r="W290" s="677"/>
      <c r="X290" s="1486"/>
      <c r="Y290" s="1486"/>
      <c r="Z290" s="99"/>
      <c r="AA290" s="677"/>
      <c r="AB290" s="1493"/>
      <c r="AC290" s="1494"/>
      <c r="AD290" s="1495"/>
      <c r="AE290" s="1493"/>
      <c r="AF290" s="1494"/>
      <c r="AG290" s="1495"/>
      <c r="AH290" s="1493"/>
      <c r="AI290" s="1494"/>
      <c r="AJ290" s="1495"/>
      <c r="AK290" s="99"/>
      <c r="AL290" s="1489"/>
      <c r="AM290" s="801"/>
      <c r="AN290" s="809"/>
    </row>
    <row r="291" spans="1:40" ht="30" customHeight="1">
      <c r="A291" s="1509" t="s">
        <v>672</v>
      </c>
      <c r="B291" s="233"/>
      <c r="C291" s="234"/>
      <c r="D291" s="235"/>
      <c r="E291" s="235"/>
      <c r="F291" s="235"/>
      <c r="G291" s="235"/>
      <c r="H291" s="236"/>
      <c r="I291" s="810"/>
      <c r="J291" s="810"/>
      <c r="K291" s="811"/>
      <c r="L291" s="812"/>
      <c r="M291" s="813"/>
      <c r="N291" s="814"/>
      <c r="O291" s="91"/>
      <c r="P291" s="815"/>
      <c r="Q291" s="242"/>
      <c r="R291" s="91"/>
      <c r="S291" s="91"/>
      <c r="T291" s="91"/>
      <c r="U291" s="91"/>
      <c r="V291" s="91"/>
      <c r="W291" s="816"/>
      <c r="X291" s="1484" t="str">
        <f>IF(W291="","",IF(SUM(W291:W293)&gt;=PARAMETROS!$G$5,"CUMPLE","NO CUMPLE"))</f>
        <v/>
      </c>
      <c r="Y291" s="1484" t="str">
        <f>IF(W291="","",IF(W291&gt;=PARAMETROS!$I$5,"CUMPLE","NO CUMPLE"))</f>
        <v/>
      </c>
      <c r="Z291" s="81"/>
      <c r="AA291" s="816"/>
      <c r="AB291" s="1499"/>
      <c r="AC291" s="1500"/>
      <c r="AD291" s="1501"/>
      <c r="AE291" s="1499"/>
      <c r="AF291" s="1500"/>
      <c r="AG291" s="1501"/>
      <c r="AH291" s="1499"/>
      <c r="AI291" s="1500"/>
      <c r="AJ291" s="1501"/>
      <c r="AK291" s="81"/>
      <c r="AL291" s="1487"/>
      <c r="AM291" s="795"/>
      <c r="AN291" s="809"/>
    </row>
    <row r="292" spans="1:40" ht="30" customHeight="1">
      <c r="A292" s="1510"/>
      <c r="B292" s="687"/>
      <c r="C292" s="910"/>
      <c r="D292" s="716"/>
      <c r="E292" s="716"/>
      <c r="F292" s="716"/>
      <c r="G292" s="716"/>
      <c r="H292" s="1074"/>
      <c r="X292" s="1485"/>
      <c r="Y292" s="1485"/>
      <c r="AB292" s="1496"/>
      <c r="AC292" s="1497"/>
      <c r="AD292" s="1498"/>
      <c r="AE292" s="1496"/>
      <c r="AF292" s="1497"/>
      <c r="AG292" s="1498"/>
      <c r="AH292" s="1496"/>
      <c r="AI292" s="1497"/>
      <c r="AJ292" s="1498"/>
      <c r="AL292" s="1488"/>
      <c r="AM292" s="796"/>
      <c r="AN292" s="809"/>
    </row>
    <row r="293" spans="1:40" ht="30" customHeight="1">
      <c r="A293" s="1510"/>
      <c r="B293" s="687"/>
      <c r="C293" s="910"/>
      <c r="D293" s="716"/>
      <c r="E293" s="716"/>
      <c r="F293" s="716"/>
      <c r="G293" s="716"/>
      <c r="H293" s="1074"/>
      <c r="X293" s="1485"/>
      <c r="Y293" s="1485"/>
      <c r="AB293" s="1496"/>
      <c r="AC293" s="1497"/>
      <c r="AD293" s="1498"/>
      <c r="AE293" s="1496"/>
      <c r="AF293" s="1497"/>
      <c r="AG293" s="1498"/>
      <c r="AH293" s="1496"/>
      <c r="AI293" s="1497"/>
      <c r="AJ293" s="1498"/>
      <c r="AL293" s="1488"/>
      <c r="AM293" s="796"/>
      <c r="AN293" s="809"/>
    </row>
    <row r="294" spans="1:40" ht="30" customHeight="1">
      <c r="A294" s="1510"/>
      <c r="B294" s="687"/>
      <c r="C294" s="910"/>
      <c r="D294" s="716"/>
      <c r="E294" s="716"/>
      <c r="F294" s="716"/>
      <c r="G294" s="716"/>
      <c r="H294" s="1074"/>
      <c r="X294" s="1485"/>
      <c r="Y294" s="1485"/>
      <c r="AB294" s="1496"/>
      <c r="AC294" s="1497"/>
      <c r="AD294" s="1498"/>
      <c r="AE294" s="1496"/>
      <c r="AF294" s="1497"/>
      <c r="AG294" s="1498"/>
      <c r="AH294" s="1496"/>
      <c r="AI294" s="1497"/>
      <c r="AJ294" s="1498"/>
      <c r="AL294" s="1488"/>
      <c r="AM294" s="796"/>
      <c r="AN294" s="809"/>
    </row>
    <row r="295" spans="1:40" ht="30" customHeight="1">
      <c r="A295" s="1510"/>
      <c r="B295" s="687"/>
      <c r="C295" s="910"/>
      <c r="D295" s="716"/>
      <c r="E295" s="716"/>
      <c r="F295" s="716"/>
      <c r="G295" s="716"/>
      <c r="H295" s="1074"/>
      <c r="X295" s="1485"/>
      <c r="Y295" s="1485"/>
      <c r="AB295" s="1496"/>
      <c r="AC295" s="1497"/>
      <c r="AD295" s="1498"/>
      <c r="AE295" s="1496"/>
      <c r="AF295" s="1497"/>
      <c r="AG295" s="1498"/>
      <c r="AH295" s="1496"/>
      <c r="AI295" s="1497"/>
      <c r="AJ295" s="1498"/>
      <c r="AL295" s="1488"/>
      <c r="AM295" s="796"/>
      <c r="AN295" s="809"/>
    </row>
    <row r="296" spans="1:40" ht="30" customHeight="1" thickBot="1">
      <c r="A296" s="1511"/>
      <c r="B296" s="476"/>
      <c r="C296" s="1075"/>
      <c r="D296" s="718"/>
      <c r="E296" s="718"/>
      <c r="F296" s="718"/>
      <c r="G296" s="718"/>
      <c r="H296" s="719"/>
      <c r="I296" s="817"/>
      <c r="J296" s="817"/>
      <c r="K296" s="818"/>
      <c r="L296" s="819"/>
      <c r="M296" s="820"/>
      <c r="N296" s="821"/>
      <c r="O296" s="109"/>
      <c r="P296" s="822"/>
      <c r="Q296" s="475"/>
      <c r="R296" s="109"/>
      <c r="S296" s="109"/>
      <c r="T296" s="109"/>
      <c r="U296" s="109"/>
      <c r="V296" s="109"/>
      <c r="W296" s="677"/>
      <c r="X296" s="1486"/>
      <c r="Y296" s="1486"/>
      <c r="Z296" s="99"/>
      <c r="AA296" s="677"/>
      <c r="AB296" s="1493"/>
      <c r="AC296" s="1494"/>
      <c r="AD296" s="1495"/>
      <c r="AE296" s="1493"/>
      <c r="AF296" s="1494"/>
      <c r="AG296" s="1495"/>
      <c r="AH296" s="1493"/>
      <c r="AI296" s="1494"/>
      <c r="AJ296" s="1495"/>
      <c r="AK296" s="99"/>
      <c r="AL296" s="1489"/>
      <c r="AM296" s="801"/>
      <c r="AN296" s="809"/>
    </row>
    <row r="297" spans="1:40" ht="30" customHeight="1">
      <c r="A297" s="1509" t="s">
        <v>673</v>
      </c>
      <c r="B297" s="233"/>
      <c r="C297" s="234"/>
      <c r="D297" s="235"/>
      <c r="E297" s="235"/>
      <c r="F297" s="235"/>
      <c r="G297" s="235"/>
      <c r="H297" s="236"/>
      <c r="I297" s="810"/>
      <c r="J297" s="810"/>
      <c r="K297" s="811"/>
      <c r="L297" s="812"/>
      <c r="M297" s="813"/>
      <c r="N297" s="814"/>
      <c r="O297" s="91"/>
      <c r="P297" s="815"/>
      <c r="Q297" s="242"/>
      <c r="R297" s="91"/>
      <c r="S297" s="91"/>
      <c r="T297" s="91"/>
      <c r="U297" s="91"/>
      <c r="V297" s="91"/>
      <c r="W297" s="816"/>
      <c r="X297" s="1484" t="str">
        <f>IF(W297="","",IF(SUM(W297:W299)&gt;=PARAMETROS!$G$5,"CUMPLE","NO CUMPLE"))</f>
        <v/>
      </c>
      <c r="Y297" s="1484" t="str">
        <f>IF(W297="","",IF(W297&gt;=PARAMETROS!$I$5,"CUMPLE","NO CUMPLE"))</f>
        <v/>
      </c>
      <c r="Z297" s="81"/>
      <c r="AA297" s="816"/>
      <c r="AB297" s="1499"/>
      <c r="AC297" s="1500"/>
      <c r="AD297" s="1501"/>
      <c r="AE297" s="1499"/>
      <c r="AF297" s="1500"/>
      <c r="AG297" s="1501"/>
      <c r="AH297" s="1499"/>
      <c r="AI297" s="1500"/>
      <c r="AJ297" s="1501"/>
      <c r="AK297" s="81"/>
      <c r="AL297" s="1487"/>
      <c r="AM297" s="795"/>
      <c r="AN297" s="809"/>
    </row>
    <row r="298" spans="1:40" ht="30" customHeight="1">
      <c r="A298" s="1510"/>
      <c r="B298" s="687"/>
      <c r="C298" s="910"/>
      <c r="D298" s="716"/>
      <c r="E298" s="716"/>
      <c r="F298" s="716"/>
      <c r="G298" s="716"/>
      <c r="H298" s="1074"/>
      <c r="X298" s="1485"/>
      <c r="Y298" s="1485"/>
      <c r="AB298" s="1496"/>
      <c r="AC298" s="1497"/>
      <c r="AD298" s="1498"/>
      <c r="AE298" s="1496"/>
      <c r="AF298" s="1497"/>
      <c r="AG298" s="1498"/>
      <c r="AH298" s="1496"/>
      <c r="AI298" s="1497"/>
      <c r="AJ298" s="1498"/>
      <c r="AL298" s="1488"/>
      <c r="AM298" s="796"/>
      <c r="AN298" s="809"/>
    </row>
    <row r="299" spans="1:40" ht="30" customHeight="1">
      <c r="A299" s="1510"/>
      <c r="B299" s="687"/>
      <c r="C299" s="910"/>
      <c r="D299" s="716"/>
      <c r="E299" s="716"/>
      <c r="F299" s="716"/>
      <c r="G299" s="716"/>
      <c r="H299" s="1074"/>
      <c r="X299" s="1485"/>
      <c r="Y299" s="1485"/>
      <c r="AB299" s="1496"/>
      <c r="AC299" s="1497"/>
      <c r="AD299" s="1498"/>
      <c r="AE299" s="1496"/>
      <c r="AF299" s="1497"/>
      <c r="AG299" s="1498"/>
      <c r="AH299" s="1496"/>
      <c r="AI299" s="1497"/>
      <c r="AJ299" s="1498"/>
      <c r="AL299" s="1488"/>
      <c r="AM299" s="796"/>
      <c r="AN299" s="809"/>
    </row>
    <row r="300" spans="1:40" ht="30" customHeight="1">
      <c r="A300" s="1510"/>
      <c r="B300" s="687"/>
      <c r="C300" s="910"/>
      <c r="D300" s="716"/>
      <c r="E300" s="716"/>
      <c r="F300" s="716"/>
      <c r="G300" s="716"/>
      <c r="H300" s="1074"/>
      <c r="X300" s="1485"/>
      <c r="Y300" s="1485"/>
      <c r="AB300" s="1496"/>
      <c r="AC300" s="1497"/>
      <c r="AD300" s="1498"/>
      <c r="AE300" s="1496"/>
      <c r="AF300" s="1497"/>
      <c r="AG300" s="1498"/>
      <c r="AH300" s="1496"/>
      <c r="AI300" s="1497"/>
      <c r="AJ300" s="1498"/>
      <c r="AL300" s="1488"/>
      <c r="AM300" s="796"/>
      <c r="AN300" s="809"/>
    </row>
    <row r="301" spans="1:40" ht="30" customHeight="1">
      <c r="A301" s="1510"/>
      <c r="B301" s="687"/>
      <c r="C301" s="910"/>
      <c r="D301" s="716"/>
      <c r="E301" s="716"/>
      <c r="F301" s="716"/>
      <c r="G301" s="716"/>
      <c r="H301" s="1074"/>
      <c r="X301" s="1485"/>
      <c r="Y301" s="1485"/>
      <c r="AB301" s="1496"/>
      <c r="AC301" s="1497"/>
      <c r="AD301" s="1498"/>
      <c r="AE301" s="1496"/>
      <c r="AF301" s="1497"/>
      <c r="AG301" s="1498"/>
      <c r="AH301" s="1496"/>
      <c r="AI301" s="1497"/>
      <c r="AJ301" s="1498"/>
      <c r="AL301" s="1488"/>
      <c r="AM301" s="796"/>
      <c r="AN301" s="809"/>
    </row>
    <row r="302" spans="1:40" ht="30" customHeight="1" thickBot="1">
      <c r="A302" s="1511"/>
      <c r="B302" s="476"/>
      <c r="C302" s="1075"/>
      <c r="D302" s="718"/>
      <c r="E302" s="718"/>
      <c r="F302" s="718"/>
      <c r="G302" s="718"/>
      <c r="H302" s="719"/>
      <c r="I302" s="817"/>
      <c r="J302" s="817"/>
      <c r="K302" s="818"/>
      <c r="L302" s="819"/>
      <c r="M302" s="820"/>
      <c r="N302" s="821"/>
      <c r="O302" s="109"/>
      <c r="P302" s="822"/>
      <c r="Q302" s="475"/>
      <c r="R302" s="109"/>
      <c r="S302" s="109"/>
      <c r="T302" s="109"/>
      <c r="U302" s="109"/>
      <c r="V302" s="109"/>
      <c r="W302" s="677"/>
      <c r="X302" s="1486"/>
      <c r="Y302" s="1486"/>
      <c r="Z302" s="99"/>
      <c r="AA302" s="677"/>
      <c r="AB302" s="1493"/>
      <c r="AC302" s="1494"/>
      <c r="AD302" s="1495"/>
      <c r="AE302" s="1493"/>
      <c r="AF302" s="1494"/>
      <c r="AG302" s="1495"/>
      <c r="AH302" s="1493"/>
      <c r="AI302" s="1494"/>
      <c r="AJ302" s="1495"/>
      <c r="AK302" s="99"/>
      <c r="AL302" s="1489"/>
      <c r="AM302" s="801"/>
      <c r="AN302" s="809"/>
    </row>
    <row r="303" spans="1:40" ht="30" customHeight="1">
      <c r="A303" s="1509" t="s">
        <v>674</v>
      </c>
      <c r="B303" s="233"/>
      <c r="C303" s="234"/>
      <c r="D303" s="235"/>
      <c r="E303" s="235"/>
      <c r="F303" s="235"/>
      <c r="G303" s="235"/>
      <c r="H303" s="236"/>
      <c r="I303" s="810"/>
      <c r="J303" s="810"/>
      <c r="K303" s="811"/>
      <c r="L303" s="812"/>
      <c r="M303" s="813"/>
      <c r="N303" s="814"/>
      <c r="O303" s="91"/>
      <c r="P303" s="815"/>
      <c r="Q303" s="242"/>
      <c r="R303" s="91"/>
      <c r="S303" s="91"/>
      <c r="T303" s="91"/>
      <c r="U303" s="91"/>
      <c r="V303" s="91"/>
      <c r="W303" s="816"/>
      <c r="X303" s="1484" t="str">
        <f>IF(W303="","",IF(SUM(W303:W305)&gt;=PARAMETROS!$G$5,"CUMPLE","NO CUMPLE"))</f>
        <v/>
      </c>
      <c r="Y303" s="1484" t="str">
        <f>IF(W303="","",IF(W303&gt;=PARAMETROS!$I$5,"CUMPLE","NO CUMPLE"))</f>
        <v/>
      </c>
      <c r="Z303" s="81"/>
      <c r="AA303" s="816"/>
      <c r="AB303" s="1499"/>
      <c r="AC303" s="1500"/>
      <c r="AD303" s="1501"/>
      <c r="AE303" s="1499"/>
      <c r="AF303" s="1500"/>
      <c r="AG303" s="1501"/>
      <c r="AH303" s="1499"/>
      <c r="AI303" s="1500"/>
      <c r="AJ303" s="1501"/>
      <c r="AK303" s="81"/>
      <c r="AL303" s="1487"/>
      <c r="AM303" s="795"/>
      <c r="AN303" s="809"/>
    </row>
    <row r="304" spans="1:40" ht="30" customHeight="1">
      <c r="A304" s="1510"/>
      <c r="B304" s="687"/>
      <c r="C304" s="910"/>
      <c r="D304" s="716"/>
      <c r="E304" s="716"/>
      <c r="F304" s="716"/>
      <c r="G304" s="716"/>
      <c r="H304" s="1074"/>
      <c r="X304" s="1485"/>
      <c r="Y304" s="1485"/>
      <c r="AB304" s="1496"/>
      <c r="AC304" s="1497"/>
      <c r="AD304" s="1498"/>
      <c r="AE304" s="1496"/>
      <c r="AF304" s="1497"/>
      <c r="AG304" s="1498"/>
      <c r="AH304" s="1496"/>
      <c r="AI304" s="1497"/>
      <c r="AJ304" s="1498"/>
      <c r="AL304" s="1488"/>
      <c r="AM304" s="796"/>
      <c r="AN304" s="809"/>
    </row>
    <row r="305" spans="1:40" ht="30" customHeight="1">
      <c r="A305" s="1510"/>
      <c r="B305" s="687"/>
      <c r="C305" s="910"/>
      <c r="D305" s="716"/>
      <c r="E305" s="716"/>
      <c r="F305" s="716"/>
      <c r="G305" s="716"/>
      <c r="H305" s="1074"/>
      <c r="X305" s="1485"/>
      <c r="Y305" s="1485"/>
      <c r="AB305" s="1496"/>
      <c r="AC305" s="1497"/>
      <c r="AD305" s="1498"/>
      <c r="AE305" s="1496"/>
      <c r="AF305" s="1497"/>
      <c r="AG305" s="1498"/>
      <c r="AH305" s="1496"/>
      <c r="AI305" s="1497"/>
      <c r="AJ305" s="1498"/>
      <c r="AL305" s="1488"/>
      <c r="AM305" s="796"/>
      <c r="AN305" s="809"/>
    </row>
    <row r="306" spans="1:40" ht="30" customHeight="1">
      <c r="A306" s="1510"/>
      <c r="B306" s="687"/>
      <c r="C306" s="910"/>
      <c r="D306" s="716"/>
      <c r="E306" s="716"/>
      <c r="F306" s="716"/>
      <c r="G306" s="716"/>
      <c r="H306" s="1074"/>
      <c r="X306" s="1485"/>
      <c r="Y306" s="1485"/>
      <c r="AB306" s="1496"/>
      <c r="AC306" s="1497"/>
      <c r="AD306" s="1498"/>
      <c r="AE306" s="1496"/>
      <c r="AF306" s="1497"/>
      <c r="AG306" s="1498"/>
      <c r="AH306" s="1496"/>
      <c r="AI306" s="1497"/>
      <c r="AJ306" s="1498"/>
      <c r="AL306" s="1488"/>
      <c r="AM306" s="796"/>
      <c r="AN306" s="809"/>
    </row>
    <row r="307" spans="1:40" ht="30" customHeight="1">
      <c r="A307" s="1510"/>
      <c r="B307" s="687"/>
      <c r="C307" s="910"/>
      <c r="D307" s="716"/>
      <c r="E307" s="716"/>
      <c r="F307" s="716"/>
      <c r="G307" s="716"/>
      <c r="H307" s="1074"/>
      <c r="X307" s="1485"/>
      <c r="Y307" s="1485"/>
      <c r="AB307" s="1496"/>
      <c r="AC307" s="1497"/>
      <c r="AD307" s="1498"/>
      <c r="AE307" s="1496"/>
      <c r="AF307" s="1497"/>
      <c r="AG307" s="1498"/>
      <c r="AH307" s="1496"/>
      <c r="AI307" s="1497"/>
      <c r="AJ307" s="1498"/>
      <c r="AL307" s="1488"/>
      <c r="AM307" s="796"/>
      <c r="AN307" s="809"/>
    </row>
    <row r="308" spans="1:40" ht="30" customHeight="1" thickBot="1">
      <c r="A308" s="1511"/>
      <c r="B308" s="476"/>
      <c r="C308" s="1075"/>
      <c r="D308" s="718"/>
      <c r="E308" s="718"/>
      <c r="F308" s="718"/>
      <c r="G308" s="718"/>
      <c r="H308" s="719"/>
      <c r="I308" s="817"/>
      <c r="J308" s="817"/>
      <c r="K308" s="818"/>
      <c r="L308" s="819"/>
      <c r="M308" s="820"/>
      <c r="N308" s="821"/>
      <c r="O308" s="109"/>
      <c r="P308" s="822"/>
      <c r="Q308" s="475"/>
      <c r="R308" s="109"/>
      <c r="S308" s="109"/>
      <c r="T308" s="109"/>
      <c r="U308" s="109"/>
      <c r="V308" s="109"/>
      <c r="W308" s="677"/>
      <c r="X308" s="1486"/>
      <c r="Y308" s="1486"/>
      <c r="Z308" s="99"/>
      <c r="AA308" s="677"/>
      <c r="AB308" s="1493"/>
      <c r="AC308" s="1494"/>
      <c r="AD308" s="1495"/>
      <c r="AE308" s="1493"/>
      <c r="AF308" s="1494"/>
      <c r="AG308" s="1495"/>
      <c r="AH308" s="1493"/>
      <c r="AI308" s="1494"/>
      <c r="AJ308" s="1495"/>
      <c r="AK308" s="99"/>
      <c r="AL308" s="1489"/>
      <c r="AM308" s="801"/>
      <c r="AN308" s="809"/>
    </row>
    <row r="309" spans="1:40" ht="30" customHeight="1">
      <c r="A309" s="1509" t="s">
        <v>675</v>
      </c>
      <c r="B309" s="233"/>
      <c r="C309" s="234"/>
      <c r="D309" s="235"/>
      <c r="E309" s="235"/>
      <c r="F309" s="235"/>
      <c r="G309" s="235"/>
      <c r="H309" s="236"/>
      <c r="I309" s="810"/>
      <c r="J309" s="810"/>
      <c r="K309" s="811"/>
      <c r="L309" s="812"/>
      <c r="M309" s="813"/>
      <c r="N309" s="814"/>
      <c r="O309" s="91"/>
      <c r="P309" s="815"/>
      <c r="Q309" s="242"/>
      <c r="R309" s="91"/>
      <c r="S309" s="91"/>
      <c r="T309" s="91"/>
      <c r="U309" s="91"/>
      <c r="V309" s="91"/>
      <c r="W309" s="816"/>
      <c r="X309" s="1484" t="str">
        <f>IF(W309="","",IF(SUM(W309:W311)&gt;=PARAMETROS!$G$5,"CUMPLE","NO CUMPLE"))</f>
        <v/>
      </c>
      <c r="Y309" s="1484" t="str">
        <f>IF(W309="","",IF(W309&gt;=PARAMETROS!$I$5,"CUMPLE","NO CUMPLE"))</f>
        <v/>
      </c>
      <c r="Z309" s="81"/>
      <c r="AA309" s="816"/>
      <c r="AB309" s="1499"/>
      <c r="AC309" s="1500"/>
      <c r="AD309" s="1501"/>
      <c r="AE309" s="1499"/>
      <c r="AF309" s="1500"/>
      <c r="AG309" s="1501"/>
      <c r="AH309" s="1499"/>
      <c r="AI309" s="1500"/>
      <c r="AJ309" s="1501"/>
      <c r="AK309" s="81"/>
      <c r="AL309" s="1487"/>
      <c r="AM309" s="795"/>
      <c r="AN309" s="809"/>
    </row>
    <row r="310" spans="1:40" ht="30" customHeight="1">
      <c r="A310" s="1510"/>
      <c r="B310" s="687"/>
      <c r="C310" s="910"/>
      <c r="D310" s="716"/>
      <c r="E310" s="716"/>
      <c r="F310" s="716"/>
      <c r="G310" s="716"/>
      <c r="H310" s="1074"/>
      <c r="X310" s="1485"/>
      <c r="Y310" s="1485"/>
      <c r="AB310" s="1496"/>
      <c r="AC310" s="1497"/>
      <c r="AD310" s="1498"/>
      <c r="AE310" s="1496"/>
      <c r="AF310" s="1497"/>
      <c r="AG310" s="1498"/>
      <c r="AH310" s="1496"/>
      <c r="AI310" s="1497"/>
      <c r="AJ310" s="1498"/>
      <c r="AL310" s="1488"/>
      <c r="AM310" s="796"/>
      <c r="AN310" s="809"/>
    </row>
    <row r="311" spans="1:40" ht="30" customHeight="1">
      <c r="A311" s="1510"/>
      <c r="X311" s="1485"/>
      <c r="Y311" s="1485"/>
      <c r="AB311" s="1496"/>
      <c r="AC311" s="1497"/>
      <c r="AD311" s="1498"/>
      <c r="AE311" s="1496"/>
      <c r="AF311" s="1497"/>
      <c r="AG311" s="1498"/>
      <c r="AH311" s="1496"/>
      <c r="AI311" s="1497"/>
      <c r="AJ311" s="1498"/>
      <c r="AL311" s="1488"/>
      <c r="AM311" s="796"/>
      <c r="AN311" s="809"/>
    </row>
    <row r="312" spans="1:40" ht="30" customHeight="1">
      <c r="A312" s="1510"/>
      <c r="X312" s="1485"/>
      <c r="Y312" s="1485"/>
      <c r="AB312" s="1496"/>
      <c r="AC312" s="1497"/>
      <c r="AD312" s="1498"/>
      <c r="AE312" s="1496"/>
      <c r="AF312" s="1497"/>
      <c r="AG312" s="1498"/>
      <c r="AH312" s="1496"/>
      <c r="AI312" s="1497"/>
      <c r="AJ312" s="1498"/>
      <c r="AL312" s="1488"/>
      <c r="AM312" s="796"/>
      <c r="AN312" s="809"/>
    </row>
    <row r="313" spans="1:40" ht="30" customHeight="1">
      <c r="A313" s="1510"/>
      <c r="X313" s="1485"/>
      <c r="Y313" s="1485"/>
      <c r="AB313" s="1496"/>
      <c r="AC313" s="1497"/>
      <c r="AD313" s="1498"/>
      <c r="AE313" s="1496"/>
      <c r="AF313" s="1497"/>
      <c r="AG313" s="1498"/>
      <c r="AH313" s="1496"/>
      <c r="AI313" s="1497"/>
      <c r="AJ313" s="1498"/>
      <c r="AL313" s="1488"/>
      <c r="AM313" s="796"/>
      <c r="AN313" s="809"/>
    </row>
    <row r="314" spans="1:40" ht="30" customHeight="1" thickBot="1">
      <c r="A314" s="1511"/>
      <c r="B314" s="797"/>
      <c r="C314" s="798"/>
      <c r="D314" s="800"/>
      <c r="E314" s="800"/>
      <c r="F314" s="800"/>
      <c r="G314" s="800"/>
      <c r="H314" s="817"/>
      <c r="I314" s="817"/>
      <c r="J314" s="817"/>
      <c r="K314" s="818"/>
      <c r="L314" s="819"/>
      <c r="M314" s="820"/>
      <c r="N314" s="821"/>
      <c r="O314" s="109"/>
      <c r="P314" s="822"/>
      <c r="Q314" s="475"/>
      <c r="R314" s="109"/>
      <c r="S314" s="109"/>
      <c r="T314" s="109"/>
      <c r="U314" s="109"/>
      <c r="V314" s="109"/>
      <c r="W314" s="677"/>
      <c r="X314" s="1486"/>
      <c r="Y314" s="1486"/>
      <c r="Z314" s="99"/>
      <c r="AA314" s="677"/>
      <c r="AB314" s="1493"/>
      <c r="AC314" s="1494"/>
      <c r="AD314" s="1495"/>
      <c r="AE314" s="1493"/>
      <c r="AF314" s="1494"/>
      <c r="AG314" s="1495"/>
      <c r="AH314" s="1493"/>
      <c r="AI314" s="1494"/>
      <c r="AJ314" s="1495"/>
      <c r="AK314" s="99"/>
      <c r="AL314" s="1489"/>
      <c r="AM314" s="801"/>
      <c r="AN314" s="809"/>
    </row>
    <row r="315" spans="1:40" ht="30" customHeight="1">
      <c r="A315" s="1509" t="s">
        <v>676</v>
      </c>
      <c r="B315" s="792"/>
      <c r="C315" s="793"/>
      <c r="D315" s="794"/>
      <c r="E315" s="794"/>
      <c r="F315" s="794"/>
      <c r="G315" s="794"/>
      <c r="H315" s="810"/>
      <c r="I315" s="810"/>
      <c r="J315" s="810"/>
      <c r="K315" s="811"/>
      <c r="L315" s="812"/>
      <c r="M315" s="813"/>
      <c r="N315" s="814"/>
      <c r="O315" s="91"/>
      <c r="P315" s="815"/>
      <c r="Q315" s="242"/>
      <c r="R315" s="91"/>
      <c r="S315" s="91"/>
      <c r="T315" s="91"/>
      <c r="U315" s="91"/>
      <c r="V315" s="91"/>
      <c r="W315" s="816"/>
      <c r="X315" s="1484" t="str">
        <f>IF(W315="","",IF(SUM(W315:W317)&gt;=PARAMETROS!$G$5,"CUMPLE","NO CUMPLE"))</f>
        <v/>
      </c>
      <c r="Y315" s="1484" t="str">
        <f>IF(W315="","",IF(W315&gt;=PARAMETROS!$I$5,"CUMPLE","NO CUMPLE"))</f>
        <v/>
      </c>
      <c r="Z315" s="81"/>
      <c r="AA315" s="816"/>
      <c r="AB315" s="1499"/>
      <c r="AC315" s="1500"/>
      <c r="AD315" s="1501"/>
      <c r="AE315" s="1499"/>
      <c r="AF315" s="1500"/>
      <c r="AG315" s="1501"/>
      <c r="AH315" s="1499"/>
      <c r="AI315" s="1500"/>
      <c r="AJ315" s="1501"/>
      <c r="AK315" s="81"/>
      <c r="AL315" s="1487"/>
      <c r="AM315" s="795"/>
      <c r="AN315" s="809"/>
    </row>
    <row r="316" spans="1:40" ht="30" customHeight="1">
      <c r="A316" s="1510"/>
      <c r="X316" s="1485"/>
      <c r="Y316" s="1485"/>
      <c r="AB316" s="1496"/>
      <c r="AC316" s="1497"/>
      <c r="AD316" s="1498"/>
      <c r="AE316" s="1496"/>
      <c r="AF316" s="1497"/>
      <c r="AG316" s="1498"/>
      <c r="AH316" s="1496"/>
      <c r="AI316" s="1497"/>
      <c r="AJ316" s="1498"/>
      <c r="AL316" s="1488"/>
      <c r="AM316" s="796"/>
      <c r="AN316" s="809"/>
    </row>
    <row r="317" spans="1:40" ht="30" customHeight="1">
      <c r="A317" s="1510"/>
      <c r="X317" s="1485"/>
      <c r="Y317" s="1485"/>
      <c r="AB317" s="1496"/>
      <c r="AC317" s="1497"/>
      <c r="AD317" s="1498"/>
      <c r="AE317" s="1496"/>
      <c r="AF317" s="1497"/>
      <c r="AG317" s="1498"/>
      <c r="AH317" s="1496"/>
      <c r="AI317" s="1497"/>
      <c r="AJ317" s="1498"/>
      <c r="AL317" s="1488"/>
      <c r="AM317" s="796"/>
      <c r="AN317" s="809"/>
    </row>
    <row r="318" spans="1:40" ht="30" customHeight="1">
      <c r="A318" s="1510"/>
      <c r="X318" s="1485"/>
      <c r="Y318" s="1485"/>
      <c r="AB318" s="1496"/>
      <c r="AC318" s="1497"/>
      <c r="AD318" s="1498"/>
      <c r="AE318" s="1496"/>
      <c r="AF318" s="1497"/>
      <c r="AG318" s="1498"/>
      <c r="AH318" s="1496"/>
      <c r="AI318" s="1497"/>
      <c r="AJ318" s="1498"/>
      <c r="AL318" s="1488"/>
      <c r="AM318" s="796"/>
      <c r="AN318" s="809"/>
    </row>
    <row r="319" spans="1:40" ht="30" customHeight="1">
      <c r="A319" s="1510"/>
      <c r="X319" s="1485"/>
      <c r="Y319" s="1485"/>
      <c r="AB319" s="1496"/>
      <c r="AC319" s="1497"/>
      <c r="AD319" s="1498"/>
      <c r="AE319" s="1496"/>
      <c r="AF319" s="1497"/>
      <c r="AG319" s="1498"/>
      <c r="AH319" s="1496"/>
      <c r="AI319" s="1497"/>
      <c r="AJ319" s="1498"/>
      <c r="AL319" s="1488"/>
      <c r="AM319" s="796"/>
      <c r="AN319" s="809"/>
    </row>
    <row r="320" spans="1:40" ht="30" customHeight="1" thickBot="1">
      <c r="A320" s="1511"/>
      <c r="B320" s="797"/>
      <c r="C320" s="798"/>
      <c r="D320" s="800"/>
      <c r="E320" s="800"/>
      <c r="F320" s="800"/>
      <c r="G320" s="800"/>
      <c r="H320" s="817"/>
      <c r="I320" s="817"/>
      <c r="J320" s="817"/>
      <c r="K320" s="818"/>
      <c r="L320" s="819"/>
      <c r="M320" s="820"/>
      <c r="N320" s="821"/>
      <c r="O320" s="109"/>
      <c r="P320" s="822"/>
      <c r="Q320" s="475"/>
      <c r="R320" s="109"/>
      <c r="S320" s="109"/>
      <c r="T320" s="109"/>
      <c r="U320" s="109"/>
      <c r="V320" s="109"/>
      <c r="W320" s="677"/>
      <c r="X320" s="1486"/>
      <c r="Y320" s="1486"/>
      <c r="Z320" s="99"/>
      <c r="AA320" s="677"/>
      <c r="AB320" s="1493"/>
      <c r="AC320" s="1494"/>
      <c r="AD320" s="1495"/>
      <c r="AE320" s="1493"/>
      <c r="AF320" s="1494"/>
      <c r="AG320" s="1495"/>
      <c r="AH320" s="1493"/>
      <c r="AI320" s="1494"/>
      <c r="AJ320" s="1495"/>
      <c r="AK320" s="99"/>
      <c r="AL320" s="1489"/>
      <c r="AM320" s="801"/>
      <c r="AN320" s="809"/>
    </row>
    <row r="321" spans="1:40" ht="30" customHeight="1">
      <c r="A321" s="1509" t="s">
        <v>677</v>
      </c>
      <c r="B321" s="792"/>
      <c r="C321" s="793"/>
      <c r="D321" s="794"/>
      <c r="E321" s="794"/>
      <c r="F321" s="794"/>
      <c r="G321" s="794"/>
      <c r="H321" s="810"/>
      <c r="I321" s="810"/>
      <c r="J321" s="810"/>
      <c r="K321" s="811"/>
      <c r="L321" s="812"/>
      <c r="M321" s="813"/>
      <c r="N321" s="814"/>
      <c r="O321" s="91"/>
      <c r="P321" s="815"/>
      <c r="Q321" s="242"/>
      <c r="R321" s="91"/>
      <c r="S321" s="91"/>
      <c r="T321" s="91"/>
      <c r="U321" s="91"/>
      <c r="V321" s="91"/>
      <c r="W321" s="816"/>
      <c r="X321" s="1484" t="str">
        <f>IF(W321="","",IF(SUM(W321:W323)&gt;=PARAMETROS!$G$5,"CUMPLE","NO CUMPLE"))</f>
        <v/>
      </c>
      <c r="Y321" s="1484" t="str">
        <f>IF(W321="","",IF(W321&gt;=PARAMETROS!$I$5,"CUMPLE","NO CUMPLE"))</f>
        <v/>
      </c>
      <c r="Z321" s="81"/>
      <c r="AA321" s="816"/>
      <c r="AB321" s="1499"/>
      <c r="AC321" s="1500"/>
      <c r="AD321" s="1501"/>
      <c r="AE321" s="1499"/>
      <c r="AF321" s="1500"/>
      <c r="AG321" s="1501"/>
      <c r="AH321" s="1499"/>
      <c r="AI321" s="1500"/>
      <c r="AJ321" s="1501"/>
      <c r="AK321" s="81"/>
      <c r="AL321" s="1487"/>
      <c r="AM321" s="795"/>
      <c r="AN321" s="809"/>
    </row>
    <row r="322" spans="1:40" ht="30" customHeight="1">
      <c r="A322" s="1510"/>
      <c r="X322" s="1485"/>
      <c r="Y322" s="1485"/>
      <c r="AB322" s="1496"/>
      <c r="AC322" s="1497"/>
      <c r="AD322" s="1498"/>
      <c r="AE322" s="1496"/>
      <c r="AF322" s="1497"/>
      <c r="AG322" s="1498"/>
      <c r="AH322" s="1496"/>
      <c r="AI322" s="1497"/>
      <c r="AJ322" s="1498"/>
      <c r="AL322" s="1488"/>
      <c r="AM322" s="796"/>
      <c r="AN322" s="809"/>
    </row>
    <row r="323" spans="1:40" ht="30" customHeight="1">
      <c r="A323" s="1510"/>
      <c r="X323" s="1485"/>
      <c r="Y323" s="1485"/>
      <c r="AB323" s="1496"/>
      <c r="AC323" s="1497"/>
      <c r="AD323" s="1498"/>
      <c r="AE323" s="1496"/>
      <c r="AF323" s="1497"/>
      <c r="AG323" s="1498"/>
      <c r="AH323" s="1496"/>
      <c r="AI323" s="1497"/>
      <c r="AJ323" s="1498"/>
      <c r="AL323" s="1488"/>
      <c r="AM323" s="796"/>
      <c r="AN323" s="809"/>
    </row>
    <row r="324" spans="1:40" ht="30" customHeight="1">
      <c r="A324" s="1510"/>
      <c r="X324" s="1485"/>
      <c r="Y324" s="1485"/>
      <c r="AB324" s="1496"/>
      <c r="AC324" s="1497"/>
      <c r="AD324" s="1498"/>
      <c r="AE324" s="1496"/>
      <c r="AF324" s="1497"/>
      <c r="AG324" s="1498"/>
      <c r="AH324" s="1496"/>
      <c r="AI324" s="1497"/>
      <c r="AJ324" s="1498"/>
      <c r="AL324" s="1488"/>
      <c r="AM324" s="796"/>
      <c r="AN324" s="809"/>
    </row>
    <row r="325" spans="1:40" ht="30" customHeight="1">
      <c r="A325" s="1510"/>
      <c r="X325" s="1485"/>
      <c r="Y325" s="1485"/>
      <c r="AB325" s="1496"/>
      <c r="AC325" s="1497"/>
      <c r="AD325" s="1498"/>
      <c r="AE325" s="1496"/>
      <c r="AF325" s="1497"/>
      <c r="AG325" s="1498"/>
      <c r="AH325" s="1496"/>
      <c r="AI325" s="1497"/>
      <c r="AJ325" s="1498"/>
      <c r="AL325" s="1488"/>
      <c r="AM325" s="796"/>
      <c r="AN325" s="809"/>
    </row>
    <row r="326" spans="1:40" ht="30" customHeight="1" thickBot="1">
      <c r="A326" s="1511"/>
      <c r="B326" s="797"/>
      <c r="C326" s="798"/>
      <c r="D326" s="800"/>
      <c r="E326" s="800"/>
      <c r="F326" s="800"/>
      <c r="G326" s="800"/>
      <c r="H326" s="817"/>
      <c r="I326" s="817"/>
      <c r="J326" s="817"/>
      <c r="K326" s="818"/>
      <c r="L326" s="819"/>
      <c r="M326" s="820"/>
      <c r="N326" s="821"/>
      <c r="O326" s="109"/>
      <c r="P326" s="822"/>
      <c r="Q326" s="475"/>
      <c r="R326" s="109"/>
      <c r="S326" s="109"/>
      <c r="T326" s="109"/>
      <c r="U326" s="109"/>
      <c r="V326" s="109"/>
      <c r="W326" s="677"/>
      <c r="X326" s="1486"/>
      <c r="Y326" s="1486"/>
      <c r="Z326" s="99"/>
      <c r="AA326" s="677"/>
      <c r="AB326" s="1493"/>
      <c r="AC326" s="1494"/>
      <c r="AD326" s="1495"/>
      <c r="AE326" s="1493"/>
      <c r="AF326" s="1494"/>
      <c r="AG326" s="1495"/>
      <c r="AH326" s="1493"/>
      <c r="AI326" s="1494"/>
      <c r="AJ326" s="1495"/>
      <c r="AK326" s="99"/>
      <c r="AL326" s="1489"/>
      <c r="AM326" s="801"/>
      <c r="AN326" s="809"/>
    </row>
    <row r="327" spans="1:40" ht="30" customHeight="1">
      <c r="A327" s="1509" t="s">
        <v>678</v>
      </c>
      <c r="B327" s="792"/>
      <c r="C327" s="793"/>
      <c r="D327" s="794"/>
      <c r="E327" s="794"/>
      <c r="F327" s="794"/>
      <c r="G327" s="794"/>
      <c r="H327" s="810"/>
      <c r="I327" s="810"/>
      <c r="J327" s="810"/>
      <c r="K327" s="811"/>
      <c r="L327" s="812"/>
      <c r="M327" s="813"/>
      <c r="N327" s="814"/>
      <c r="O327" s="91"/>
      <c r="P327" s="815"/>
      <c r="Q327" s="242"/>
      <c r="R327" s="91"/>
      <c r="S327" s="91"/>
      <c r="T327" s="91"/>
      <c r="U327" s="91"/>
      <c r="V327" s="91"/>
      <c r="W327" s="816"/>
      <c r="X327" s="1484" t="str">
        <f>IF(W327="","",IF(SUM(W327:W329)&gt;=PARAMETROS!$G$5,"CUMPLE","NO CUMPLE"))</f>
        <v/>
      </c>
      <c r="Y327" s="1484" t="str">
        <f>IF(W327="","",IF(W327&gt;=PARAMETROS!$I$5,"CUMPLE","NO CUMPLE"))</f>
        <v/>
      </c>
      <c r="Z327" s="81"/>
      <c r="AA327" s="816"/>
      <c r="AB327" s="1499"/>
      <c r="AC327" s="1500"/>
      <c r="AD327" s="1501"/>
      <c r="AE327" s="1499"/>
      <c r="AF327" s="1500"/>
      <c r="AG327" s="1501"/>
      <c r="AH327" s="1499"/>
      <c r="AI327" s="1500"/>
      <c r="AJ327" s="1501"/>
      <c r="AK327" s="81"/>
      <c r="AL327" s="1487"/>
      <c r="AM327" s="795"/>
      <c r="AN327" s="809"/>
    </row>
    <row r="328" spans="1:40" ht="30" customHeight="1">
      <c r="A328" s="1510"/>
      <c r="X328" s="1485"/>
      <c r="Y328" s="1485"/>
      <c r="AB328" s="1496"/>
      <c r="AC328" s="1497"/>
      <c r="AD328" s="1498"/>
      <c r="AE328" s="1496"/>
      <c r="AF328" s="1497"/>
      <c r="AG328" s="1498"/>
      <c r="AH328" s="1496"/>
      <c r="AI328" s="1497"/>
      <c r="AJ328" s="1498"/>
      <c r="AL328" s="1488"/>
      <c r="AM328" s="796"/>
      <c r="AN328" s="809"/>
    </row>
    <row r="329" spans="1:40" ht="30" customHeight="1">
      <c r="A329" s="1510"/>
      <c r="X329" s="1485"/>
      <c r="Y329" s="1485"/>
      <c r="AB329" s="1496"/>
      <c r="AC329" s="1497"/>
      <c r="AD329" s="1498"/>
      <c r="AE329" s="1496"/>
      <c r="AF329" s="1497"/>
      <c r="AG329" s="1498"/>
      <c r="AH329" s="1496"/>
      <c r="AI329" s="1497"/>
      <c r="AJ329" s="1498"/>
      <c r="AL329" s="1488"/>
      <c r="AM329" s="796"/>
      <c r="AN329" s="809"/>
    </row>
    <row r="330" spans="1:40" ht="30" customHeight="1">
      <c r="A330" s="1510"/>
      <c r="X330" s="1485"/>
      <c r="Y330" s="1485"/>
      <c r="AB330" s="1496"/>
      <c r="AC330" s="1497"/>
      <c r="AD330" s="1498"/>
      <c r="AE330" s="1496"/>
      <c r="AF330" s="1497"/>
      <c r="AG330" s="1498"/>
      <c r="AH330" s="1496"/>
      <c r="AI330" s="1497"/>
      <c r="AJ330" s="1498"/>
      <c r="AL330" s="1488"/>
      <c r="AM330" s="796"/>
      <c r="AN330" s="809"/>
    </row>
    <row r="331" spans="1:40" ht="30" customHeight="1">
      <c r="A331" s="1510"/>
      <c r="X331" s="1485"/>
      <c r="Y331" s="1485"/>
      <c r="AB331" s="1496"/>
      <c r="AC331" s="1497"/>
      <c r="AD331" s="1498"/>
      <c r="AE331" s="1496"/>
      <c r="AF331" s="1497"/>
      <c r="AG331" s="1498"/>
      <c r="AH331" s="1496"/>
      <c r="AI331" s="1497"/>
      <c r="AJ331" s="1498"/>
      <c r="AL331" s="1488"/>
      <c r="AM331" s="796"/>
      <c r="AN331" s="809"/>
    </row>
    <row r="332" spans="1:40" ht="30" customHeight="1" thickBot="1">
      <c r="A332" s="1511"/>
      <c r="B332" s="797"/>
      <c r="C332" s="798"/>
      <c r="D332" s="800"/>
      <c r="E332" s="800"/>
      <c r="F332" s="800"/>
      <c r="G332" s="800"/>
      <c r="H332" s="817"/>
      <c r="I332" s="817"/>
      <c r="J332" s="817"/>
      <c r="K332" s="818"/>
      <c r="L332" s="819"/>
      <c r="M332" s="820"/>
      <c r="N332" s="821"/>
      <c r="O332" s="109"/>
      <c r="P332" s="822"/>
      <c r="Q332" s="475"/>
      <c r="R332" s="109"/>
      <c r="S332" s="109"/>
      <c r="T332" s="109"/>
      <c r="U332" s="109"/>
      <c r="V332" s="109"/>
      <c r="W332" s="677"/>
      <c r="X332" s="1486"/>
      <c r="Y332" s="1486"/>
      <c r="Z332" s="99"/>
      <c r="AA332" s="677"/>
      <c r="AB332" s="1493"/>
      <c r="AC332" s="1494"/>
      <c r="AD332" s="1495"/>
      <c r="AE332" s="1493"/>
      <c r="AF332" s="1494"/>
      <c r="AG332" s="1495"/>
      <c r="AH332" s="1493"/>
      <c r="AI332" s="1494"/>
      <c r="AJ332" s="1495"/>
      <c r="AK332" s="99"/>
      <c r="AL332" s="1489"/>
      <c r="AM332" s="801"/>
      <c r="AN332" s="809"/>
    </row>
    <row r="333" spans="1:40">
      <c r="A333" s="788"/>
      <c r="B333" s="788"/>
      <c r="C333" s="789"/>
      <c r="D333" s="790"/>
      <c r="E333" s="790"/>
      <c r="F333" s="790"/>
      <c r="G333" s="790"/>
      <c r="H333" s="802"/>
      <c r="I333" s="802"/>
      <c r="J333" s="802"/>
      <c r="K333" s="803"/>
      <c r="L333" s="804"/>
      <c r="M333" s="805"/>
      <c r="N333" s="806"/>
      <c r="O333" s="77"/>
      <c r="P333" s="807"/>
      <c r="Q333" s="1343"/>
      <c r="R333" s="77"/>
      <c r="S333" s="77"/>
      <c r="T333" s="77"/>
      <c r="U333" s="77"/>
      <c r="V333" s="77"/>
      <c r="W333" s="808"/>
      <c r="X333" s="68"/>
      <c r="Y333" s="68"/>
      <c r="Z333" s="68"/>
      <c r="AA333" s="808"/>
      <c r="AB333" s="788"/>
      <c r="AC333" s="823"/>
      <c r="AD333" s="823"/>
      <c r="AE333" s="788"/>
      <c r="AF333" s="823"/>
      <c r="AG333" s="823"/>
      <c r="AH333" s="823"/>
      <c r="AI333" s="823"/>
      <c r="AJ333" s="823"/>
      <c r="AK333" s="68"/>
      <c r="AL333" s="202"/>
      <c r="AM333" s="790"/>
    </row>
  </sheetData>
  <autoFilter ref="A1:AM23"/>
  <dataConsolidate/>
  <mergeCells count="1248">
    <mergeCell ref="J1:J2"/>
    <mergeCell ref="N1:N2"/>
    <mergeCell ref="O1:O2"/>
    <mergeCell ref="P1:P2"/>
    <mergeCell ref="Q1:Q2"/>
    <mergeCell ref="AB4:AD4"/>
    <mergeCell ref="AL1:AL2"/>
    <mergeCell ref="AL3:AL8"/>
    <mergeCell ref="AM1:AM2"/>
    <mergeCell ref="U1:U2"/>
    <mergeCell ref="V1:V2"/>
    <mergeCell ref="W1:W2"/>
    <mergeCell ref="AB1:AD1"/>
    <mergeCell ref="AE1:AG1"/>
    <mergeCell ref="AA1:AA2"/>
    <mergeCell ref="Z1:Z2"/>
    <mergeCell ref="X1:X2"/>
    <mergeCell ref="Y1:Y2"/>
    <mergeCell ref="AB7:AD7"/>
    <mergeCell ref="AE7:AG7"/>
    <mergeCell ref="AH7:AJ7"/>
    <mergeCell ref="S1:S2"/>
    <mergeCell ref="AH1:AJ1"/>
    <mergeCell ref="AK1:AK2"/>
    <mergeCell ref="AB8:AD8"/>
    <mergeCell ref="AE8:AG8"/>
    <mergeCell ref="AH8:AJ8"/>
    <mergeCell ref="A1:A2"/>
    <mergeCell ref="B1:B2"/>
    <mergeCell ref="D1:D2"/>
    <mergeCell ref="E1:E2"/>
    <mergeCell ref="H1:H2"/>
    <mergeCell ref="C1:C2"/>
    <mergeCell ref="Y3:Y8"/>
    <mergeCell ref="AE9:AG9"/>
    <mergeCell ref="AH9:AJ9"/>
    <mergeCell ref="AE10:AG10"/>
    <mergeCell ref="AH10:AJ10"/>
    <mergeCell ref="AB3:AD3"/>
    <mergeCell ref="AE3:AG3"/>
    <mergeCell ref="AH3:AJ3"/>
    <mergeCell ref="AB9:AD9"/>
    <mergeCell ref="AB10:AD10"/>
    <mergeCell ref="AH14:AJ14"/>
    <mergeCell ref="A3:A8"/>
    <mergeCell ref="A9:A14"/>
    <mergeCell ref="F1:F2"/>
    <mergeCell ref="R1:R2"/>
    <mergeCell ref="G1:G2"/>
    <mergeCell ref="AE4:AG4"/>
    <mergeCell ref="AH4:AJ4"/>
    <mergeCell ref="AB5:AD5"/>
    <mergeCell ref="AE5:AG5"/>
    <mergeCell ref="AH5:AJ5"/>
    <mergeCell ref="T1:T2"/>
    <mergeCell ref="K1:K2"/>
    <mergeCell ref="I1:I2"/>
    <mergeCell ref="L1:L2"/>
    <mergeCell ref="M1:M2"/>
    <mergeCell ref="X15:X20"/>
    <mergeCell ref="Y15:Y20"/>
    <mergeCell ref="AE11:AG11"/>
    <mergeCell ref="AH11:AJ11"/>
    <mergeCell ref="AE12:AG12"/>
    <mergeCell ref="AH12:AJ12"/>
    <mergeCell ref="AB11:AD11"/>
    <mergeCell ref="X9:X14"/>
    <mergeCell ref="Y9:Y14"/>
    <mergeCell ref="X3:X8"/>
    <mergeCell ref="AE15:AG15"/>
    <mergeCell ref="AH15:AJ15"/>
    <mergeCell ref="AE16:AG16"/>
    <mergeCell ref="AH16:AJ16"/>
    <mergeCell ref="AE13:AG13"/>
    <mergeCell ref="AH13:AJ13"/>
    <mergeCell ref="AE14:AG14"/>
    <mergeCell ref="AE19:AG19"/>
    <mergeCell ref="AH19:AJ19"/>
    <mergeCell ref="AE20:AG20"/>
    <mergeCell ref="AH20:AJ20"/>
    <mergeCell ref="AE17:AG17"/>
    <mergeCell ref="AH17:AJ17"/>
    <mergeCell ref="AE18:AG18"/>
    <mergeCell ref="AH18:AJ18"/>
    <mergeCell ref="AH6:AJ6"/>
    <mergeCell ref="AE6:AG6"/>
    <mergeCell ref="AB6:AD6"/>
    <mergeCell ref="AB14:AD14"/>
    <mergeCell ref="AB12:AD12"/>
    <mergeCell ref="AB13:AD13"/>
    <mergeCell ref="AE27:AG27"/>
    <mergeCell ref="AH27:AJ27"/>
    <mergeCell ref="AE21:AG21"/>
    <mergeCell ref="AH21:AJ21"/>
    <mergeCell ref="AE22:AG22"/>
    <mergeCell ref="AH22:AJ22"/>
    <mergeCell ref="AE25:AG25"/>
    <mergeCell ref="AH25:AJ25"/>
    <mergeCell ref="AE26:AG26"/>
    <mergeCell ref="AH26:AJ26"/>
    <mergeCell ref="AE23:AG23"/>
    <mergeCell ref="AH23:AJ23"/>
    <mergeCell ref="AE24:AG24"/>
    <mergeCell ref="AH24:AJ24"/>
    <mergeCell ref="AE33:AG33"/>
    <mergeCell ref="AH33:AJ33"/>
    <mergeCell ref="AE34:AG34"/>
    <mergeCell ref="AH34:AJ34"/>
    <mergeCell ref="AE28:AG28"/>
    <mergeCell ref="AH28:AJ28"/>
    <mergeCell ref="AH29:AJ29"/>
    <mergeCell ref="AE30:AG30"/>
    <mergeCell ref="AH30:AJ30"/>
    <mergeCell ref="AH60:AJ60"/>
    <mergeCell ref="AE57:AG57"/>
    <mergeCell ref="AH57:AJ57"/>
    <mergeCell ref="AE58:AG58"/>
    <mergeCell ref="AH58:AJ58"/>
    <mergeCell ref="AE55:AG55"/>
    <mergeCell ref="AH55:AJ55"/>
    <mergeCell ref="AE56:AG56"/>
    <mergeCell ref="AH56:AJ56"/>
    <mergeCell ref="AE60:AG60"/>
    <mergeCell ref="AE39:AG39"/>
    <mergeCell ref="AH39:AJ39"/>
    <mergeCell ref="AE40:AG40"/>
    <mergeCell ref="AH40:AJ40"/>
    <mergeCell ref="AE37:AG37"/>
    <mergeCell ref="AH37:AJ37"/>
    <mergeCell ref="AE38:AG38"/>
    <mergeCell ref="AH38:AJ38"/>
    <mergeCell ref="AE43:AG43"/>
    <mergeCell ref="AH43:AJ43"/>
    <mergeCell ref="AE44:AG44"/>
    <mergeCell ref="AH44:AJ44"/>
    <mergeCell ref="AE41:AG41"/>
    <mergeCell ref="AH41:AJ41"/>
    <mergeCell ref="AE42:AG42"/>
    <mergeCell ref="AH42:AJ42"/>
    <mergeCell ref="AE52:AG52"/>
    <mergeCell ref="AH52:AJ52"/>
    <mergeCell ref="AE49:AG49"/>
    <mergeCell ref="AH49:AJ49"/>
    <mergeCell ref="AE50:AG50"/>
    <mergeCell ref="AE64:AG64"/>
    <mergeCell ref="AH64:AJ64"/>
    <mergeCell ref="AE61:AG61"/>
    <mergeCell ref="AH61:AJ61"/>
    <mergeCell ref="AE62:AG62"/>
    <mergeCell ref="AH62:AJ62"/>
    <mergeCell ref="AE54:AG54"/>
    <mergeCell ref="AH54:AJ54"/>
    <mergeCell ref="AE73:AG73"/>
    <mergeCell ref="AH73:AJ73"/>
    <mergeCell ref="AE65:AG65"/>
    <mergeCell ref="AE70:AG70"/>
    <mergeCell ref="AH70:AJ70"/>
    <mergeCell ref="AE67:AG67"/>
    <mergeCell ref="AH67:AJ67"/>
    <mergeCell ref="AE68:AG68"/>
    <mergeCell ref="X21:X26"/>
    <mergeCell ref="Y21:Y26"/>
    <mergeCell ref="X27:X32"/>
    <mergeCell ref="Y27:Y32"/>
    <mergeCell ref="AE53:AG53"/>
    <mergeCell ref="AH53:AJ53"/>
    <mergeCell ref="AH50:AJ50"/>
    <mergeCell ref="AE47:AG47"/>
    <mergeCell ref="AH47:AJ47"/>
    <mergeCell ref="AE48:AG48"/>
    <mergeCell ref="AE59:AG59"/>
    <mergeCell ref="AH59:AJ59"/>
    <mergeCell ref="AH48:AJ48"/>
    <mergeCell ref="AE45:AG45"/>
    <mergeCell ref="AH45:AJ45"/>
    <mergeCell ref="AE46:AG46"/>
    <mergeCell ref="Y33:Y38"/>
    <mergeCell ref="X39:X44"/>
    <mergeCell ref="Y39:Y44"/>
    <mergeCell ref="X45:X50"/>
    <mergeCell ref="Y45:Y50"/>
    <mergeCell ref="AE31:AG31"/>
    <mergeCell ref="AH31:AJ31"/>
    <mergeCell ref="AE32:AG32"/>
    <mergeCell ref="AH32:AJ32"/>
    <mergeCell ref="AE29:AG29"/>
    <mergeCell ref="A33:A38"/>
    <mergeCell ref="AE35:AG35"/>
    <mergeCell ref="AH35:AJ35"/>
    <mergeCell ref="AE36:AG36"/>
    <mergeCell ref="AH36:AJ36"/>
    <mergeCell ref="AB55:AD55"/>
    <mergeCell ref="AB56:AD56"/>
    <mergeCell ref="AH46:AJ46"/>
    <mergeCell ref="AE51:AG51"/>
    <mergeCell ref="AH51:AJ51"/>
    <mergeCell ref="A15:A20"/>
    <mergeCell ref="A21:A26"/>
    <mergeCell ref="A27:A32"/>
    <mergeCell ref="AB28:AD28"/>
    <mergeCell ref="AB29:AD29"/>
    <mergeCell ref="AB30:AD30"/>
    <mergeCell ref="AB31:AD31"/>
    <mergeCell ref="AB32:AD32"/>
    <mergeCell ref="AB43:AD43"/>
    <mergeCell ref="A51:A56"/>
    <mergeCell ref="A57:A62"/>
    <mergeCell ref="AB33:AD33"/>
    <mergeCell ref="AB34:AD34"/>
    <mergeCell ref="AB35:AD35"/>
    <mergeCell ref="AB36:AD36"/>
    <mergeCell ref="AB37:AD37"/>
    <mergeCell ref="AB44:AD44"/>
    <mergeCell ref="AB45:AD45"/>
    <mergeCell ref="AB46:AD46"/>
    <mergeCell ref="AB18:AD18"/>
    <mergeCell ref="AB19:AD19"/>
    <mergeCell ref="AB20:AD20"/>
    <mergeCell ref="AB21:AD21"/>
    <mergeCell ref="AB22:AD22"/>
    <mergeCell ref="AB15:AD15"/>
    <mergeCell ref="AB16:AD16"/>
    <mergeCell ref="AB17:AD17"/>
    <mergeCell ref="A39:A44"/>
    <mergeCell ref="A45:A50"/>
    <mergeCell ref="X51:X56"/>
    <mergeCell ref="Y51:Y56"/>
    <mergeCell ref="X33:X38"/>
    <mergeCell ref="AB73:AD73"/>
    <mergeCell ref="AB74:AD74"/>
    <mergeCell ref="AB75:AD75"/>
    <mergeCell ref="AB76:AD76"/>
    <mergeCell ref="AB77:AD77"/>
    <mergeCell ref="AB39:AD39"/>
    <mergeCell ref="AB40:AD40"/>
    <mergeCell ref="AB41:AD41"/>
    <mergeCell ref="AB42:AD42"/>
    <mergeCell ref="AB53:AD53"/>
    <mergeCell ref="AB54:AD54"/>
    <mergeCell ref="AB47:AD47"/>
    <mergeCell ref="A75:A80"/>
    <mergeCell ref="X69:X74"/>
    <mergeCell ref="Y69:Y74"/>
    <mergeCell ref="X75:X80"/>
    <mergeCell ref="Y75:Y80"/>
    <mergeCell ref="Y57:Y62"/>
    <mergeCell ref="X63:X68"/>
    <mergeCell ref="Y63:Y68"/>
    <mergeCell ref="A63:A68"/>
    <mergeCell ref="X57:X62"/>
    <mergeCell ref="A69:A74"/>
    <mergeCell ref="AB52:AD52"/>
    <mergeCell ref="AB63:AD63"/>
    <mergeCell ref="AB64:AD64"/>
    <mergeCell ref="AB65:AD65"/>
    <mergeCell ref="AL45:AL50"/>
    <mergeCell ref="AL51:AL56"/>
    <mergeCell ref="AL57:AL62"/>
    <mergeCell ref="AB66:AD66"/>
    <mergeCell ref="AB67:AD67"/>
    <mergeCell ref="AB58:AD58"/>
    <mergeCell ref="AB59:AD59"/>
    <mergeCell ref="AB60:AD60"/>
    <mergeCell ref="AB61:AD61"/>
    <mergeCell ref="AB62:AD62"/>
    <mergeCell ref="AL9:AL14"/>
    <mergeCell ref="AL15:AL20"/>
    <mergeCell ref="AL21:AL26"/>
    <mergeCell ref="AL27:AL32"/>
    <mergeCell ref="AL33:AL38"/>
    <mergeCell ref="AL39:AL44"/>
    <mergeCell ref="AE75:AG75"/>
    <mergeCell ref="AH75:AJ75"/>
    <mergeCell ref="AL63:AL68"/>
    <mergeCell ref="AL69:AL74"/>
    <mergeCell ref="AL75:AL80"/>
    <mergeCell ref="AE80:AG80"/>
    <mergeCell ref="AH80:AJ80"/>
    <mergeCell ref="AB49:AD49"/>
    <mergeCell ref="AB50:AD50"/>
    <mergeCell ref="AB51:AD51"/>
    <mergeCell ref="AB68:AD68"/>
    <mergeCell ref="AB69:AD69"/>
    <mergeCell ref="AB70:AD70"/>
    <mergeCell ref="AB71:AD71"/>
    <mergeCell ref="AB80:AD80"/>
    <mergeCell ref="AB78:AD78"/>
    <mergeCell ref="AE76:AG76"/>
    <mergeCell ref="AH76:AJ76"/>
    <mergeCell ref="AB23:AD23"/>
    <mergeCell ref="AB24:AD24"/>
    <mergeCell ref="AB25:AD25"/>
    <mergeCell ref="AB26:AD26"/>
    <mergeCell ref="AB27:AD27"/>
    <mergeCell ref="AB38:AD38"/>
    <mergeCell ref="AE79:AG79"/>
    <mergeCell ref="AH79:AJ79"/>
    <mergeCell ref="AE77:AG77"/>
    <mergeCell ref="AH77:AJ77"/>
    <mergeCell ref="AE78:AG78"/>
    <mergeCell ref="AH78:AJ78"/>
    <mergeCell ref="AE72:AG72"/>
    <mergeCell ref="AH65:AJ65"/>
    <mergeCell ref="AE66:AG66"/>
    <mergeCell ref="AH66:AJ66"/>
    <mergeCell ref="AE63:AG63"/>
    <mergeCell ref="AH63:AJ63"/>
    <mergeCell ref="AH68:AJ68"/>
    <mergeCell ref="AH72:AJ72"/>
    <mergeCell ref="AE69:AG69"/>
    <mergeCell ref="AH69:AJ69"/>
    <mergeCell ref="AB79:AD79"/>
    <mergeCell ref="AE74:AG74"/>
    <mergeCell ref="AH74:AJ74"/>
    <mergeCell ref="AE71:AG71"/>
    <mergeCell ref="AH71:AJ71"/>
    <mergeCell ref="AB72:AD72"/>
    <mergeCell ref="AB57:AD57"/>
    <mergeCell ref="AB48:AD48"/>
    <mergeCell ref="AH90:AJ90"/>
    <mergeCell ref="AB91:AD91"/>
    <mergeCell ref="AE91:AG91"/>
    <mergeCell ref="AH91:AJ91"/>
    <mergeCell ref="AB84:AD84"/>
    <mergeCell ref="AE84:AG84"/>
    <mergeCell ref="AH84:AJ84"/>
    <mergeCell ref="AB85:AD85"/>
    <mergeCell ref="AE85:AG85"/>
    <mergeCell ref="AB89:AD89"/>
    <mergeCell ref="AE89:AG89"/>
    <mergeCell ref="AH89:AJ89"/>
    <mergeCell ref="AH85:AJ85"/>
    <mergeCell ref="AB86:AD86"/>
    <mergeCell ref="AL81:AL86"/>
    <mergeCell ref="AB81:AD81"/>
    <mergeCell ref="AE81:AG81"/>
    <mergeCell ref="AH81:AJ81"/>
    <mergeCell ref="AB82:AD82"/>
    <mergeCell ref="AE82:AG82"/>
    <mergeCell ref="AH82:AJ82"/>
    <mergeCell ref="AB83:AD83"/>
    <mergeCell ref="AE83:AG83"/>
    <mergeCell ref="AH83:AJ83"/>
    <mergeCell ref="AE86:AG86"/>
    <mergeCell ref="AH86:AJ86"/>
    <mergeCell ref="AB87:AD87"/>
    <mergeCell ref="AE87:AG87"/>
    <mergeCell ref="AH87:AJ87"/>
    <mergeCell ref="AB88:AD88"/>
    <mergeCell ref="AE88:AG88"/>
    <mergeCell ref="AH88:AJ88"/>
    <mergeCell ref="A165:A170"/>
    <mergeCell ref="A81:A86"/>
    <mergeCell ref="A87:A92"/>
    <mergeCell ref="A93:A98"/>
    <mergeCell ref="A99:A104"/>
    <mergeCell ref="A105:A110"/>
    <mergeCell ref="A111:A116"/>
    <mergeCell ref="A201:A206"/>
    <mergeCell ref="A207:A212"/>
    <mergeCell ref="A213:A218"/>
    <mergeCell ref="A219:A224"/>
    <mergeCell ref="A117:A122"/>
    <mergeCell ref="A123:A128"/>
    <mergeCell ref="A129:A134"/>
    <mergeCell ref="A135:A140"/>
    <mergeCell ref="A141:A146"/>
    <mergeCell ref="A147:A152"/>
    <mergeCell ref="A261:A266"/>
    <mergeCell ref="A267:A272"/>
    <mergeCell ref="A273:A278"/>
    <mergeCell ref="A171:A176"/>
    <mergeCell ref="A177:A182"/>
    <mergeCell ref="A183:A188"/>
    <mergeCell ref="A189:A194"/>
    <mergeCell ref="A195:A200"/>
    <mergeCell ref="A297:A302"/>
    <mergeCell ref="A303:A308"/>
    <mergeCell ref="A309:A314"/>
    <mergeCell ref="A315:A320"/>
    <mergeCell ref="A321:A326"/>
    <mergeCell ref="A327:A332"/>
    <mergeCell ref="AB94:AD94"/>
    <mergeCell ref="AB130:AD130"/>
    <mergeCell ref="AB154:AD154"/>
    <mergeCell ref="AB178:AD178"/>
    <mergeCell ref="AB202:AD202"/>
    <mergeCell ref="AB226:AD226"/>
    <mergeCell ref="AB250:AD250"/>
    <mergeCell ref="AB298:AD298"/>
    <mergeCell ref="AB322:AD322"/>
    <mergeCell ref="AB331:AD331"/>
    <mergeCell ref="Y99:Y104"/>
    <mergeCell ref="X105:X110"/>
    <mergeCell ref="Y105:Y110"/>
    <mergeCell ref="X111:X116"/>
    <mergeCell ref="Y111:Y116"/>
    <mergeCell ref="X117:X122"/>
    <mergeCell ref="A153:A158"/>
    <mergeCell ref="A159:A164"/>
    <mergeCell ref="A279:A284"/>
    <mergeCell ref="A285:A290"/>
    <mergeCell ref="A291:A296"/>
    <mergeCell ref="A225:A230"/>
    <mergeCell ref="A231:A236"/>
    <mergeCell ref="A237:A242"/>
    <mergeCell ref="A243:A248"/>
    <mergeCell ref="AB92:AD92"/>
    <mergeCell ref="AE92:AG92"/>
    <mergeCell ref="AH92:AJ92"/>
    <mergeCell ref="AB93:AD93"/>
    <mergeCell ref="AE93:AG93"/>
    <mergeCell ref="AH93:AJ93"/>
    <mergeCell ref="AE95:AG95"/>
    <mergeCell ref="AH95:AJ95"/>
    <mergeCell ref="AB96:AD96"/>
    <mergeCell ref="AE96:AG96"/>
    <mergeCell ref="AH96:AJ96"/>
    <mergeCell ref="AB97:AD97"/>
    <mergeCell ref="AE97:AG97"/>
    <mergeCell ref="AH97:AJ97"/>
    <mergeCell ref="AH100:AJ100"/>
    <mergeCell ref="AH112:AJ112"/>
    <mergeCell ref="AB107:AD107"/>
    <mergeCell ref="AE107:AG107"/>
    <mergeCell ref="AH107:AJ107"/>
    <mergeCell ref="AB108:AD108"/>
    <mergeCell ref="AE108:AG108"/>
    <mergeCell ref="AH108:AJ108"/>
    <mergeCell ref="AB109:AD109"/>
    <mergeCell ref="A249:A254"/>
    <mergeCell ref="A255:A260"/>
    <mergeCell ref="AB95:AD95"/>
    <mergeCell ref="AE103:AG103"/>
    <mergeCell ref="AH103:AJ103"/>
    <mergeCell ref="AB98:AD98"/>
    <mergeCell ref="AE98:AG98"/>
    <mergeCell ref="AH98:AJ98"/>
    <mergeCell ref="AB99:AD99"/>
    <mergeCell ref="AE99:AG99"/>
    <mergeCell ref="AH99:AJ99"/>
    <mergeCell ref="AB100:AD100"/>
    <mergeCell ref="AE100:AG100"/>
    <mergeCell ref="AB106:AD106"/>
    <mergeCell ref="AE106:AG106"/>
    <mergeCell ref="AH106:AJ106"/>
    <mergeCell ref="AB101:AD101"/>
    <mergeCell ref="AE101:AG101"/>
    <mergeCell ref="AH101:AJ101"/>
    <mergeCell ref="AB102:AD102"/>
    <mergeCell ref="AE102:AG102"/>
    <mergeCell ref="AH102:AJ102"/>
    <mergeCell ref="AB103:AD103"/>
    <mergeCell ref="AB104:AD104"/>
    <mergeCell ref="AE104:AG104"/>
    <mergeCell ref="AH104:AJ104"/>
    <mergeCell ref="AB105:AD105"/>
    <mergeCell ref="AE105:AG105"/>
    <mergeCell ref="AH105:AJ105"/>
    <mergeCell ref="AE94:AG94"/>
    <mergeCell ref="AH94:AJ94"/>
    <mergeCell ref="AB90:AD90"/>
    <mergeCell ref="AE90:AG90"/>
    <mergeCell ref="AE109:AG109"/>
    <mergeCell ref="AH109:AJ109"/>
    <mergeCell ref="AE115:AG115"/>
    <mergeCell ref="AH115:AJ115"/>
    <mergeCell ref="AB110:AD110"/>
    <mergeCell ref="AE110:AG110"/>
    <mergeCell ref="AH110:AJ110"/>
    <mergeCell ref="AB111:AD111"/>
    <mergeCell ref="AE111:AG111"/>
    <mergeCell ref="AH111:AJ111"/>
    <mergeCell ref="AB112:AD112"/>
    <mergeCell ref="AE112:AG112"/>
    <mergeCell ref="AB118:AD118"/>
    <mergeCell ref="AE118:AG118"/>
    <mergeCell ref="AH118:AJ118"/>
    <mergeCell ref="AB113:AD113"/>
    <mergeCell ref="AE113:AG113"/>
    <mergeCell ref="AH113:AJ113"/>
    <mergeCell ref="AB114:AD114"/>
    <mergeCell ref="AE114:AG114"/>
    <mergeCell ref="AH114:AJ114"/>
    <mergeCell ref="AB115:AD115"/>
    <mergeCell ref="AB116:AD116"/>
    <mergeCell ref="AE116:AG116"/>
    <mergeCell ref="AH116:AJ116"/>
    <mergeCell ref="AB117:AD117"/>
    <mergeCell ref="AE117:AG117"/>
    <mergeCell ref="AH117:AJ117"/>
    <mergeCell ref="AH124:AJ124"/>
    <mergeCell ref="AB119:AD119"/>
    <mergeCell ref="AE119:AG119"/>
    <mergeCell ref="AH119:AJ119"/>
    <mergeCell ref="AB120:AD120"/>
    <mergeCell ref="AE120:AG120"/>
    <mergeCell ref="AH120:AJ120"/>
    <mergeCell ref="AB121:AD121"/>
    <mergeCell ref="AE121:AG121"/>
    <mergeCell ref="AH121:AJ121"/>
    <mergeCell ref="AE127:AG127"/>
    <mergeCell ref="AH127:AJ127"/>
    <mergeCell ref="AB122:AD122"/>
    <mergeCell ref="AE122:AG122"/>
    <mergeCell ref="AH122:AJ122"/>
    <mergeCell ref="AB123:AD123"/>
    <mergeCell ref="AE123:AG123"/>
    <mergeCell ref="AH123:AJ123"/>
    <mergeCell ref="AB124:AD124"/>
    <mergeCell ref="AE124:AG124"/>
    <mergeCell ref="AH130:AJ130"/>
    <mergeCell ref="AB125:AD125"/>
    <mergeCell ref="AE125:AG125"/>
    <mergeCell ref="AH125:AJ125"/>
    <mergeCell ref="AB126:AD126"/>
    <mergeCell ref="AE126:AG126"/>
    <mergeCell ref="AH126:AJ126"/>
    <mergeCell ref="AB127:AD127"/>
    <mergeCell ref="AB128:AD128"/>
    <mergeCell ref="AE128:AG128"/>
    <mergeCell ref="AH128:AJ128"/>
    <mergeCell ref="AB129:AD129"/>
    <mergeCell ref="AE129:AG129"/>
    <mergeCell ref="AH129:AJ129"/>
    <mergeCell ref="AH136:AJ136"/>
    <mergeCell ref="AB131:AD131"/>
    <mergeCell ref="AE131:AG131"/>
    <mergeCell ref="AH131:AJ131"/>
    <mergeCell ref="AB132:AD132"/>
    <mergeCell ref="AE132:AG132"/>
    <mergeCell ref="AH132:AJ132"/>
    <mergeCell ref="AB133:AD133"/>
    <mergeCell ref="AE133:AG133"/>
    <mergeCell ref="AH133:AJ133"/>
    <mergeCell ref="AH139:AJ139"/>
    <mergeCell ref="AB134:AD134"/>
    <mergeCell ref="AE134:AG134"/>
    <mergeCell ref="AH134:AJ134"/>
    <mergeCell ref="AB135:AD135"/>
    <mergeCell ref="AE135:AG135"/>
    <mergeCell ref="AH135:AJ135"/>
    <mergeCell ref="AB136:AD136"/>
    <mergeCell ref="AE136:AG136"/>
    <mergeCell ref="AB142:AD142"/>
    <mergeCell ref="AE142:AG142"/>
    <mergeCell ref="AH142:AJ142"/>
    <mergeCell ref="AB137:AD137"/>
    <mergeCell ref="AE137:AG137"/>
    <mergeCell ref="AH137:AJ137"/>
    <mergeCell ref="AB138:AD138"/>
    <mergeCell ref="AE138:AG138"/>
    <mergeCell ref="AH138:AJ138"/>
    <mergeCell ref="AB139:AD139"/>
    <mergeCell ref="AB140:AD140"/>
    <mergeCell ref="AE140:AG140"/>
    <mergeCell ref="AH140:AJ140"/>
    <mergeCell ref="AB141:AD141"/>
    <mergeCell ref="AE141:AG141"/>
    <mergeCell ref="AH141:AJ141"/>
    <mergeCell ref="AH148:AJ148"/>
    <mergeCell ref="AB143:AD143"/>
    <mergeCell ref="AE143:AG143"/>
    <mergeCell ref="AH143:AJ143"/>
    <mergeCell ref="AB144:AD144"/>
    <mergeCell ref="AE144:AG144"/>
    <mergeCell ref="AH144:AJ144"/>
    <mergeCell ref="AB145:AD145"/>
    <mergeCell ref="AE145:AG145"/>
    <mergeCell ref="AH145:AJ145"/>
    <mergeCell ref="AE151:AG151"/>
    <mergeCell ref="AH151:AJ151"/>
    <mergeCell ref="AB146:AD146"/>
    <mergeCell ref="AE146:AG146"/>
    <mergeCell ref="AH146:AJ146"/>
    <mergeCell ref="AB147:AD147"/>
    <mergeCell ref="AE147:AG147"/>
    <mergeCell ref="AH147:AJ147"/>
    <mergeCell ref="AB148:AD148"/>
    <mergeCell ref="AE148:AG148"/>
    <mergeCell ref="AH154:AJ154"/>
    <mergeCell ref="AB149:AD149"/>
    <mergeCell ref="AE149:AG149"/>
    <mergeCell ref="AH149:AJ149"/>
    <mergeCell ref="AB150:AD150"/>
    <mergeCell ref="AE150:AG150"/>
    <mergeCell ref="AH150:AJ150"/>
    <mergeCell ref="AB151:AD151"/>
    <mergeCell ref="AB152:AD152"/>
    <mergeCell ref="AE152:AG152"/>
    <mergeCell ref="AH152:AJ152"/>
    <mergeCell ref="AB153:AD153"/>
    <mergeCell ref="AE153:AG153"/>
    <mergeCell ref="AH153:AJ153"/>
    <mergeCell ref="AH160:AJ160"/>
    <mergeCell ref="AB155:AD155"/>
    <mergeCell ref="AE155:AG155"/>
    <mergeCell ref="AH155:AJ155"/>
    <mergeCell ref="AB156:AD156"/>
    <mergeCell ref="AE156:AG156"/>
    <mergeCell ref="AH156:AJ156"/>
    <mergeCell ref="AB157:AD157"/>
    <mergeCell ref="AE157:AG157"/>
    <mergeCell ref="AH157:AJ157"/>
    <mergeCell ref="AH163:AJ163"/>
    <mergeCell ref="AB158:AD158"/>
    <mergeCell ref="AE158:AG158"/>
    <mergeCell ref="AH158:AJ158"/>
    <mergeCell ref="AB159:AD159"/>
    <mergeCell ref="AE159:AG159"/>
    <mergeCell ref="AH159:AJ159"/>
    <mergeCell ref="AB160:AD160"/>
    <mergeCell ref="AE160:AG160"/>
    <mergeCell ref="AB166:AD166"/>
    <mergeCell ref="AE166:AG166"/>
    <mergeCell ref="AH166:AJ166"/>
    <mergeCell ref="AB161:AD161"/>
    <mergeCell ref="AE161:AG161"/>
    <mergeCell ref="AH161:AJ161"/>
    <mergeCell ref="AB162:AD162"/>
    <mergeCell ref="AE162:AG162"/>
    <mergeCell ref="AH162:AJ162"/>
    <mergeCell ref="AB163:AD163"/>
    <mergeCell ref="AB164:AD164"/>
    <mergeCell ref="AE164:AG164"/>
    <mergeCell ref="AH164:AJ164"/>
    <mergeCell ref="AB165:AD165"/>
    <mergeCell ref="AE165:AG165"/>
    <mergeCell ref="AH165:AJ165"/>
    <mergeCell ref="AH172:AJ172"/>
    <mergeCell ref="AB167:AD167"/>
    <mergeCell ref="AE167:AG167"/>
    <mergeCell ref="AH167:AJ167"/>
    <mergeCell ref="AB168:AD168"/>
    <mergeCell ref="AE168:AG168"/>
    <mergeCell ref="AH168:AJ168"/>
    <mergeCell ref="AB169:AD169"/>
    <mergeCell ref="AE169:AG169"/>
    <mergeCell ref="AH169:AJ169"/>
    <mergeCell ref="AE175:AG175"/>
    <mergeCell ref="AH175:AJ175"/>
    <mergeCell ref="AB170:AD170"/>
    <mergeCell ref="AE170:AG170"/>
    <mergeCell ref="AH170:AJ170"/>
    <mergeCell ref="AB171:AD171"/>
    <mergeCell ref="AE171:AG171"/>
    <mergeCell ref="AH171:AJ171"/>
    <mergeCell ref="AB172:AD172"/>
    <mergeCell ref="AE172:AG172"/>
    <mergeCell ref="AH178:AJ178"/>
    <mergeCell ref="AB173:AD173"/>
    <mergeCell ref="AE173:AG173"/>
    <mergeCell ref="AH173:AJ173"/>
    <mergeCell ref="AB174:AD174"/>
    <mergeCell ref="AE174:AG174"/>
    <mergeCell ref="AH174:AJ174"/>
    <mergeCell ref="AB175:AD175"/>
    <mergeCell ref="AB176:AD176"/>
    <mergeCell ref="AE176:AG176"/>
    <mergeCell ref="AH176:AJ176"/>
    <mergeCell ref="AB177:AD177"/>
    <mergeCell ref="AE177:AG177"/>
    <mergeCell ref="AH177:AJ177"/>
    <mergeCell ref="AH184:AJ184"/>
    <mergeCell ref="AB179:AD179"/>
    <mergeCell ref="AE179:AG179"/>
    <mergeCell ref="AH179:AJ179"/>
    <mergeCell ref="AB180:AD180"/>
    <mergeCell ref="AE180:AG180"/>
    <mergeCell ref="AH180:AJ180"/>
    <mergeCell ref="AB181:AD181"/>
    <mergeCell ref="AE181:AG181"/>
    <mergeCell ref="AH181:AJ181"/>
    <mergeCell ref="AH187:AJ187"/>
    <mergeCell ref="AB182:AD182"/>
    <mergeCell ref="AE182:AG182"/>
    <mergeCell ref="AH182:AJ182"/>
    <mergeCell ref="AB183:AD183"/>
    <mergeCell ref="AE183:AG183"/>
    <mergeCell ref="AH183:AJ183"/>
    <mergeCell ref="AB184:AD184"/>
    <mergeCell ref="AE184:AG184"/>
    <mergeCell ref="AB190:AD190"/>
    <mergeCell ref="AE190:AG190"/>
    <mergeCell ref="AH190:AJ190"/>
    <mergeCell ref="AB185:AD185"/>
    <mergeCell ref="AE185:AG185"/>
    <mergeCell ref="AH185:AJ185"/>
    <mergeCell ref="AB186:AD186"/>
    <mergeCell ref="AE186:AG186"/>
    <mergeCell ref="AH186:AJ186"/>
    <mergeCell ref="AB187:AD187"/>
    <mergeCell ref="AB188:AD188"/>
    <mergeCell ref="AE188:AG188"/>
    <mergeCell ref="AH188:AJ188"/>
    <mergeCell ref="AB189:AD189"/>
    <mergeCell ref="AE189:AG189"/>
    <mergeCell ref="AH189:AJ189"/>
    <mergeCell ref="AH196:AJ196"/>
    <mergeCell ref="AB191:AD191"/>
    <mergeCell ref="AE191:AG191"/>
    <mergeCell ref="AH191:AJ191"/>
    <mergeCell ref="AB192:AD192"/>
    <mergeCell ref="AE192:AG192"/>
    <mergeCell ref="AH192:AJ192"/>
    <mergeCell ref="AB193:AD193"/>
    <mergeCell ref="AE193:AG193"/>
    <mergeCell ref="AH193:AJ193"/>
    <mergeCell ref="AE199:AG199"/>
    <mergeCell ref="AH199:AJ199"/>
    <mergeCell ref="AB194:AD194"/>
    <mergeCell ref="AE194:AG194"/>
    <mergeCell ref="AH194:AJ194"/>
    <mergeCell ref="AB195:AD195"/>
    <mergeCell ref="AE195:AG195"/>
    <mergeCell ref="AH195:AJ195"/>
    <mergeCell ref="AB196:AD196"/>
    <mergeCell ref="AE196:AG196"/>
    <mergeCell ref="AH202:AJ202"/>
    <mergeCell ref="AB197:AD197"/>
    <mergeCell ref="AE197:AG197"/>
    <mergeCell ref="AH197:AJ197"/>
    <mergeCell ref="AB198:AD198"/>
    <mergeCell ref="AE198:AG198"/>
    <mergeCell ref="AH198:AJ198"/>
    <mergeCell ref="AB199:AD199"/>
    <mergeCell ref="AB200:AD200"/>
    <mergeCell ref="AE200:AG200"/>
    <mergeCell ref="AH200:AJ200"/>
    <mergeCell ref="AB201:AD201"/>
    <mergeCell ref="AE201:AG201"/>
    <mergeCell ref="AH201:AJ201"/>
    <mergeCell ref="AH208:AJ208"/>
    <mergeCell ref="AB203:AD203"/>
    <mergeCell ref="AE203:AG203"/>
    <mergeCell ref="AH203:AJ203"/>
    <mergeCell ref="AB204:AD204"/>
    <mergeCell ref="AE204:AG204"/>
    <mergeCell ref="AH204:AJ204"/>
    <mergeCell ref="AB205:AD205"/>
    <mergeCell ref="AE205:AG205"/>
    <mergeCell ref="AH205:AJ205"/>
    <mergeCell ref="AH211:AJ211"/>
    <mergeCell ref="AB206:AD206"/>
    <mergeCell ref="AE206:AG206"/>
    <mergeCell ref="AH206:AJ206"/>
    <mergeCell ref="AB207:AD207"/>
    <mergeCell ref="AE207:AG207"/>
    <mergeCell ref="AH207:AJ207"/>
    <mergeCell ref="AB208:AD208"/>
    <mergeCell ref="AE208:AG208"/>
    <mergeCell ref="AB214:AD214"/>
    <mergeCell ref="AE214:AG214"/>
    <mergeCell ref="AH214:AJ214"/>
    <mergeCell ref="AB209:AD209"/>
    <mergeCell ref="AE209:AG209"/>
    <mergeCell ref="AH209:AJ209"/>
    <mergeCell ref="AB210:AD210"/>
    <mergeCell ref="AE210:AG210"/>
    <mergeCell ref="AH210:AJ210"/>
    <mergeCell ref="AB211:AD211"/>
    <mergeCell ref="AB212:AD212"/>
    <mergeCell ref="AE212:AG212"/>
    <mergeCell ref="AH212:AJ212"/>
    <mergeCell ref="AB213:AD213"/>
    <mergeCell ref="AE213:AG213"/>
    <mergeCell ref="AH213:AJ213"/>
    <mergeCell ref="AH220:AJ220"/>
    <mergeCell ref="AB215:AD215"/>
    <mergeCell ref="AE215:AG215"/>
    <mergeCell ref="AH215:AJ215"/>
    <mergeCell ref="AB216:AD216"/>
    <mergeCell ref="AE216:AG216"/>
    <mergeCell ref="AH216:AJ216"/>
    <mergeCell ref="AB217:AD217"/>
    <mergeCell ref="AE217:AG217"/>
    <mergeCell ref="AH217:AJ217"/>
    <mergeCell ref="AE223:AG223"/>
    <mergeCell ref="AH223:AJ223"/>
    <mergeCell ref="AB218:AD218"/>
    <mergeCell ref="AE218:AG218"/>
    <mergeCell ref="AH218:AJ218"/>
    <mergeCell ref="AB219:AD219"/>
    <mergeCell ref="AE219:AG219"/>
    <mergeCell ref="AH219:AJ219"/>
    <mergeCell ref="AB220:AD220"/>
    <mergeCell ref="AE220:AG220"/>
    <mergeCell ref="AH226:AJ226"/>
    <mergeCell ref="AB221:AD221"/>
    <mergeCell ref="AE221:AG221"/>
    <mergeCell ref="AH221:AJ221"/>
    <mergeCell ref="AB222:AD222"/>
    <mergeCell ref="AE222:AG222"/>
    <mergeCell ref="AH222:AJ222"/>
    <mergeCell ref="AB223:AD223"/>
    <mergeCell ref="AB224:AD224"/>
    <mergeCell ref="AE224:AG224"/>
    <mergeCell ref="AH224:AJ224"/>
    <mergeCell ref="AB225:AD225"/>
    <mergeCell ref="AE225:AG225"/>
    <mergeCell ref="AH225:AJ225"/>
    <mergeCell ref="AH232:AJ232"/>
    <mergeCell ref="AB227:AD227"/>
    <mergeCell ref="AE227:AG227"/>
    <mergeCell ref="AH227:AJ227"/>
    <mergeCell ref="AB228:AD228"/>
    <mergeCell ref="AE228:AG228"/>
    <mergeCell ref="AH228:AJ228"/>
    <mergeCell ref="AB229:AD229"/>
    <mergeCell ref="AE229:AG229"/>
    <mergeCell ref="AH229:AJ229"/>
    <mergeCell ref="AH235:AJ235"/>
    <mergeCell ref="AB230:AD230"/>
    <mergeCell ref="AE230:AG230"/>
    <mergeCell ref="AH230:AJ230"/>
    <mergeCell ref="AB231:AD231"/>
    <mergeCell ref="AE231:AG231"/>
    <mergeCell ref="AH231:AJ231"/>
    <mergeCell ref="AB232:AD232"/>
    <mergeCell ref="AE232:AG232"/>
    <mergeCell ref="AB238:AD238"/>
    <mergeCell ref="AE238:AG238"/>
    <mergeCell ref="AH238:AJ238"/>
    <mergeCell ref="AB233:AD233"/>
    <mergeCell ref="AE233:AG233"/>
    <mergeCell ref="AH233:AJ233"/>
    <mergeCell ref="AB234:AD234"/>
    <mergeCell ref="AE234:AG234"/>
    <mergeCell ref="AH234:AJ234"/>
    <mergeCell ref="AB235:AD235"/>
    <mergeCell ref="AB236:AD236"/>
    <mergeCell ref="AE236:AG236"/>
    <mergeCell ref="AH236:AJ236"/>
    <mergeCell ref="AB237:AD237"/>
    <mergeCell ref="AE237:AG237"/>
    <mergeCell ref="AH237:AJ237"/>
    <mergeCell ref="AH244:AJ244"/>
    <mergeCell ref="AB239:AD239"/>
    <mergeCell ref="AE239:AG239"/>
    <mergeCell ref="AH239:AJ239"/>
    <mergeCell ref="AB240:AD240"/>
    <mergeCell ref="AE240:AG240"/>
    <mergeCell ref="AH240:AJ240"/>
    <mergeCell ref="AB241:AD241"/>
    <mergeCell ref="AE241:AG241"/>
    <mergeCell ref="AH241:AJ241"/>
    <mergeCell ref="AE247:AG247"/>
    <mergeCell ref="AH247:AJ247"/>
    <mergeCell ref="AB242:AD242"/>
    <mergeCell ref="AE242:AG242"/>
    <mergeCell ref="AH242:AJ242"/>
    <mergeCell ref="AB243:AD243"/>
    <mergeCell ref="AE243:AG243"/>
    <mergeCell ref="AH243:AJ243"/>
    <mergeCell ref="AB244:AD244"/>
    <mergeCell ref="AE244:AG244"/>
    <mergeCell ref="AH250:AJ250"/>
    <mergeCell ref="AB245:AD245"/>
    <mergeCell ref="AE245:AG245"/>
    <mergeCell ref="AH245:AJ245"/>
    <mergeCell ref="AB246:AD246"/>
    <mergeCell ref="AE246:AG246"/>
    <mergeCell ref="AH246:AJ246"/>
    <mergeCell ref="AB247:AD247"/>
    <mergeCell ref="AB248:AD248"/>
    <mergeCell ref="AE248:AG248"/>
    <mergeCell ref="AH248:AJ248"/>
    <mergeCell ref="AB249:AD249"/>
    <mergeCell ref="AE249:AG249"/>
    <mergeCell ref="AH249:AJ249"/>
    <mergeCell ref="AH256:AJ256"/>
    <mergeCell ref="AB251:AD251"/>
    <mergeCell ref="AE251:AG251"/>
    <mergeCell ref="AH251:AJ251"/>
    <mergeCell ref="AB252:AD252"/>
    <mergeCell ref="AE252:AG252"/>
    <mergeCell ref="AH252:AJ252"/>
    <mergeCell ref="AB253:AD253"/>
    <mergeCell ref="AE253:AG253"/>
    <mergeCell ref="AH253:AJ253"/>
    <mergeCell ref="AH259:AJ259"/>
    <mergeCell ref="AB254:AD254"/>
    <mergeCell ref="AE254:AG254"/>
    <mergeCell ref="AH254:AJ254"/>
    <mergeCell ref="AB255:AD255"/>
    <mergeCell ref="AE255:AG255"/>
    <mergeCell ref="AH255:AJ255"/>
    <mergeCell ref="AB256:AD256"/>
    <mergeCell ref="AE256:AG256"/>
    <mergeCell ref="AB262:AD262"/>
    <mergeCell ref="AE262:AG262"/>
    <mergeCell ref="AH262:AJ262"/>
    <mergeCell ref="AB257:AD257"/>
    <mergeCell ref="AE257:AG257"/>
    <mergeCell ref="AH257:AJ257"/>
    <mergeCell ref="AB258:AD258"/>
    <mergeCell ref="AE258:AG258"/>
    <mergeCell ref="AH258:AJ258"/>
    <mergeCell ref="AB259:AD259"/>
    <mergeCell ref="AB260:AD260"/>
    <mergeCell ref="AE260:AG260"/>
    <mergeCell ref="AH260:AJ260"/>
    <mergeCell ref="AB261:AD261"/>
    <mergeCell ref="AE261:AG261"/>
    <mergeCell ref="AH261:AJ261"/>
    <mergeCell ref="AH268:AJ268"/>
    <mergeCell ref="AH263:AJ263"/>
    <mergeCell ref="AB264:AD264"/>
    <mergeCell ref="AE264:AG264"/>
    <mergeCell ref="AH264:AJ264"/>
    <mergeCell ref="AB265:AD265"/>
    <mergeCell ref="AE265:AG265"/>
    <mergeCell ref="AH265:AJ265"/>
    <mergeCell ref="AB271:AD271"/>
    <mergeCell ref="AE271:AG271"/>
    <mergeCell ref="AH271:AJ271"/>
    <mergeCell ref="AB266:AD266"/>
    <mergeCell ref="AE266:AG266"/>
    <mergeCell ref="AH266:AJ266"/>
    <mergeCell ref="AB267:AD267"/>
    <mergeCell ref="AE267:AG267"/>
    <mergeCell ref="AH267:AJ267"/>
    <mergeCell ref="AB268:AD268"/>
    <mergeCell ref="AB269:AD269"/>
    <mergeCell ref="AE269:AG269"/>
    <mergeCell ref="AH269:AJ269"/>
    <mergeCell ref="AB270:AD270"/>
    <mergeCell ref="AE270:AG270"/>
    <mergeCell ref="AH270:AJ270"/>
    <mergeCell ref="AH277:AJ277"/>
    <mergeCell ref="AH272:AJ272"/>
    <mergeCell ref="AB273:AD273"/>
    <mergeCell ref="AE273:AG273"/>
    <mergeCell ref="AH273:AJ273"/>
    <mergeCell ref="AB274:AD274"/>
    <mergeCell ref="AE274:AG274"/>
    <mergeCell ref="AH274:AJ274"/>
    <mergeCell ref="AB280:AD280"/>
    <mergeCell ref="AE280:AG280"/>
    <mergeCell ref="AH280:AJ280"/>
    <mergeCell ref="AB275:AD275"/>
    <mergeCell ref="AE275:AG275"/>
    <mergeCell ref="AH275:AJ275"/>
    <mergeCell ref="AB276:AD276"/>
    <mergeCell ref="AE276:AG276"/>
    <mergeCell ref="AH276:AJ276"/>
    <mergeCell ref="AB277:AD277"/>
    <mergeCell ref="AB278:AD278"/>
    <mergeCell ref="AE278:AG278"/>
    <mergeCell ref="AH278:AJ278"/>
    <mergeCell ref="AB279:AD279"/>
    <mergeCell ref="AE279:AG279"/>
    <mergeCell ref="AH279:AJ279"/>
    <mergeCell ref="AH286:AJ286"/>
    <mergeCell ref="AH281:AJ281"/>
    <mergeCell ref="AB282:AD282"/>
    <mergeCell ref="AE282:AG282"/>
    <mergeCell ref="AH282:AJ282"/>
    <mergeCell ref="AB283:AD283"/>
    <mergeCell ref="AE283:AG283"/>
    <mergeCell ref="AH283:AJ283"/>
    <mergeCell ref="AB289:AD289"/>
    <mergeCell ref="AE289:AG289"/>
    <mergeCell ref="AH289:AJ289"/>
    <mergeCell ref="AB284:AD284"/>
    <mergeCell ref="AE284:AG284"/>
    <mergeCell ref="AH284:AJ284"/>
    <mergeCell ref="AB285:AD285"/>
    <mergeCell ref="AE285:AG285"/>
    <mergeCell ref="AH285:AJ285"/>
    <mergeCell ref="AB286:AD286"/>
    <mergeCell ref="AB287:AD287"/>
    <mergeCell ref="AE287:AG287"/>
    <mergeCell ref="AH287:AJ287"/>
    <mergeCell ref="AB288:AD288"/>
    <mergeCell ref="AE288:AG288"/>
    <mergeCell ref="AH288:AJ288"/>
    <mergeCell ref="AH290:AJ290"/>
    <mergeCell ref="AB291:AD291"/>
    <mergeCell ref="AE291:AG291"/>
    <mergeCell ref="AH291:AJ291"/>
    <mergeCell ref="AB292:AD292"/>
    <mergeCell ref="AE292:AG292"/>
    <mergeCell ref="AH292:AJ292"/>
    <mergeCell ref="AE293:AG293"/>
    <mergeCell ref="AH293:AJ293"/>
    <mergeCell ref="AB294:AD294"/>
    <mergeCell ref="AE294:AG294"/>
    <mergeCell ref="AH294:AJ294"/>
    <mergeCell ref="AB295:AD295"/>
    <mergeCell ref="AE295:AG295"/>
    <mergeCell ref="AH295:AJ295"/>
    <mergeCell ref="AH296:AJ296"/>
    <mergeCell ref="AB297:AD297"/>
    <mergeCell ref="AE297:AG297"/>
    <mergeCell ref="AH297:AJ297"/>
    <mergeCell ref="AH311:AJ311"/>
    <mergeCell ref="AB312:AD312"/>
    <mergeCell ref="AE312:AG312"/>
    <mergeCell ref="AH312:AJ312"/>
    <mergeCell ref="AH304:AJ304"/>
    <mergeCell ref="AH299:AJ299"/>
    <mergeCell ref="AB300:AD300"/>
    <mergeCell ref="AE300:AG300"/>
    <mergeCell ref="AH300:AJ300"/>
    <mergeCell ref="AB301:AD301"/>
    <mergeCell ref="AE301:AG301"/>
    <mergeCell ref="AH301:AJ301"/>
    <mergeCell ref="AB307:AD307"/>
    <mergeCell ref="AE307:AG307"/>
    <mergeCell ref="AH307:AJ307"/>
    <mergeCell ref="AB302:AD302"/>
    <mergeCell ref="AE302:AG302"/>
    <mergeCell ref="AH302:AJ302"/>
    <mergeCell ref="AB303:AD303"/>
    <mergeCell ref="AE303:AG303"/>
    <mergeCell ref="AH303:AJ303"/>
    <mergeCell ref="AB304:AD304"/>
    <mergeCell ref="AB305:AD305"/>
    <mergeCell ref="AE305:AG305"/>
    <mergeCell ref="AH305:AJ305"/>
    <mergeCell ref="AB306:AD306"/>
    <mergeCell ref="AE306:AG306"/>
    <mergeCell ref="AH306:AJ306"/>
    <mergeCell ref="Y141:Y146"/>
    <mergeCell ref="AE331:AG331"/>
    <mergeCell ref="AH331:AJ331"/>
    <mergeCell ref="AB326:AD326"/>
    <mergeCell ref="AH326:AJ326"/>
    <mergeCell ref="AB327:AD327"/>
    <mergeCell ref="AE327:AG327"/>
    <mergeCell ref="AH327:AJ327"/>
    <mergeCell ref="AB328:AD328"/>
    <mergeCell ref="AE328:AG328"/>
    <mergeCell ref="AB329:AD329"/>
    <mergeCell ref="AE329:AG329"/>
    <mergeCell ref="AH329:AJ329"/>
    <mergeCell ref="AB330:AD330"/>
    <mergeCell ref="AE330:AG330"/>
    <mergeCell ref="AH330:AJ330"/>
    <mergeCell ref="Y147:Y152"/>
    <mergeCell ref="Y153:Y158"/>
    <mergeCell ref="Y159:Y164"/>
    <mergeCell ref="Y249:Y254"/>
    <mergeCell ref="Y255:Y260"/>
    <mergeCell ref="AE322:AG322"/>
    <mergeCell ref="AH322:AJ322"/>
    <mergeCell ref="AH317:AJ317"/>
    <mergeCell ref="AB318:AD318"/>
    <mergeCell ref="AE318:AG318"/>
    <mergeCell ref="AH318:AJ318"/>
    <mergeCell ref="AB319:AD319"/>
    <mergeCell ref="AE319:AG319"/>
    <mergeCell ref="AH319:AJ319"/>
    <mergeCell ref="AB320:AD320"/>
    <mergeCell ref="AE320:AG320"/>
    <mergeCell ref="X81:X86"/>
    <mergeCell ref="Y81:Y86"/>
    <mergeCell ref="X87:X92"/>
    <mergeCell ref="Y87:Y92"/>
    <mergeCell ref="X93:X98"/>
    <mergeCell ref="Y93:Y98"/>
    <mergeCell ref="X99:X104"/>
    <mergeCell ref="AE299:AG299"/>
    <mergeCell ref="AB290:AD290"/>
    <mergeCell ref="AE290:AG290"/>
    <mergeCell ref="AB281:AD281"/>
    <mergeCell ref="AE281:AG281"/>
    <mergeCell ref="AB272:AD272"/>
    <mergeCell ref="AE272:AG272"/>
    <mergeCell ref="AB296:AD296"/>
    <mergeCell ref="AE296:AG296"/>
    <mergeCell ref="AB293:AD293"/>
    <mergeCell ref="X165:X170"/>
    <mergeCell ref="Y165:Y170"/>
    <mergeCell ref="X123:X128"/>
    <mergeCell ref="Y123:Y128"/>
    <mergeCell ref="X129:X134"/>
    <mergeCell ref="Y129:Y134"/>
    <mergeCell ref="X135:X140"/>
    <mergeCell ref="Y135:Y140"/>
    <mergeCell ref="X147:X152"/>
    <mergeCell ref="X153:X158"/>
    <mergeCell ref="X159:X164"/>
    <mergeCell ref="X141:X146"/>
    <mergeCell ref="X249:X254"/>
    <mergeCell ref="X255:X260"/>
    <mergeCell ref="AE298:AG298"/>
    <mergeCell ref="X195:X200"/>
    <mergeCell ref="Y195:Y200"/>
    <mergeCell ref="X231:X236"/>
    <mergeCell ref="Y231:Y236"/>
    <mergeCell ref="X237:X242"/>
    <mergeCell ref="Y237:Y242"/>
    <mergeCell ref="X243:X248"/>
    <mergeCell ref="Y243:Y248"/>
    <mergeCell ref="X273:X278"/>
    <mergeCell ref="Y273:Y278"/>
    <mergeCell ref="X279:X284"/>
    <mergeCell ref="Y279:Y284"/>
    <mergeCell ref="X285:X290"/>
    <mergeCell ref="Y285:Y290"/>
    <mergeCell ref="Y117:Y122"/>
    <mergeCell ref="AB263:AD263"/>
    <mergeCell ref="AE263:AG263"/>
    <mergeCell ref="AE286:AG286"/>
    <mergeCell ref="AE277:AG277"/>
    <mergeCell ref="AE268:AG268"/>
    <mergeCell ref="AE259:AG259"/>
    <mergeCell ref="AE250:AG250"/>
    <mergeCell ref="AE235:AG235"/>
    <mergeCell ref="AE226:AG226"/>
    <mergeCell ref="AE211:AG211"/>
    <mergeCell ref="AE202:AG202"/>
    <mergeCell ref="AE187:AG187"/>
    <mergeCell ref="AE178:AG178"/>
    <mergeCell ref="AE163:AG163"/>
    <mergeCell ref="AE154:AG154"/>
    <mergeCell ref="AE139:AG139"/>
    <mergeCell ref="AE130:AG130"/>
    <mergeCell ref="X171:X176"/>
    <mergeCell ref="Y171:Y176"/>
    <mergeCell ref="X177:X182"/>
    <mergeCell ref="Y177:Y182"/>
    <mergeCell ref="X303:X308"/>
    <mergeCell ref="Y303:Y308"/>
    <mergeCell ref="X261:X266"/>
    <mergeCell ref="Y261:Y266"/>
    <mergeCell ref="X267:X272"/>
    <mergeCell ref="Y267:Y272"/>
    <mergeCell ref="X213:X218"/>
    <mergeCell ref="Y213:Y218"/>
    <mergeCell ref="X219:X224"/>
    <mergeCell ref="Y219:Y224"/>
    <mergeCell ref="X225:X230"/>
    <mergeCell ref="Y225:Y230"/>
    <mergeCell ref="AL195:AL200"/>
    <mergeCell ref="AL201:AL206"/>
    <mergeCell ref="X291:X296"/>
    <mergeCell ref="Y291:Y296"/>
    <mergeCell ref="X297:X302"/>
    <mergeCell ref="Y297:Y302"/>
    <mergeCell ref="X201:X206"/>
    <mergeCell ref="Y201:Y206"/>
    <mergeCell ref="X207:X212"/>
    <mergeCell ref="Y207:Y212"/>
    <mergeCell ref="AL249:AL254"/>
    <mergeCell ref="AL255:AL260"/>
    <mergeCell ref="X183:X188"/>
    <mergeCell ref="Y183:Y188"/>
    <mergeCell ref="X189:X194"/>
    <mergeCell ref="Y189:Y194"/>
    <mergeCell ref="AL87:AL92"/>
    <mergeCell ref="AL93:AL98"/>
    <mergeCell ref="AL99:AL104"/>
    <mergeCell ref="AL105:AL110"/>
    <mergeCell ref="AL111:AL116"/>
    <mergeCell ref="AL117:AL122"/>
    <mergeCell ref="AE317:AG317"/>
    <mergeCell ref="AB308:AD308"/>
    <mergeCell ref="AE308:AG308"/>
    <mergeCell ref="AB299:AD299"/>
    <mergeCell ref="AB313:AD313"/>
    <mergeCell ref="AB314:AD314"/>
    <mergeCell ref="AE314:AG314"/>
    <mergeCell ref="AH314:AJ314"/>
    <mergeCell ref="AB315:AD315"/>
    <mergeCell ref="AE315:AG315"/>
    <mergeCell ref="AH315:AJ315"/>
    <mergeCell ref="AH298:AJ298"/>
    <mergeCell ref="AE304:AG304"/>
    <mergeCell ref="AE313:AG313"/>
    <mergeCell ref="AH313:AJ313"/>
    <mergeCell ref="AH308:AJ308"/>
    <mergeCell ref="AB309:AD309"/>
    <mergeCell ref="AE309:AG309"/>
    <mergeCell ref="AH309:AJ309"/>
    <mergeCell ref="AB310:AD310"/>
    <mergeCell ref="AE310:AG310"/>
    <mergeCell ref="AH310:AJ310"/>
    <mergeCell ref="AB316:AD316"/>
    <mergeCell ref="AE316:AG316"/>
    <mergeCell ref="AH316:AJ316"/>
    <mergeCell ref="AB311:AD311"/>
    <mergeCell ref="AH332:AJ332"/>
    <mergeCell ref="AB332:AD332"/>
    <mergeCell ref="AE332:AG332"/>
    <mergeCell ref="AE326:AG326"/>
    <mergeCell ref="AB317:AD317"/>
    <mergeCell ref="AL159:AL164"/>
    <mergeCell ref="AL165:AL170"/>
    <mergeCell ref="AL171:AL176"/>
    <mergeCell ref="AL177:AL182"/>
    <mergeCell ref="AL183:AL188"/>
    <mergeCell ref="AL189:AL194"/>
    <mergeCell ref="AL123:AL128"/>
    <mergeCell ref="AL129:AL134"/>
    <mergeCell ref="AL135:AL140"/>
    <mergeCell ref="AL141:AL146"/>
    <mergeCell ref="AL147:AL152"/>
    <mergeCell ref="AL153:AL158"/>
    <mergeCell ref="AH320:AJ320"/>
    <mergeCell ref="AB321:AD321"/>
    <mergeCell ref="AE321:AG321"/>
    <mergeCell ref="AH321:AJ321"/>
    <mergeCell ref="AH328:AJ328"/>
    <mergeCell ref="AB323:AD323"/>
    <mergeCell ref="AE323:AG323"/>
    <mergeCell ref="AH323:AJ323"/>
    <mergeCell ref="AB324:AD324"/>
    <mergeCell ref="AE324:AG324"/>
    <mergeCell ref="AH324:AJ324"/>
    <mergeCell ref="AB325:AD325"/>
    <mergeCell ref="AE325:AG325"/>
    <mergeCell ref="AH325:AJ325"/>
    <mergeCell ref="AE311:AG311"/>
    <mergeCell ref="AM201:AM206"/>
    <mergeCell ref="AM225:AM230"/>
    <mergeCell ref="AM21:AM26"/>
    <mergeCell ref="AM3:AM8"/>
    <mergeCell ref="AM189:AM194"/>
    <mergeCell ref="X321:X326"/>
    <mergeCell ref="Y321:Y326"/>
    <mergeCell ref="X327:X332"/>
    <mergeCell ref="Y327:Y332"/>
    <mergeCell ref="X309:X314"/>
    <mergeCell ref="Y309:Y314"/>
    <mergeCell ref="X315:X320"/>
    <mergeCell ref="Y315:Y320"/>
    <mergeCell ref="AL297:AL302"/>
    <mergeCell ref="AL303:AL308"/>
    <mergeCell ref="AL309:AL314"/>
    <mergeCell ref="AL207:AL212"/>
    <mergeCell ref="AL213:AL218"/>
    <mergeCell ref="AL219:AL224"/>
    <mergeCell ref="AL225:AL230"/>
    <mergeCell ref="AL231:AL236"/>
    <mergeCell ref="AL237:AL242"/>
    <mergeCell ref="AL243:AL248"/>
    <mergeCell ref="AL315:AL320"/>
    <mergeCell ref="AL321:AL326"/>
    <mergeCell ref="AL327:AL332"/>
    <mergeCell ref="AL261:AL266"/>
    <mergeCell ref="AL267:AL272"/>
    <mergeCell ref="AL273:AL278"/>
    <mergeCell ref="AL279:AL284"/>
    <mergeCell ref="AL285:AL290"/>
    <mergeCell ref="AL291:AL296"/>
  </mergeCells>
  <conditionalFormatting sqref="I3:I32 X3:Y3 AL9 AL15 AL27 AL33 AL39 AL45 AL51 AL57 AL159 AL171 AL177 AL183 AL189 AL195 AL207 AL213 AL219 AL231 AL237 AL243 AL249 AL255 AL261 AL267 AL273 AL279 AL285 AL291 AL297 AL303 AL309 AL315 AL321 AL327 X33:Y33 X39:Y39 X45:Y45 X51:Y51 X57:Y57 X99:Y99 X105:Y105 X111:Y111 X117:Y117 X159:Y159 X171:Y171 X177:Y177 X183:Y183 X189:Y189 X195:Y195 X201:Y201 X207:Y207 X213:Y213 X219:Y219 X225:Y225 X231:Y231 X237:Y237 X243:Y243 X249:Y249 X255:Y255 X261:Y261 X267:Y267 X273:Y273 X279:Y279 X285:Y285 X291:Y291 X297:Y297 X303:Y303 X309:Y309 X315:Y315 X321:Y321 X327:Y327 X9:Y9 X15:Y15 X21:Y21 X27:Y27 I61:I62">
    <cfRule type="containsText" dxfId="251" priority="46" operator="containsText" text="NO">
      <formula>NOT(ISERROR(SEARCH("NO",I3)))</formula>
    </cfRule>
  </conditionalFormatting>
  <conditionalFormatting sqref="J3:J32 J61:J62">
    <cfRule type="containsText" dxfId="250" priority="45" operator="containsText" text="NO">
      <formula>NOT(ISERROR(SEARCH("NO",J3)))</formula>
    </cfRule>
  </conditionalFormatting>
  <conditionalFormatting sqref="AK30:AK32 AK61:AK62">
    <cfRule type="containsText" dxfId="249" priority="44" operator="containsText" text="NO">
      <formula>NOT(ISERROR(SEARCH("NO",AK30)))</formula>
    </cfRule>
  </conditionalFormatting>
  <conditionalFormatting sqref="I63:I92 X63:Y63 AK63:AL63 AL69 AL75 AL81 AL87 X69:Y69 X75:Y75 X81:Y81 X87:Y87">
    <cfRule type="containsText" dxfId="248" priority="40" operator="containsText" text="NO">
      <formula>NOT(ISERROR(SEARCH("NO",I63)))</formula>
    </cfRule>
  </conditionalFormatting>
  <conditionalFormatting sqref="J63:J92">
    <cfRule type="containsText" dxfId="247" priority="39" operator="containsText" text="NO">
      <formula>NOT(ISERROR(SEARCH("NO",J63)))</formula>
    </cfRule>
  </conditionalFormatting>
  <conditionalFormatting sqref="AK64:AK92">
    <cfRule type="containsText" dxfId="246" priority="38" operator="containsText" text="NO">
      <formula>NOT(ISERROR(SEARCH("NO",AK64)))</formula>
    </cfRule>
  </conditionalFormatting>
  <conditionalFormatting sqref="I123:I158 AK123:AL123 AL129 AL135 AL141 AL147 AL153">
    <cfRule type="containsText" dxfId="245" priority="37" operator="containsText" text="NO">
      <formula>NOT(ISERROR(SEARCH("NO",I123)))</formula>
    </cfRule>
  </conditionalFormatting>
  <conditionalFormatting sqref="J123:J158">
    <cfRule type="containsText" dxfId="244" priority="36" operator="containsText" text="NO">
      <formula>NOT(ISERROR(SEARCH("NO",J123)))</formula>
    </cfRule>
  </conditionalFormatting>
  <conditionalFormatting sqref="AK124:AK158">
    <cfRule type="containsText" dxfId="243" priority="35" operator="containsText" text="NO">
      <formula>NOT(ISERROR(SEARCH("NO",AK124)))</formula>
    </cfRule>
  </conditionalFormatting>
  <conditionalFormatting sqref="AK3">
    <cfRule type="containsText" dxfId="242" priority="34" operator="containsText" text="NO">
      <formula>NOT(ISERROR(SEARCH("NO",AK3)))</formula>
    </cfRule>
  </conditionalFormatting>
  <conditionalFormatting sqref="AK4:AK29">
    <cfRule type="containsText" dxfId="241" priority="33" operator="containsText" text="NO">
      <formula>NOT(ISERROR(SEARCH("NO",AK4)))</formula>
    </cfRule>
  </conditionalFormatting>
  <conditionalFormatting sqref="I93:I100 I103:I118 I121:I122">
    <cfRule type="containsText" dxfId="240" priority="32" operator="containsText" text="NO">
      <formula>NOT(ISERROR(SEARCH("NO",I93)))</formula>
    </cfRule>
  </conditionalFormatting>
  <conditionalFormatting sqref="J93:J100 J103:J118 J121:J122">
    <cfRule type="containsText" dxfId="239" priority="31" operator="containsText" text="NO">
      <formula>NOT(ISERROR(SEARCH("NO",J93)))</formula>
    </cfRule>
  </conditionalFormatting>
  <conditionalFormatting sqref="I101">
    <cfRule type="containsText" dxfId="238" priority="30" operator="containsText" text="NO">
      <formula>NOT(ISERROR(SEARCH("NO",I101)))</formula>
    </cfRule>
  </conditionalFormatting>
  <conditionalFormatting sqref="J101">
    <cfRule type="containsText" dxfId="237" priority="29" operator="containsText" text="NO">
      <formula>NOT(ISERROR(SEARCH("NO",J101)))</formula>
    </cfRule>
  </conditionalFormatting>
  <conditionalFormatting sqref="I102">
    <cfRule type="containsText" dxfId="236" priority="28" operator="containsText" text="NO">
      <formula>NOT(ISERROR(SEARCH("NO",I102)))</formula>
    </cfRule>
  </conditionalFormatting>
  <conditionalFormatting sqref="J102">
    <cfRule type="containsText" dxfId="235" priority="27" operator="containsText" text="NO">
      <formula>NOT(ISERROR(SEARCH("NO",J102)))</formula>
    </cfRule>
  </conditionalFormatting>
  <conditionalFormatting sqref="I119">
    <cfRule type="containsText" dxfId="234" priority="26" operator="containsText" text="NO">
      <formula>NOT(ISERROR(SEARCH("NO",I119)))</formula>
    </cfRule>
  </conditionalFormatting>
  <conditionalFormatting sqref="J119">
    <cfRule type="containsText" dxfId="233" priority="25" operator="containsText" text="NO">
      <formula>NOT(ISERROR(SEARCH("NO",J119)))</formula>
    </cfRule>
  </conditionalFormatting>
  <conditionalFormatting sqref="I120">
    <cfRule type="containsText" dxfId="232" priority="24" operator="containsText" text="NO">
      <formula>NOT(ISERROR(SEARCH("NO",I120)))</formula>
    </cfRule>
  </conditionalFormatting>
  <conditionalFormatting sqref="J120">
    <cfRule type="containsText" dxfId="231" priority="23" operator="containsText" text="NO">
      <formula>NOT(ISERROR(SEARCH("NO",J120)))</formula>
    </cfRule>
  </conditionalFormatting>
  <conditionalFormatting sqref="AK93 AL99 AL105 AL111 AL117">
    <cfRule type="containsText" dxfId="230" priority="22" operator="containsText" text="NO">
      <formula>NOT(ISERROR(SEARCH("NO",AK93)))</formula>
    </cfRule>
  </conditionalFormatting>
  <conditionalFormatting sqref="AK94:AK122">
    <cfRule type="containsText" dxfId="229" priority="21" operator="containsText" text="NO">
      <formula>NOT(ISERROR(SEARCH("NO",AK94)))</formula>
    </cfRule>
  </conditionalFormatting>
  <conditionalFormatting sqref="AK195:AK212">
    <cfRule type="containsText" dxfId="228" priority="20" operator="containsText" text="NO">
      <formula>NOT(ISERROR(SEARCH("NO",AK195)))</formula>
    </cfRule>
  </conditionalFormatting>
  <conditionalFormatting sqref="AK213:AK227">
    <cfRule type="containsText" dxfId="227" priority="19" operator="containsText" text="NO">
      <formula>NOT(ISERROR(SEARCH("NO",AK213)))</formula>
    </cfRule>
  </conditionalFormatting>
  <conditionalFormatting sqref="X123:Y123 X129:Y129 X135 X147:Y147 X153:Y153 X141">
    <cfRule type="containsText" dxfId="226" priority="18" operator="containsText" text="NO">
      <formula>NOT(ISERROR(SEARCH("NO",X123)))</formula>
    </cfRule>
  </conditionalFormatting>
  <conditionalFormatting sqref="I33:J60">
    <cfRule type="containsText" dxfId="225" priority="17" operator="containsText" text="NO">
      <formula>NOT(ISERROR(SEARCH("NO",I33)))</formula>
    </cfRule>
  </conditionalFormatting>
  <conditionalFormatting sqref="AK33:AK60">
    <cfRule type="containsText" dxfId="224" priority="15" operator="containsText" text="NO">
      <formula>NOT(ISERROR(SEARCH("NO",AK33)))</formula>
    </cfRule>
  </conditionalFormatting>
  <conditionalFormatting sqref="AL165">
    <cfRule type="containsText" dxfId="223" priority="13" operator="containsText" text="NO">
      <formula>NOT(ISERROR(SEARCH("NO",AL165)))</formula>
    </cfRule>
  </conditionalFormatting>
  <conditionalFormatting sqref="AL93">
    <cfRule type="containsText" dxfId="222" priority="12" operator="containsText" text="NO">
      <formula>NOT(ISERROR(SEARCH("NO",AL93)))</formula>
    </cfRule>
  </conditionalFormatting>
  <conditionalFormatting sqref="X93:Y93">
    <cfRule type="containsText" dxfId="221" priority="11" operator="containsText" text="NO">
      <formula>NOT(ISERROR(SEARCH("NO",X93)))</formula>
    </cfRule>
  </conditionalFormatting>
  <conditionalFormatting sqref="Y135">
    <cfRule type="containsText" dxfId="220" priority="10" operator="containsText" text="NO">
      <formula>NOT(ISERROR(SEARCH("NO",Y135)))</formula>
    </cfRule>
  </conditionalFormatting>
  <conditionalFormatting sqref="Y141">
    <cfRule type="containsText" dxfId="219" priority="9" operator="containsText" text="NO">
      <formula>NOT(ISERROR(SEARCH("NO",Y141)))</formula>
    </cfRule>
  </conditionalFormatting>
  <conditionalFormatting sqref="X165">
    <cfRule type="containsText" dxfId="218" priority="8" operator="containsText" text="NO">
      <formula>NOT(ISERROR(SEARCH("NO",X165)))</formula>
    </cfRule>
  </conditionalFormatting>
  <conditionalFormatting sqref="Y165">
    <cfRule type="containsText" dxfId="217" priority="7" operator="containsText" text="NO">
      <formula>NOT(ISERROR(SEARCH("NO",Y165)))</formula>
    </cfRule>
  </conditionalFormatting>
  <conditionalFormatting sqref="AL201">
    <cfRule type="containsText" dxfId="216" priority="6" operator="containsText" text="NO">
      <formula>NOT(ISERROR(SEARCH("NO",AL201)))</formula>
    </cfRule>
  </conditionalFormatting>
  <conditionalFormatting sqref="AL21">
    <cfRule type="containsText" dxfId="215" priority="4" operator="containsText" text="NO">
      <formula>NOT(ISERROR(SEARCH("NO",AL21)))</formula>
    </cfRule>
  </conditionalFormatting>
  <conditionalFormatting sqref="AL3">
    <cfRule type="containsText" dxfId="214" priority="3" operator="containsText" text="NO">
      <formula>NOT(ISERROR(SEARCH("NO",AL3)))</formula>
    </cfRule>
  </conditionalFormatting>
  <conditionalFormatting sqref="AL225">
    <cfRule type="containsText" dxfId="213" priority="1" operator="containsText" text="NO">
      <formula>NOT(ISERROR(SEARCH("NO",AL225)))</formula>
    </cfRule>
  </conditionalFormatting>
  <dataValidations count="2">
    <dataValidation type="list" allowBlank="1" showInputMessage="1" showErrorMessage="1" sqref="I123:J158 AB123:AD128 AE123:AK158 I3:J92 AB63:AD72 AB75:AD77 AK93:AK122 AB93:AD98 AE93:AJ121 AE30:AK32 AE61:AK92 AK33:AK60 AE33:AJ58">
      <formula1>$AO$1:$AP$1</formula1>
    </dataValidation>
    <dataValidation type="list" allowBlank="1" showInputMessage="1" showErrorMessage="1" sqref="AB3:AD8 AE3:AK29 AB195:AK200 AE201:AK227">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249977111117893"/>
  </sheetPr>
  <dimension ref="A1:AF333"/>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C101" sqref="AC101"/>
    </sheetView>
  </sheetViews>
  <sheetFormatPr baseColWidth="10" defaultColWidth="10.875" defaultRowHeight="15.75"/>
  <cols>
    <col min="1" max="1" width="6.5" style="50" customWidth="1"/>
    <col min="2" max="2" width="8.875" style="50" customWidth="1"/>
    <col min="3" max="3" width="9.125" style="785" customWidth="1"/>
    <col min="4" max="4" width="19.75" style="52" customWidth="1"/>
    <col min="5" max="5" width="14.5" style="52" customWidth="1"/>
    <col min="6" max="6" width="12.875" style="52" customWidth="1"/>
    <col min="7" max="7" width="14.625" style="52" customWidth="1"/>
    <col min="8" max="8" width="66.125" style="59" customWidth="1"/>
    <col min="9" max="10" width="18.5" style="59" customWidth="1"/>
    <col min="11" max="11" width="52.25" style="59" customWidth="1"/>
    <col min="12" max="13" width="18.875" style="59" customWidth="1"/>
    <col min="14" max="14" width="13.625" style="60" customWidth="1"/>
    <col min="15" max="15" width="10.625" style="61" customWidth="1"/>
    <col min="16" max="16" width="11" style="62" customWidth="1"/>
    <col min="17" max="17" width="11" style="63" customWidth="1"/>
    <col min="18" max="18" width="11" style="29" customWidth="1"/>
    <col min="19" max="19" width="18.5" style="64" customWidth="1"/>
    <col min="20" max="20" width="8.75" style="64" customWidth="1"/>
    <col min="21" max="21" width="9.5" style="29" bestFit="1" customWidth="1"/>
    <col min="22" max="22" width="18" style="29" customWidth="1"/>
    <col min="23" max="23" width="9.625" style="1028" bestFit="1" customWidth="1"/>
    <col min="24" max="24" width="20.125" style="29" customWidth="1"/>
    <col min="25" max="25" width="15.5" style="29" customWidth="1"/>
    <col min="26" max="26" width="18.375" style="42" customWidth="1"/>
    <col min="27" max="28" width="19.5" style="19" customWidth="1"/>
    <col min="29" max="29" width="59.125" style="52" customWidth="1"/>
    <col min="30" max="32" width="10.875" style="66"/>
    <col min="33" max="34" width="15.125" style="66" bestFit="1" customWidth="1"/>
    <col min="35" max="16384" width="10.875" style="66"/>
  </cols>
  <sheetData>
    <row r="1" spans="1:32" s="17" customFormat="1" ht="15" customHeight="1">
      <c r="A1" s="1516" t="s">
        <v>96</v>
      </c>
      <c r="B1" s="1516" t="s">
        <v>97</v>
      </c>
      <c r="C1" s="1516" t="s">
        <v>98</v>
      </c>
      <c r="D1" s="1516" t="s">
        <v>99</v>
      </c>
      <c r="E1" s="1516" t="s">
        <v>100</v>
      </c>
      <c r="F1" s="1517" t="s">
        <v>101</v>
      </c>
      <c r="G1" s="1517" t="s">
        <v>102</v>
      </c>
      <c r="H1" s="1516" t="s">
        <v>103</v>
      </c>
      <c r="I1" s="1519" t="s">
        <v>104</v>
      </c>
      <c r="J1" s="1519" t="s">
        <v>679</v>
      </c>
      <c r="K1" s="1543" t="s">
        <v>680</v>
      </c>
      <c r="L1" s="1520" t="s">
        <v>105</v>
      </c>
      <c r="M1" s="1520" t="s">
        <v>681</v>
      </c>
      <c r="N1" s="1521" t="s">
        <v>106</v>
      </c>
      <c r="O1" s="1523" t="s">
        <v>107</v>
      </c>
      <c r="P1" s="1523" t="s">
        <v>108</v>
      </c>
      <c r="Q1" s="1525" t="s">
        <v>109</v>
      </c>
      <c r="R1" s="1516" t="s">
        <v>110</v>
      </c>
      <c r="S1" s="1516" t="s">
        <v>111</v>
      </c>
      <c r="T1" s="1516" t="s">
        <v>112</v>
      </c>
      <c r="U1" s="1519" t="s">
        <v>113</v>
      </c>
      <c r="V1" s="1519" t="s">
        <v>114</v>
      </c>
      <c r="W1" s="1541" t="s">
        <v>115</v>
      </c>
      <c r="X1" s="1519" t="s">
        <v>116</v>
      </c>
      <c r="Y1" s="1516" t="s">
        <v>117</v>
      </c>
      <c r="Z1" s="1519" t="s">
        <v>118</v>
      </c>
      <c r="AA1" s="1519" t="s">
        <v>83</v>
      </c>
      <c r="AB1" s="1520" t="s">
        <v>682</v>
      </c>
      <c r="AC1" s="1529" t="s">
        <v>128</v>
      </c>
      <c r="AE1" s="18" t="s">
        <v>22</v>
      </c>
      <c r="AF1" s="18" t="s">
        <v>129</v>
      </c>
    </row>
    <row r="2" spans="1:32" s="17" customFormat="1" ht="28.5" customHeight="1" thickBot="1">
      <c r="A2" s="1517"/>
      <c r="B2" s="1517"/>
      <c r="C2" s="1517"/>
      <c r="D2" s="1517"/>
      <c r="E2" s="1517"/>
      <c r="F2" s="1518"/>
      <c r="G2" s="1518"/>
      <c r="H2" s="1517"/>
      <c r="I2" s="1520"/>
      <c r="J2" s="1520"/>
      <c r="K2" s="1544"/>
      <c r="L2" s="1545"/>
      <c r="M2" s="1545"/>
      <c r="N2" s="1522"/>
      <c r="O2" s="1524"/>
      <c r="P2" s="1524"/>
      <c r="Q2" s="1526"/>
      <c r="R2" s="1517"/>
      <c r="S2" s="1517"/>
      <c r="T2" s="1517"/>
      <c r="U2" s="1520"/>
      <c r="V2" s="1520"/>
      <c r="W2" s="1542"/>
      <c r="X2" s="1520"/>
      <c r="Y2" s="1517"/>
      <c r="Z2" s="1520"/>
      <c r="AA2" s="1520"/>
      <c r="AB2" s="1545"/>
      <c r="AC2" s="1530"/>
    </row>
    <row r="3" spans="1:32" s="33" customFormat="1" ht="156" customHeight="1">
      <c r="A3" s="1509" t="s">
        <v>15</v>
      </c>
      <c r="B3" s="308" t="s">
        <v>145</v>
      </c>
      <c r="C3" s="82">
        <v>6</v>
      </c>
      <c r="D3" s="83" t="s">
        <v>146</v>
      </c>
      <c r="E3" s="84" t="s">
        <v>147</v>
      </c>
      <c r="F3" s="84" t="s">
        <v>148</v>
      </c>
      <c r="G3" s="84" t="s">
        <v>149</v>
      </c>
      <c r="H3" s="85" t="s">
        <v>150</v>
      </c>
      <c r="I3" s="1393" t="s">
        <v>22</v>
      </c>
      <c r="J3" s="1393" t="s">
        <v>22</v>
      </c>
      <c r="K3" s="1393" t="s">
        <v>22</v>
      </c>
      <c r="L3" s="1505" t="s">
        <v>22</v>
      </c>
      <c r="M3" s="1505" t="s">
        <v>129</v>
      </c>
      <c r="N3" s="86">
        <v>0.6</v>
      </c>
      <c r="O3" s="87">
        <v>41572</v>
      </c>
      <c r="P3" s="87">
        <v>42143</v>
      </c>
      <c r="Q3" s="88">
        <v>2015</v>
      </c>
      <c r="R3" s="298">
        <v>644350</v>
      </c>
      <c r="S3" s="890">
        <v>5589965390</v>
      </c>
      <c r="T3" s="91" t="s">
        <v>151</v>
      </c>
      <c r="U3" s="81" t="s">
        <v>140</v>
      </c>
      <c r="V3" s="92" t="s">
        <v>140</v>
      </c>
      <c r="W3" s="1038">
        <v>1</v>
      </c>
      <c r="X3" s="911">
        <v>5589965390</v>
      </c>
      <c r="Y3" s="94">
        <v>8675.3556141848367</v>
      </c>
      <c r="Z3" s="94">
        <v>5205.213368510902</v>
      </c>
      <c r="AA3" s="1400" t="s">
        <v>245</v>
      </c>
      <c r="AB3" s="1540" t="s">
        <v>2491</v>
      </c>
      <c r="AC3" s="429"/>
      <c r="AD3" s="67"/>
    </row>
    <row r="4" spans="1:32" s="33" customFormat="1" ht="78" customHeight="1">
      <c r="A4" s="1510"/>
      <c r="B4" s="19" t="s">
        <v>145</v>
      </c>
      <c r="C4" s="20">
        <v>9</v>
      </c>
      <c r="D4" s="21" t="s">
        <v>146</v>
      </c>
      <c r="E4" s="22" t="s">
        <v>147</v>
      </c>
      <c r="F4" s="22" t="s">
        <v>148</v>
      </c>
      <c r="G4" s="22" t="s">
        <v>683</v>
      </c>
      <c r="H4" s="22" t="s">
        <v>684</v>
      </c>
      <c r="I4" s="1388" t="s">
        <v>22</v>
      </c>
      <c r="J4" s="1388" t="s">
        <v>129</v>
      </c>
      <c r="K4" s="1388" t="s">
        <v>22</v>
      </c>
      <c r="L4" s="1506"/>
      <c r="M4" s="1506"/>
      <c r="N4" s="34">
        <v>0.6</v>
      </c>
      <c r="O4" s="25">
        <v>41649</v>
      </c>
      <c r="P4" s="25">
        <v>42151</v>
      </c>
      <c r="Q4" s="26">
        <v>2015</v>
      </c>
      <c r="R4" s="27">
        <v>644350</v>
      </c>
      <c r="S4" s="891">
        <v>4710651972</v>
      </c>
      <c r="T4" s="27" t="s">
        <v>151</v>
      </c>
      <c r="U4" s="19" t="s">
        <v>140</v>
      </c>
      <c r="V4" s="78" t="s">
        <v>140</v>
      </c>
      <c r="W4" s="1039">
        <v>1</v>
      </c>
      <c r="X4" s="912">
        <v>4710651972</v>
      </c>
      <c r="Y4" s="80">
        <v>7310.7037665864827</v>
      </c>
      <c r="Z4" s="80">
        <v>4386.4222599518898</v>
      </c>
      <c r="AA4" s="1388" t="s">
        <v>245</v>
      </c>
      <c r="AB4" s="1506"/>
      <c r="AC4" s="97"/>
      <c r="AD4" s="67"/>
    </row>
    <row r="5" spans="1:32" s="33" customFormat="1" ht="65.099999999999994" customHeight="1">
      <c r="A5" s="1510"/>
      <c r="B5" s="68" t="s">
        <v>153</v>
      </c>
      <c r="C5" s="20">
        <v>12</v>
      </c>
      <c r="D5" s="21" t="s">
        <v>154</v>
      </c>
      <c r="E5" s="22" t="s">
        <v>155</v>
      </c>
      <c r="F5" s="22" t="s">
        <v>148</v>
      </c>
      <c r="G5" s="22" t="s">
        <v>685</v>
      </c>
      <c r="H5" s="23" t="s">
        <v>686</v>
      </c>
      <c r="I5" s="1388" t="s">
        <v>22</v>
      </c>
      <c r="J5" s="1388" t="s">
        <v>129</v>
      </c>
      <c r="K5" s="1388" t="s">
        <v>129</v>
      </c>
      <c r="L5" s="1506"/>
      <c r="M5" s="1506"/>
      <c r="N5" s="24">
        <v>0.75</v>
      </c>
      <c r="O5" s="25">
        <v>38681</v>
      </c>
      <c r="P5" s="25">
        <v>40083</v>
      </c>
      <c r="Q5" s="26">
        <v>2009</v>
      </c>
      <c r="R5" s="27">
        <v>496900</v>
      </c>
      <c r="S5" s="891">
        <v>2040507559</v>
      </c>
      <c r="T5" s="161" t="s">
        <v>151</v>
      </c>
      <c r="U5" s="151" t="s">
        <v>140</v>
      </c>
      <c r="V5" s="162" t="s">
        <v>140</v>
      </c>
      <c r="W5" s="1039">
        <v>1</v>
      </c>
      <c r="X5" s="913">
        <v>2040217206</v>
      </c>
      <c r="Y5" s="164">
        <v>4105.8909358019719</v>
      </c>
      <c r="Z5" s="164">
        <v>3079.4182018514789</v>
      </c>
      <c r="AA5" s="1419" t="s">
        <v>245</v>
      </c>
      <c r="AB5" s="1506"/>
      <c r="AC5" s="98"/>
      <c r="AD5" s="67"/>
    </row>
    <row r="6" spans="1:32" s="33" customFormat="1" ht="65.099999999999994" customHeight="1" thickBot="1">
      <c r="A6" s="1511"/>
      <c r="B6" s="99" t="s">
        <v>153</v>
      </c>
      <c r="C6" s="123">
        <v>15</v>
      </c>
      <c r="D6" s="101" t="s">
        <v>154</v>
      </c>
      <c r="E6" s="102" t="s">
        <v>155</v>
      </c>
      <c r="F6" s="102" t="s">
        <v>148</v>
      </c>
      <c r="G6" s="102" t="s">
        <v>156</v>
      </c>
      <c r="H6" s="103" t="s">
        <v>157</v>
      </c>
      <c r="I6" s="1392" t="s">
        <v>22</v>
      </c>
      <c r="J6" s="1392" t="s">
        <v>129</v>
      </c>
      <c r="K6" s="1392" t="s">
        <v>129</v>
      </c>
      <c r="L6" s="1507"/>
      <c r="M6" s="1507"/>
      <c r="N6" s="104">
        <v>0.9</v>
      </c>
      <c r="O6" s="105">
        <v>39770</v>
      </c>
      <c r="P6" s="105">
        <v>40711</v>
      </c>
      <c r="Q6" s="106">
        <v>2011</v>
      </c>
      <c r="R6" s="328">
        <v>535600</v>
      </c>
      <c r="S6" s="892">
        <v>2159192501</v>
      </c>
      <c r="T6" s="107" t="s">
        <v>151</v>
      </c>
      <c r="U6" s="99" t="s">
        <v>140</v>
      </c>
      <c r="V6" s="110" t="s">
        <v>140</v>
      </c>
      <c r="W6" s="1040">
        <v>1</v>
      </c>
      <c r="X6" s="914">
        <v>2159192501</v>
      </c>
      <c r="Y6" s="112">
        <v>4031.3526904406272</v>
      </c>
      <c r="Z6" s="112">
        <v>3628.2174213965645</v>
      </c>
      <c r="AA6" s="1392" t="s">
        <v>245</v>
      </c>
      <c r="AB6" s="1507"/>
      <c r="AC6" s="124"/>
      <c r="AD6" s="67"/>
    </row>
    <row r="7" spans="1:32" s="33" customFormat="1" ht="48.75" customHeight="1">
      <c r="A7" s="1509" t="s">
        <v>20</v>
      </c>
      <c r="B7" s="68" t="s">
        <v>159</v>
      </c>
      <c r="C7" s="781">
        <v>6</v>
      </c>
      <c r="D7" s="70" t="s">
        <v>160</v>
      </c>
      <c r="E7" s="71" t="s">
        <v>155</v>
      </c>
      <c r="F7" s="71" t="s">
        <v>148</v>
      </c>
      <c r="G7" s="71" t="s">
        <v>164</v>
      </c>
      <c r="H7" s="72" t="s">
        <v>165</v>
      </c>
      <c r="I7" s="1393" t="s">
        <v>22</v>
      </c>
      <c r="J7" s="1394" t="s">
        <v>129</v>
      </c>
      <c r="K7" s="1394" t="s">
        <v>129</v>
      </c>
      <c r="L7" s="1505" t="s">
        <v>22</v>
      </c>
      <c r="M7" s="1505" t="s">
        <v>129</v>
      </c>
      <c r="N7" s="73">
        <v>0.5</v>
      </c>
      <c r="O7" s="74">
        <v>37411</v>
      </c>
      <c r="P7" s="74">
        <v>38776</v>
      </c>
      <c r="Q7" s="116">
        <v>2006</v>
      </c>
      <c r="R7" s="787">
        <v>408000</v>
      </c>
      <c r="S7" s="897">
        <v>3791186167</v>
      </c>
      <c r="T7" s="77" t="s">
        <v>151</v>
      </c>
      <c r="U7" s="68" t="s">
        <v>140</v>
      </c>
      <c r="V7" s="78" t="s">
        <v>140</v>
      </c>
      <c r="W7" s="1041">
        <v>1</v>
      </c>
      <c r="X7" s="912">
        <v>3791186167</v>
      </c>
      <c r="Y7" s="80">
        <v>9292.1229583333334</v>
      </c>
      <c r="Z7" s="80">
        <v>4646.0614791666667</v>
      </c>
      <c r="AA7" s="1401" t="s">
        <v>245</v>
      </c>
      <c r="AB7" s="1505">
        <v>900</v>
      </c>
      <c r="AC7" s="122"/>
      <c r="AD7" s="67"/>
    </row>
    <row r="8" spans="1:32" s="33" customFormat="1" ht="139.5" customHeight="1">
      <c r="A8" s="1510"/>
      <c r="B8" s="68" t="s">
        <v>159</v>
      </c>
      <c r="C8" s="782">
        <v>41</v>
      </c>
      <c r="D8" s="21" t="s">
        <v>160</v>
      </c>
      <c r="E8" s="22" t="s">
        <v>207</v>
      </c>
      <c r="F8" s="22" t="s">
        <v>148</v>
      </c>
      <c r="G8" s="22" t="s">
        <v>687</v>
      </c>
      <c r="H8" s="23" t="s">
        <v>688</v>
      </c>
      <c r="I8" s="1388" t="s">
        <v>22</v>
      </c>
      <c r="J8" s="1388" t="s">
        <v>129</v>
      </c>
      <c r="K8" s="1388" t="s">
        <v>22</v>
      </c>
      <c r="L8" s="1506"/>
      <c r="M8" s="1506"/>
      <c r="N8" s="24">
        <v>0.4</v>
      </c>
      <c r="O8" s="25">
        <v>37910</v>
      </c>
      <c r="P8" s="25">
        <v>40939</v>
      </c>
      <c r="Q8" s="26">
        <v>2012</v>
      </c>
      <c r="R8" s="27">
        <v>566700</v>
      </c>
      <c r="S8" s="895">
        <v>11747944351</v>
      </c>
      <c r="T8" s="29" t="s">
        <v>151</v>
      </c>
      <c r="U8" s="19" t="s">
        <v>140</v>
      </c>
      <c r="V8" s="30" t="s">
        <v>140</v>
      </c>
      <c r="W8" s="1039">
        <v>1</v>
      </c>
      <c r="X8" s="915">
        <v>11747944351</v>
      </c>
      <c r="Y8" s="16">
        <v>20730.447063702137</v>
      </c>
      <c r="Z8" s="16">
        <v>8292.1788254808544</v>
      </c>
      <c r="AA8" s="1388" t="s">
        <v>245</v>
      </c>
      <c r="AB8" s="1506"/>
      <c r="AC8" s="97"/>
      <c r="AD8" s="67"/>
    </row>
    <row r="9" spans="1:32" s="33" customFormat="1" ht="50.25" customHeight="1">
      <c r="A9" s="1510"/>
      <c r="B9" s="68" t="s">
        <v>166</v>
      </c>
      <c r="C9" s="782">
        <v>173</v>
      </c>
      <c r="D9" s="21" t="s">
        <v>167</v>
      </c>
      <c r="E9" s="22" t="s">
        <v>168</v>
      </c>
      <c r="F9" s="22" t="s">
        <v>148</v>
      </c>
      <c r="G9" s="22" t="s">
        <v>169</v>
      </c>
      <c r="H9" s="23" t="s">
        <v>170</v>
      </c>
      <c r="I9" s="1388" t="s">
        <v>22</v>
      </c>
      <c r="J9" s="1388" t="s">
        <v>129</v>
      </c>
      <c r="K9" s="1388" t="s">
        <v>129</v>
      </c>
      <c r="L9" s="1506"/>
      <c r="M9" s="1506"/>
      <c r="N9" s="24">
        <v>0.45</v>
      </c>
      <c r="O9" s="25">
        <v>40805</v>
      </c>
      <c r="P9" s="25">
        <v>41730</v>
      </c>
      <c r="Q9" s="26">
        <v>2014</v>
      </c>
      <c r="R9" s="27">
        <v>616000</v>
      </c>
      <c r="S9" s="895">
        <v>5922134662</v>
      </c>
      <c r="T9" s="29" t="s">
        <v>151</v>
      </c>
      <c r="U9" s="19" t="s">
        <v>140</v>
      </c>
      <c r="V9" s="30" t="s">
        <v>140</v>
      </c>
      <c r="W9" s="1039">
        <v>1</v>
      </c>
      <c r="X9" s="915">
        <v>5922134662</v>
      </c>
      <c r="Y9" s="16">
        <v>9613.8549707792208</v>
      </c>
      <c r="Z9" s="16">
        <v>4326.2347368506498</v>
      </c>
      <c r="AA9" s="1388" t="s">
        <v>245</v>
      </c>
      <c r="AB9" s="1506"/>
      <c r="AC9" s="97"/>
      <c r="AD9" s="67"/>
    </row>
    <row r="10" spans="1:32" s="33" customFormat="1" ht="57" customHeight="1">
      <c r="A10" s="1511"/>
      <c r="B10" s="68" t="s">
        <v>159</v>
      </c>
      <c r="C10" s="782">
        <v>276</v>
      </c>
      <c r="D10" s="21" t="s">
        <v>160</v>
      </c>
      <c r="E10" s="22" t="s">
        <v>689</v>
      </c>
      <c r="F10" s="22" t="s">
        <v>148</v>
      </c>
      <c r="G10" s="22" t="s">
        <v>690</v>
      </c>
      <c r="H10" s="23" t="s">
        <v>691</v>
      </c>
      <c r="I10" s="1392" t="s">
        <v>22</v>
      </c>
      <c r="J10" s="1388" t="s">
        <v>22</v>
      </c>
      <c r="K10" s="1388" t="s">
        <v>129</v>
      </c>
      <c r="L10" s="1507"/>
      <c r="M10" s="1507"/>
      <c r="N10" s="24">
        <v>1</v>
      </c>
      <c r="O10" s="25">
        <v>34198</v>
      </c>
      <c r="P10" s="25">
        <v>34905</v>
      </c>
      <c r="Q10" s="26">
        <v>1995</v>
      </c>
      <c r="R10" s="75">
        <v>118933.5</v>
      </c>
      <c r="S10" s="896">
        <v>312933927.08999997</v>
      </c>
      <c r="T10" s="29" t="s">
        <v>151</v>
      </c>
      <c r="U10" s="19" t="s">
        <v>140</v>
      </c>
      <c r="V10" s="110" t="s">
        <v>140</v>
      </c>
      <c r="W10" s="1040">
        <v>1</v>
      </c>
      <c r="X10" s="914">
        <v>312933927.08999997</v>
      </c>
      <c r="Y10" s="16">
        <v>2631.1672244573647</v>
      </c>
      <c r="Z10" s="16">
        <v>2631.1672244573647</v>
      </c>
      <c r="AA10" s="1401" t="s">
        <v>245</v>
      </c>
      <c r="AB10" s="1507"/>
      <c r="AC10" s="97"/>
      <c r="AD10" s="67"/>
    </row>
    <row r="11" spans="1:32" s="33" customFormat="1" ht="65.25" customHeight="1">
      <c r="A11" s="1509" t="s">
        <v>23</v>
      </c>
      <c r="B11" s="81" t="s">
        <v>180</v>
      </c>
      <c r="C11" s="783">
        <v>11</v>
      </c>
      <c r="D11" s="83" t="s">
        <v>181</v>
      </c>
      <c r="E11" s="84" t="s">
        <v>182</v>
      </c>
      <c r="F11" s="84" t="s">
        <v>139</v>
      </c>
      <c r="G11" s="84" t="s">
        <v>183</v>
      </c>
      <c r="H11" s="85" t="s">
        <v>184</v>
      </c>
      <c r="I11" s="1393" t="s">
        <v>22</v>
      </c>
      <c r="J11" s="1393" t="s">
        <v>22</v>
      </c>
      <c r="K11" s="1393" t="s">
        <v>129</v>
      </c>
      <c r="L11" s="1505" t="s">
        <v>22</v>
      </c>
      <c r="M11" s="1505" t="s">
        <v>129</v>
      </c>
      <c r="N11" s="86">
        <v>0.4</v>
      </c>
      <c r="O11" s="238">
        <v>37377</v>
      </c>
      <c r="P11" s="238">
        <v>39969</v>
      </c>
      <c r="Q11" s="88">
        <v>2009</v>
      </c>
      <c r="R11" s="298" t="s">
        <v>185</v>
      </c>
      <c r="S11" s="897">
        <v>5809824</v>
      </c>
      <c r="T11" s="91" t="s">
        <v>142</v>
      </c>
      <c r="U11" s="81">
        <v>1.41723</v>
      </c>
      <c r="V11" s="92">
        <v>8233857</v>
      </c>
      <c r="W11" s="1042">
        <v>2072</v>
      </c>
      <c r="X11" s="911" t="s">
        <v>186</v>
      </c>
      <c r="Y11" s="94">
        <v>34333.97</v>
      </c>
      <c r="Z11" s="94">
        <v>13733.59</v>
      </c>
      <c r="AA11" s="1400" t="s">
        <v>245</v>
      </c>
      <c r="AB11" s="1505">
        <v>900</v>
      </c>
      <c r="AC11" s="1293"/>
      <c r="AD11" s="67"/>
    </row>
    <row r="12" spans="1:32" s="33" customFormat="1" ht="73.5" customHeight="1">
      <c r="A12" s="1510"/>
      <c r="B12" s="19" t="s">
        <v>171</v>
      </c>
      <c r="C12" s="782">
        <v>16</v>
      </c>
      <c r="D12" s="21" t="s">
        <v>172</v>
      </c>
      <c r="E12" s="22" t="s">
        <v>147</v>
      </c>
      <c r="F12" s="22" t="s">
        <v>148</v>
      </c>
      <c r="G12" s="22" t="s">
        <v>692</v>
      </c>
      <c r="H12" s="23" t="s">
        <v>693</v>
      </c>
      <c r="I12" s="1388" t="s">
        <v>22</v>
      </c>
      <c r="J12" s="1388" t="s">
        <v>129</v>
      </c>
      <c r="K12" s="1388" t="s">
        <v>22</v>
      </c>
      <c r="L12" s="1506"/>
      <c r="M12" s="1506"/>
      <c r="N12" s="34">
        <v>0.6</v>
      </c>
      <c r="O12" s="25">
        <v>41187</v>
      </c>
      <c r="P12" s="25">
        <v>42357</v>
      </c>
      <c r="Q12" s="26">
        <v>2015</v>
      </c>
      <c r="R12" s="27">
        <v>644350</v>
      </c>
      <c r="S12" s="895">
        <v>4902104707</v>
      </c>
      <c r="T12" s="27" t="s">
        <v>151</v>
      </c>
      <c r="U12" s="19" t="s">
        <v>140</v>
      </c>
      <c r="V12" s="30" t="s">
        <v>140</v>
      </c>
      <c r="W12" s="1039">
        <v>1</v>
      </c>
      <c r="X12" s="915">
        <v>4902104707</v>
      </c>
      <c r="Y12" s="16">
        <v>7607.8291409948006</v>
      </c>
      <c r="Z12" s="16">
        <v>4564.6974845968798</v>
      </c>
      <c r="AA12" s="1388" t="s">
        <v>245</v>
      </c>
      <c r="AB12" s="1506"/>
      <c r="AC12" s="97"/>
      <c r="AD12" s="67"/>
    </row>
    <row r="13" spans="1:32" s="33" customFormat="1" ht="64.5" customHeight="1">
      <c r="A13" s="1510"/>
      <c r="B13" s="19" t="s">
        <v>171</v>
      </c>
      <c r="C13" s="782">
        <v>24</v>
      </c>
      <c r="D13" s="21" t="s">
        <v>172</v>
      </c>
      <c r="E13" s="22" t="s">
        <v>173</v>
      </c>
      <c r="F13" s="22" t="s">
        <v>174</v>
      </c>
      <c r="G13" s="22" t="s">
        <v>175</v>
      </c>
      <c r="H13" s="23" t="s">
        <v>176</v>
      </c>
      <c r="I13" s="1388" t="s">
        <v>22</v>
      </c>
      <c r="J13" s="1388" t="s">
        <v>129</v>
      </c>
      <c r="K13" s="1388" t="s">
        <v>129</v>
      </c>
      <c r="L13" s="1506"/>
      <c r="M13" s="1506"/>
      <c r="N13" s="1131">
        <v>1</v>
      </c>
      <c r="O13" s="25">
        <v>38049</v>
      </c>
      <c r="P13" s="25">
        <v>40545</v>
      </c>
      <c r="Q13" s="26">
        <v>2011</v>
      </c>
      <c r="R13" s="27">
        <v>535600</v>
      </c>
      <c r="S13" s="895">
        <v>4478229438</v>
      </c>
      <c r="T13" s="29" t="s">
        <v>177</v>
      </c>
      <c r="U13" s="19">
        <v>2.1199999999999999E-3</v>
      </c>
      <c r="V13" s="30">
        <v>9493846.4085600004</v>
      </c>
      <c r="W13" s="1039">
        <v>1913.98</v>
      </c>
      <c r="X13" s="915">
        <v>18171032149.055668</v>
      </c>
      <c r="Y13" s="16">
        <v>33926.497664405651</v>
      </c>
      <c r="Z13" s="16">
        <v>33926.497664405651</v>
      </c>
      <c r="AA13" s="1388" t="s">
        <v>245</v>
      </c>
      <c r="AB13" s="1506"/>
      <c r="AC13" s="97"/>
      <c r="AD13" s="67"/>
    </row>
    <row r="14" spans="1:32" s="33" customFormat="1" ht="55.5" customHeight="1" thickBot="1">
      <c r="A14" s="1511"/>
      <c r="B14" s="19" t="s">
        <v>171</v>
      </c>
      <c r="C14" s="782">
        <v>38</v>
      </c>
      <c r="D14" s="21" t="s">
        <v>172</v>
      </c>
      <c r="E14" s="102" t="s">
        <v>173</v>
      </c>
      <c r="F14" s="102" t="s">
        <v>174</v>
      </c>
      <c r="G14" s="102" t="s">
        <v>175</v>
      </c>
      <c r="H14" s="23" t="s">
        <v>694</v>
      </c>
      <c r="I14" s="1392" t="s">
        <v>22</v>
      </c>
      <c r="J14" s="1388" t="s">
        <v>129</v>
      </c>
      <c r="K14" s="1388" t="s">
        <v>129</v>
      </c>
      <c r="L14" s="1507"/>
      <c r="M14" s="1507"/>
      <c r="N14" s="24">
        <v>0.5</v>
      </c>
      <c r="O14" s="25">
        <v>37211</v>
      </c>
      <c r="P14" s="25">
        <v>38122</v>
      </c>
      <c r="Q14" s="26">
        <v>2004</v>
      </c>
      <c r="R14" s="75">
        <v>358000</v>
      </c>
      <c r="S14" s="896">
        <v>1728499075</v>
      </c>
      <c r="T14" s="109" t="s">
        <v>177</v>
      </c>
      <c r="U14" s="99">
        <v>1.5499999999999999E-3</v>
      </c>
      <c r="V14" s="110">
        <v>2679173.5662499997</v>
      </c>
      <c r="W14" s="1040">
        <v>2719.89</v>
      </c>
      <c r="X14" s="914">
        <v>7287057391.1077108</v>
      </c>
      <c r="Y14" s="16">
        <v>20354.908913708688</v>
      </c>
      <c r="Z14" s="16">
        <v>10177.454456854344</v>
      </c>
      <c r="AA14" s="1401" t="s">
        <v>245</v>
      </c>
      <c r="AB14" s="1507"/>
      <c r="AC14" s="97"/>
      <c r="AD14" s="67"/>
    </row>
    <row r="15" spans="1:32" s="33" customFormat="1" ht="48.75" customHeight="1">
      <c r="A15" s="1509" t="s">
        <v>24</v>
      </c>
      <c r="B15" s="81" t="s">
        <v>196</v>
      </c>
      <c r="C15" s="783">
        <v>6</v>
      </c>
      <c r="D15" s="83" t="s">
        <v>197</v>
      </c>
      <c r="E15" s="71" t="s">
        <v>147</v>
      </c>
      <c r="F15" s="71" t="s">
        <v>148</v>
      </c>
      <c r="G15" s="71" t="s">
        <v>198</v>
      </c>
      <c r="H15" s="85" t="s">
        <v>199</v>
      </c>
      <c r="I15" s="1393" t="s">
        <v>22</v>
      </c>
      <c r="J15" s="1393" t="s">
        <v>129</v>
      </c>
      <c r="K15" s="1393" t="s">
        <v>22</v>
      </c>
      <c r="L15" s="1505" t="s">
        <v>22</v>
      </c>
      <c r="M15" s="1400" t="s">
        <v>129</v>
      </c>
      <c r="N15" s="86">
        <v>0.5</v>
      </c>
      <c r="O15" s="87">
        <v>39595</v>
      </c>
      <c r="P15" s="87">
        <v>42460</v>
      </c>
      <c r="Q15" s="88">
        <v>2015</v>
      </c>
      <c r="R15" s="298">
        <v>644350</v>
      </c>
      <c r="S15" s="1118">
        <v>42325307575.199997</v>
      </c>
      <c r="T15" s="77" t="s">
        <v>151</v>
      </c>
      <c r="U15" s="68" t="s">
        <v>140</v>
      </c>
      <c r="V15" s="92" t="s">
        <v>140</v>
      </c>
      <c r="W15" s="1042">
        <v>1</v>
      </c>
      <c r="X15" s="911">
        <v>24171996552</v>
      </c>
      <c r="Y15" s="94">
        <v>37513.768219135563</v>
      </c>
      <c r="Z15" s="94">
        <v>18756.884109567782</v>
      </c>
      <c r="AA15" s="1400" t="s">
        <v>245</v>
      </c>
      <c r="AB15" s="1540" t="s">
        <v>2490</v>
      </c>
      <c r="AC15" s="96"/>
      <c r="AD15" s="67"/>
    </row>
    <row r="16" spans="1:32" s="33" customFormat="1" ht="77.25" customHeight="1">
      <c r="A16" s="1510"/>
      <c r="B16" s="19" t="s">
        <v>200</v>
      </c>
      <c r="C16" s="782">
        <v>17</v>
      </c>
      <c r="D16" s="21" t="s">
        <v>201</v>
      </c>
      <c r="E16" s="22" t="s">
        <v>202</v>
      </c>
      <c r="F16" s="22" t="s">
        <v>148</v>
      </c>
      <c r="G16" s="22" t="s">
        <v>203</v>
      </c>
      <c r="H16" s="23" t="s">
        <v>204</v>
      </c>
      <c r="I16" s="1388" t="s">
        <v>22</v>
      </c>
      <c r="J16" s="1388" t="s">
        <v>129</v>
      </c>
      <c r="K16" s="1388" t="s">
        <v>129</v>
      </c>
      <c r="L16" s="1506"/>
      <c r="M16" s="1388" t="s">
        <v>129</v>
      </c>
      <c r="N16" s="24">
        <v>1</v>
      </c>
      <c r="O16" s="25">
        <v>40190</v>
      </c>
      <c r="P16" s="25">
        <v>41240</v>
      </c>
      <c r="Q16" s="26">
        <v>2012</v>
      </c>
      <c r="R16" s="27">
        <v>566700</v>
      </c>
      <c r="S16" s="895">
        <v>3164576487</v>
      </c>
      <c r="T16" s="29" t="s">
        <v>151</v>
      </c>
      <c r="U16" s="19" t="s">
        <v>140</v>
      </c>
      <c r="V16" s="30" t="s">
        <v>140</v>
      </c>
      <c r="W16" s="1039">
        <v>1</v>
      </c>
      <c r="X16" s="912">
        <v>3164576487</v>
      </c>
      <c r="Y16" s="16">
        <v>5584.2182583377453</v>
      </c>
      <c r="Z16" s="16">
        <v>5584.2182583377453</v>
      </c>
      <c r="AA16" s="1388" t="s">
        <v>245</v>
      </c>
      <c r="AB16" s="1506"/>
      <c r="AC16" s="97"/>
      <c r="AD16" s="67"/>
    </row>
    <row r="17" spans="1:30" s="33" customFormat="1" ht="86.25" customHeight="1">
      <c r="A17" s="1510"/>
      <c r="B17" s="19" t="s">
        <v>695</v>
      </c>
      <c r="C17" s="782">
        <v>20</v>
      </c>
      <c r="D17" s="21" t="s">
        <v>696</v>
      </c>
      <c r="E17" s="22" t="s">
        <v>697</v>
      </c>
      <c r="F17" s="22" t="s">
        <v>174</v>
      </c>
      <c r="G17" s="22" t="s">
        <v>175</v>
      </c>
      <c r="H17" s="23" t="s">
        <v>698</v>
      </c>
      <c r="I17" s="1388" t="s">
        <v>22</v>
      </c>
      <c r="J17" s="1388" t="s">
        <v>22</v>
      </c>
      <c r="K17" s="1388" t="s">
        <v>129</v>
      </c>
      <c r="L17" s="1506"/>
      <c r="M17" s="1401" t="s">
        <v>22</v>
      </c>
      <c r="N17" s="24">
        <v>1</v>
      </c>
      <c r="O17" s="25">
        <v>38485</v>
      </c>
      <c r="P17" s="25">
        <v>38822</v>
      </c>
      <c r="Q17" s="26">
        <v>2006</v>
      </c>
      <c r="R17" s="27">
        <v>408000</v>
      </c>
      <c r="S17" s="895">
        <v>177839797.56900001</v>
      </c>
      <c r="T17" s="29" t="s">
        <v>177</v>
      </c>
      <c r="U17" s="19">
        <v>1.8600000000000001E-3</v>
      </c>
      <c r="V17" s="30">
        <v>330782.02347834001</v>
      </c>
      <c r="W17" s="1039">
        <v>2335.16</v>
      </c>
      <c r="X17" s="915">
        <v>772428949.94568038</v>
      </c>
      <c r="Y17" s="16">
        <v>1893.2082106511773</v>
      </c>
      <c r="Z17" s="16">
        <v>1893.2082106511773</v>
      </c>
      <c r="AA17" s="1388" t="s">
        <v>245</v>
      </c>
      <c r="AB17" s="1506"/>
      <c r="AC17" s="97"/>
      <c r="AD17" s="67"/>
    </row>
    <row r="18" spans="1:30" s="33" customFormat="1" ht="106.5" customHeight="1" thickBot="1">
      <c r="A18" s="1511"/>
      <c r="B18" s="19" t="s">
        <v>190</v>
      </c>
      <c r="C18" s="782">
        <v>24</v>
      </c>
      <c r="D18" s="21" t="s">
        <v>191</v>
      </c>
      <c r="E18" s="102" t="s">
        <v>192</v>
      </c>
      <c r="F18" s="102" t="s">
        <v>148</v>
      </c>
      <c r="G18" s="102" t="s">
        <v>193</v>
      </c>
      <c r="H18" s="103" t="s">
        <v>194</v>
      </c>
      <c r="I18" s="1392" t="s">
        <v>22</v>
      </c>
      <c r="J18" s="1388" t="s">
        <v>129</v>
      </c>
      <c r="K18" s="1388" t="s">
        <v>129</v>
      </c>
      <c r="L18" s="1507"/>
      <c r="M18" s="1388" t="s">
        <v>129</v>
      </c>
      <c r="N18" s="24">
        <v>0.7</v>
      </c>
      <c r="O18" s="25">
        <v>40561</v>
      </c>
      <c r="P18" s="25">
        <v>41500</v>
      </c>
      <c r="Q18" s="26">
        <v>2013</v>
      </c>
      <c r="R18" s="75">
        <v>589500</v>
      </c>
      <c r="S18" s="896">
        <v>4481543752</v>
      </c>
      <c r="T18" s="29" t="s">
        <v>151</v>
      </c>
      <c r="U18" s="19" t="s">
        <v>140</v>
      </c>
      <c r="V18" s="30" t="s">
        <v>140</v>
      </c>
      <c r="W18" s="1039">
        <v>1</v>
      </c>
      <c r="X18" s="914">
        <v>4481543752</v>
      </c>
      <c r="Y18" s="16">
        <v>7602.2794775233251</v>
      </c>
      <c r="Z18" s="16">
        <v>5321.5956342663276</v>
      </c>
      <c r="AA18" s="1401" t="s">
        <v>245</v>
      </c>
      <c r="AB18" s="1507"/>
      <c r="AC18" s="97"/>
      <c r="AD18" s="67"/>
    </row>
    <row r="19" spans="1:30" s="33" customFormat="1" ht="45" customHeight="1">
      <c r="A19" s="1509" t="s">
        <v>25</v>
      </c>
      <c r="B19" s="81" t="s">
        <v>205</v>
      </c>
      <c r="C19" s="783">
        <v>7</v>
      </c>
      <c r="D19" s="83" t="s">
        <v>206</v>
      </c>
      <c r="E19" s="904" t="s">
        <v>207</v>
      </c>
      <c r="F19" s="904" t="s">
        <v>148</v>
      </c>
      <c r="G19" s="904" t="s">
        <v>208</v>
      </c>
      <c r="H19" s="72" t="s">
        <v>209</v>
      </c>
      <c r="I19" s="1393" t="s">
        <v>22</v>
      </c>
      <c r="J19" s="1393" t="s">
        <v>129</v>
      </c>
      <c r="K19" s="1393" t="s">
        <v>129</v>
      </c>
      <c r="L19" s="1505" t="s">
        <v>22</v>
      </c>
      <c r="M19" s="1505" t="s">
        <v>129</v>
      </c>
      <c r="N19" s="86">
        <v>0.7</v>
      </c>
      <c r="O19" s="87">
        <v>39615</v>
      </c>
      <c r="P19" s="87">
        <v>41502</v>
      </c>
      <c r="Q19" s="88">
        <v>2013</v>
      </c>
      <c r="R19" s="298">
        <v>589500</v>
      </c>
      <c r="S19" s="897">
        <v>28736581560</v>
      </c>
      <c r="T19" s="91" t="s">
        <v>151</v>
      </c>
      <c r="U19" s="81" t="s">
        <v>140</v>
      </c>
      <c r="V19" s="92" t="s">
        <v>140</v>
      </c>
      <c r="W19" s="1042">
        <v>1</v>
      </c>
      <c r="X19" s="916">
        <v>28736581560</v>
      </c>
      <c r="Y19" s="94">
        <v>48747.381781170487</v>
      </c>
      <c r="Z19" s="94">
        <v>34123.167246819336</v>
      </c>
      <c r="AA19" s="1400" t="s">
        <v>245</v>
      </c>
      <c r="AB19" s="1505">
        <v>900</v>
      </c>
      <c r="AC19" s="96"/>
      <c r="AD19" s="67"/>
    </row>
    <row r="20" spans="1:30" s="33" customFormat="1" ht="51" customHeight="1">
      <c r="A20" s="1510"/>
      <c r="B20" s="19" t="s">
        <v>205</v>
      </c>
      <c r="C20" s="782">
        <v>51</v>
      </c>
      <c r="D20" s="21" t="s">
        <v>206</v>
      </c>
      <c r="E20" s="22" t="s">
        <v>147</v>
      </c>
      <c r="F20" s="22" t="s">
        <v>148</v>
      </c>
      <c r="G20" s="22" t="s">
        <v>699</v>
      </c>
      <c r="H20" s="23" t="s">
        <v>700</v>
      </c>
      <c r="I20" s="1388" t="s">
        <v>22</v>
      </c>
      <c r="J20" s="1388" t="s">
        <v>129</v>
      </c>
      <c r="K20" s="1388" t="s">
        <v>22</v>
      </c>
      <c r="L20" s="1506"/>
      <c r="M20" s="1506"/>
      <c r="N20" s="24">
        <v>0.4</v>
      </c>
      <c r="O20" s="25">
        <v>40567</v>
      </c>
      <c r="P20" s="1132">
        <v>42465</v>
      </c>
      <c r="Q20" s="26">
        <v>2016</v>
      </c>
      <c r="R20" s="27">
        <v>689554</v>
      </c>
      <c r="S20" s="895">
        <v>44958424288</v>
      </c>
      <c r="T20" s="29" t="s">
        <v>151</v>
      </c>
      <c r="U20" s="19" t="s">
        <v>140</v>
      </c>
      <c r="V20" s="30" t="s">
        <v>140</v>
      </c>
      <c r="W20" s="1039">
        <v>1</v>
      </c>
      <c r="X20" s="917">
        <v>44958424288</v>
      </c>
      <c r="Y20" s="16">
        <v>65199.279951968951</v>
      </c>
      <c r="Z20" s="16">
        <v>26079.711980787582</v>
      </c>
      <c r="AA20" s="1388" t="s">
        <v>245</v>
      </c>
      <c r="AB20" s="1506"/>
      <c r="AC20" s="97"/>
      <c r="AD20" s="67"/>
    </row>
    <row r="21" spans="1:30" s="33" customFormat="1" ht="87" customHeight="1">
      <c r="A21" s="1510"/>
      <c r="B21" s="19" t="s">
        <v>205</v>
      </c>
      <c r="C21" s="782">
        <v>64</v>
      </c>
      <c r="D21" s="21" t="s">
        <v>206</v>
      </c>
      <c r="E21" s="37" t="s">
        <v>155</v>
      </c>
      <c r="F21" s="37" t="s">
        <v>148</v>
      </c>
      <c r="G21" s="37" t="s">
        <v>210</v>
      </c>
      <c r="H21" s="23" t="s">
        <v>211</v>
      </c>
      <c r="I21" s="1388" t="s">
        <v>22</v>
      </c>
      <c r="J21" s="1388" t="s">
        <v>129</v>
      </c>
      <c r="K21" s="1388" t="s">
        <v>129</v>
      </c>
      <c r="L21" s="1506"/>
      <c r="M21" s="1506"/>
      <c r="N21" s="38">
        <v>0.55000000000000004</v>
      </c>
      <c r="O21" s="25">
        <v>39856</v>
      </c>
      <c r="P21" s="25">
        <v>40979</v>
      </c>
      <c r="Q21" s="26">
        <v>2012</v>
      </c>
      <c r="R21" s="27">
        <v>566700</v>
      </c>
      <c r="S21" s="895">
        <v>3720919329.1999998</v>
      </c>
      <c r="T21" s="29" t="s">
        <v>151</v>
      </c>
      <c r="U21" s="19" t="s">
        <v>140</v>
      </c>
      <c r="V21" s="30" t="s">
        <v>140</v>
      </c>
      <c r="W21" s="1039">
        <v>1</v>
      </c>
      <c r="X21" s="915">
        <v>3720919329.1999998</v>
      </c>
      <c r="Y21" s="16">
        <v>6565.9419961178755</v>
      </c>
      <c r="Z21" s="16">
        <v>3611.2680978648318</v>
      </c>
      <c r="AA21" s="1388" t="s">
        <v>245</v>
      </c>
      <c r="AB21" s="1506"/>
      <c r="AC21" s="121"/>
      <c r="AD21" s="67"/>
    </row>
    <row r="22" spans="1:30" s="43" customFormat="1" ht="68.25" customHeight="1" thickBot="1">
      <c r="A22" s="1511"/>
      <c r="B22" s="687" t="s">
        <v>212</v>
      </c>
      <c r="C22" s="782">
        <v>80</v>
      </c>
      <c r="D22" s="21" t="s">
        <v>213</v>
      </c>
      <c r="E22" s="22" t="s">
        <v>182</v>
      </c>
      <c r="F22" s="22" t="s">
        <v>139</v>
      </c>
      <c r="G22" s="22" t="s">
        <v>701</v>
      </c>
      <c r="H22" s="23" t="s">
        <v>702</v>
      </c>
      <c r="I22" s="1392" t="s">
        <v>22</v>
      </c>
      <c r="J22" s="1388" t="s">
        <v>22</v>
      </c>
      <c r="K22" s="1388" t="s">
        <v>129</v>
      </c>
      <c r="L22" s="1507"/>
      <c r="M22" s="1507"/>
      <c r="N22" s="39">
        <v>0.4</v>
      </c>
      <c r="O22" s="40">
        <v>40735</v>
      </c>
      <c r="P22" s="41">
        <v>42350</v>
      </c>
      <c r="Q22" s="26">
        <v>2015</v>
      </c>
      <c r="R22" s="75">
        <v>644350</v>
      </c>
      <c r="S22" s="895">
        <v>2976106.58</v>
      </c>
      <c r="T22" s="29" t="s">
        <v>142</v>
      </c>
      <c r="U22" s="99">
        <v>1.0958399999999999</v>
      </c>
      <c r="V22" s="110">
        <v>3261336.6346271997</v>
      </c>
      <c r="W22" s="1040">
        <v>3299.36</v>
      </c>
      <c r="X22" s="914">
        <v>10760323638.823599</v>
      </c>
      <c r="Y22" s="16">
        <v>16699.501263014819</v>
      </c>
      <c r="Z22" s="16">
        <v>6679.8005052059279</v>
      </c>
      <c r="AA22" s="1401" t="s">
        <v>245</v>
      </c>
      <c r="AB22" s="1507"/>
      <c r="AC22" s="97"/>
      <c r="AD22" s="115"/>
    </row>
    <row r="23" spans="1:30" s="33" customFormat="1" ht="74.25" customHeight="1">
      <c r="A23" s="1509" t="s">
        <v>26</v>
      </c>
      <c r="B23" s="233" t="s">
        <v>217</v>
      </c>
      <c r="C23" s="1104" t="s">
        <v>703</v>
      </c>
      <c r="D23" s="274" t="s">
        <v>219</v>
      </c>
      <c r="E23" s="235" t="s">
        <v>220</v>
      </c>
      <c r="F23" s="235" t="s">
        <v>139</v>
      </c>
      <c r="G23" s="235"/>
      <c r="H23" s="236" t="s">
        <v>221</v>
      </c>
      <c r="I23" s="1397" t="s">
        <v>22</v>
      </c>
      <c r="J23" s="1397" t="s">
        <v>22</v>
      </c>
      <c r="K23" s="1397" t="s">
        <v>129</v>
      </c>
      <c r="L23" s="1397" t="s">
        <v>22</v>
      </c>
      <c r="M23" s="1397" t="s">
        <v>129</v>
      </c>
      <c r="N23" s="237">
        <v>0.7</v>
      </c>
      <c r="O23" s="238">
        <v>37951</v>
      </c>
      <c r="P23" s="238">
        <v>39568</v>
      </c>
      <c r="Q23" s="239">
        <v>2008</v>
      </c>
      <c r="R23" s="315">
        <v>461500</v>
      </c>
      <c r="S23" s="1106">
        <v>2224756</v>
      </c>
      <c r="T23" s="242" t="s">
        <v>222</v>
      </c>
      <c r="U23" s="233">
        <v>1.5607500000000001</v>
      </c>
      <c r="V23" s="243">
        <v>3472287.9270000001</v>
      </c>
      <c r="W23" s="244">
        <v>1780.21</v>
      </c>
      <c r="X23" s="240">
        <v>6181401690.5246706</v>
      </c>
      <c r="Y23" s="245">
        <v>13394.153175568084</v>
      </c>
      <c r="Z23" s="245">
        <v>9375.9072228976584</v>
      </c>
      <c r="AA23" s="1400" t="str">
        <f>+IF(Z23="","",IF(Z23&gt;=PARAMETROS!$M$5,"CUMPLE","NO CUMPLE"))</f>
        <v>CUMPLE</v>
      </c>
      <c r="AB23" s="1505">
        <v>900</v>
      </c>
      <c r="AC23" s="96"/>
      <c r="AD23" s="67"/>
    </row>
    <row r="24" spans="1:30" s="33" customFormat="1" ht="79.5" customHeight="1">
      <c r="A24" s="1510"/>
      <c r="B24" s="687" t="s">
        <v>224</v>
      </c>
      <c r="C24" s="1105" t="s">
        <v>704</v>
      </c>
      <c r="D24" s="489" t="s">
        <v>226</v>
      </c>
      <c r="E24" s="716" t="s">
        <v>147</v>
      </c>
      <c r="F24" s="716" t="s">
        <v>148</v>
      </c>
      <c r="G24" s="716" t="s">
        <v>227</v>
      </c>
      <c r="H24" s="1074" t="s">
        <v>228</v>
      </c>
      <c r="I24" s="1398" t="s">
        <v>22</v>
      </c>
      <c r="J24" s="1398" t="s">
        <v>129</v>
      </c>
      <c r="K24" s="1398" t="s">
        <v>22</v>
      </c>
      <c r="L24" s="1398" t="s">
        <v>22</v>
      </c>
      <c r="M24" s="1398" t="s">
        <v>129</v>
      </c>
      <c r="N24" s="484">
        <v>0.6</v>
      </c>
      <c r="O24" s="222">
        <v>41198</v>
      </c>
      <c r="P24" s="222">
        <v>41699</v>
      </c>
      <c r="Q24" s="223">
        <v>2014</v>
      </c>
      <c r="R24" s="470">
        <v>616000</v>
      </c>
      <c r="S24" s="1107">
        <v>2668542300</v>
      </c>
      <c r="T24" s="1080" t="s">
        <v>229</v>
      </c>
      <c r="U24" s="687" t="s">
        <v>140</v>
      </c>
      <c r="V24" s="1081" t="s">
        <v>140</v>
      </c>
      <c r="W24" s="1082">
        <v>1</v>
      </c>
      <c r="X24" s="470">
        <v>2668542300</v>
      </c>
      <c r="Y24" s="471">
        <v>4332.0491883116883</v>
      </c>
      <c r="Z24" s="471">
        <v>2599.2295129870131</v>
      </c>
      <c r="AA24" s="1388" t="str">
        <f>+IF(Z24="","",IF(Z24&gt;=PARAMETROS!$M$5,"CUMPLE","NO CUMPLE"))</f>
        <v>CUMPLE</v>
      </c>
      <c r="AB24" s="1506"/>
      <c r="AC24" s="97"/>
      <c r="AD24" s="67"/>
    </row>
    <row r="25" spans="1:30" s="33" customFormat="1" ht="59.25" customHeight="1">
      <c r="A25" s="1510"/>
      <c r="B25" s="687" t="s">
        <v>224</v>
      </c>
      <c r="C25" s="910">
        <v>11</v>
      </c>
      <c r="D25" s="489" t="s">
        <v>226</v>
      </c>
      <c r="E25" s="716" t="s">
        <v>155</v>
      </c>
      <c r="F25" s="716" t="s">
        <v>148</v>
      </c>
      <c r="G25" s="716" t="s">
        <v>231</v>
      </c>
      <c r="H25" s="1074" t="s">
        <v>232</v>
      </c>
      <c r="I25" s="1398" t="s">
        <v>22</v>
      </c>
      <c r="J25" s="1398" t="s">
        <v>129</v>
      </c>
      <c r="K25" s="1398" t="s">
        <v>129</v>
      </c>
      <c r="L25" s="1398" t="s">
        <v>22</v>
      </c>
      <c r="M25" s="1398" t="s">
        <v>129</v>
      </c>
      <c r="N25" s="484">
        <v>1</v>
      </c>
      <c r="O25" s="222">
        <v>36992</v>
      </c>
      <c r="P25" s="222">
        <v>37636</v>
      </c>
      <c r="Q25" s="223">
        <v>2003</v>
      </c>
      <c r="R25" s="470">
        <v>332000</v>
      </c>
      <c r="S25" s="1107">
        <v>1135751411</v>
      </c>
      <c r="T25" s="1080" t="s">
        <v>229</v>
      </c>
      <c r="U25" s="687" t="s">
        <v>140</v>
      </c>
      <c r="V25" s="1081" t="s">
        <v>140</v>
      </c>
      <c r="W25" s="1082">
        <v>1</v>
      </c>
      <c r="X25" s="470">
        <v>1135751411</v>
      </c>
      <c r="Y25" s="471">
        <v>3420.9379849397592</v>
      </c>
      <c r="Z25" s="471">
        <v>3420.9379849397592</v>
      </c>
      <c r="AA25" s="1388" t="str">
        <f>+IF(Z25="","",IF(Z25&gt;=PARAMETROS!$M$5,"CUMPLE","NO CUMPLE"))</f>
        <v>CUMPLE</v>
      </c>
      <c r="AB25" s="1506"/>
      <c r="AC25" s="97"/>
      <c r="AD25" s="67"/>
    </row>
    <row r="26" spans="1:30" s="33" customFormat="1" ht="69" customHeight="1" thickBot="1">
      <c r="A26" s="1511"/>
      <c r="B26" s="687" t="s">
        <v>234</v>
      </c>
      <c r="C26" s="910" t="s">
        <v>705</v>
      </c>
      <c r="D26" s="489" t="s">
        <v>236</v>
      </c>
      <c r="E26" s="716" t="s">
        <v>155</v>
      </c>
      <c r="F26" s="716" t="s">
        <v>148</v>
      </c>
      <c r="G26" s="716">
        <v>635</v>
      </c>
      <c r="H26" s="1074" t="s">
        <v>237</v>
      </c>
      <c r="I26" s="1398" t="s">
        <v>22</v>
      </c>
      <c r="J26" s="1398" t="s">
        <v>129</v>
      </c>
      <c r="K26" s="1398" t="s">
        <v>129</v>
      </c>
      <c r="L26" s="1398" t="s">
        <v>22</v>
      </c>
      <c r="M26" s="1398" t="s">
        <v>129</v>
      </c>
      <c r="N26" s="484">
        <v>1</v>
      </c>
      <c r="O26" s="222">
        <v>41123</v>
      </c>
      <c r="P26" s="222">
        <v>41779</v>
      </c>
      <c r="Q26" s="223">
        <v>2014</v>
      </c>
      <c r="R26" s="1083">
        <v>616000</v>
      </c>
      <c r="S26" s="1107">
        <v>1605385195</v>
      </c>
      <c r="T26" s="1080" t="s">
        <v>229</v>
      </c>
      <c r="U26" s="687" t="s">
        <v>140</v>
      </c>
      <c r="V26" s="1081" t="s">
        <v>140</v>
      </c>
      <c r="W26" s="1082">
        <v>1</v>
      </c>
      <c r="X26" s="470">
        <v>1605385195</v>
      </c>
      <c r="Y26" s="471">
        <v>2606.1447970779222</v>
      </c>
      <c r="Z26" s="471">
        <v>2606.1447970779222</v>
      </c>
      <c r="AA26" s="1401" t="str">
        <f>+IF(Z26="","",IF(Z26&gt;=PARAMETROS!$M$5,"CUMPLE","NO CUMPLE"))</f>
        <v>CUMPLE</v>
      </c>
      <c r="AB26" s="1507"/>
      <c r="AC26" s="97"/>
      <c r="AD26" s="67"/>
    </row>
    <row r="27" spans="1:30" s="33" customFormat="1" ht="54.75" customHeight="1">
      <c r="A27" s="1509" t="s">
        <v>27</v>
      </c>
      <c r="B27" s="233" t="s">
        <v>239</v>
      </c>
      <c r="C27" s="234">
        <v>136</v>
      </c>
      <c r="D27" s="274" t="s">
        <v>240</v>
      </c>
      <c r="E27" s="235" t="s">
        <v>147</v>
      </c>
      <c r="F27" s="235" t="s">
        <v>148</v>
      </c>
      <c r="G27" s="235" t="s">
        <v>241</v>
      </c>
      <c r="H27" s="236" t="s">
        <v>242</v>
      </c>
      <c r="I27" s="1397" t="s">
        <v>22</v>
      </c>
      <c r="J27" s="1397" t="s">
        <v>129</v>
      </c>
      <c r="K27" s="1397" t="s">
        <v>22</v>
      </c>
      <c r="L27" s="1397" t="s">
        <v>22</v>
      </c>
      <c r="M27" s="1397" t="s">
        <v>129</v>
      </c>
      <c r="N27" s="237">
        <v>0.4</v>
      </c>
      <c r="O27" s="238">
        <v>41095</v>
      </c>
      <c r="P27" s="1085">
        <v>42475</v>
      </c>
      <c r="Q27" s="239">
        <v>2016</v>
      </c>
      <c r="R27" s="315">
        <v>689554</v>
      </c>
      <c r="S27" s="1106">
        <v>7240883125</v>
      </c>
      <c r="T27" s="242" t="s">
        <v>229</v>
      </c>
      <c r="U27" s="233" t="s">
        <v>140</v>
      </c>
      <c r="V27" s="243" t="s">
        <v>140</v>
      </c>
      <c r="W27" s="244">
        <v>1</v>
      </c>
      <c r="X27" s="240">
        <v>7240883125</v>
      </c>
      <c r="Y27" s="245">
        <v>10500.821001690949</v>
      </c>
      <c r="Z27" s="245">
        <v>4200.3284006763797</v>
      </c>
      <c r="AA27" s="1400" t="str">
        <f>+IF(Z27="","",IF(Z27&gt;=PARAMETROS!$M$5,"CUMPLE","NO CUMPLE"))</f>
        <v>CUMPLE</v>
      </c>
      <c r="AB27" s="1505">
        <v>900</v>
      </c>
      <c r="AC27" s="96"/>
      <c r="AD27" s="67"/>
    </row>
    <row r="28" spans="1:30" s="33" customFormat="1" ht="69.75" customHeight="1">
      <c r="A28" s="1510"/>
      <c r="B28" s="687" t="s">
        <v>239</v>
      </c>
      <c r="C28" s="910">
        <v>136</v>
      </c>
      <c r="D28" s="489" t="s">
        <v>240</v>
      </c>
      <c r="E28" s="716" t="s">
        <v>147</v>
      </c>
      <c r="F28" s="716" t="s">
        <v>148</v>
      </c>
      <c r="G28" s="716" t="s">
        <v>243</v>
      </c>
      <c r="H28" s="1074" t="s">
        <v>244</v>
      </c>
      <c r="I28" s="1398" t="s">
        <v>22</v>
      </c>
      <c r="J28" s="1398" t="s">
        <v>22</v>
      </c>
      <c r="K28" s="1398" t="s">
        <v>22</v>
      </c>
      <c r="L28" s="1398" t="s">
        <v>22</v>
      </c>
      <c r="M28" s="1398" t="s">
        <v>129</v>
      </c>
      <c r="N28" s="484">
        <v>0.2</v>
      </c>
      <c r="O28" s="222">
        <v>41114</v>
      </c>
      <c r="P28" s="1086">
        <v>42399</v>
      </c>
      <c r="Q28" s="1296">
        <v>2016</v>
      </c>
      <c r="R28" s="1297">
        <v>3287.31</v>
      </c>
      <c r="S28" s="1298">
        <v>11677241451</v>
      </c>
      <c r="T28" s="1080" t="s">
        <v>229</v>
      </c>
      <c r="U28" s="687" t="s">
        <v>140</v>
      </c>
      <c r="V28" s="1081" t="s">
        <v>140</v>
      </c>
      <c r="W28" s="1082">
        <v>1</v>
      </c>
      <c r="X28" s="470">
        <v>11677241451</v>
      </c>
      <c r="Y28" s="471">
        <v>3552217.9079551366</v>
      </c>
      <c r="Z28" s="471">
        <v>710443.58159102732</v>
      </c>
      <c r="AA28" s="1388" t="str">
        <f>+IF(Z28="","",IF(Z28&gt;=PARAMETROS!$M$5,"CUMPLE","NO CUMPLE"))</f>
        <v>CUMPLE</v>
      </c>
      <c r="AB28" s="1506"/>
      <c r="AC28" s="97"/>
      <c r="AD28" s="67"/>
    </row>
    <row r="29" spans="1:30" s="33" customFormat="1" ht="56.25" customHeight="1">
      <c r="A29" s="1510"/>
      <c r="B29" s="687" t="s">
        <v>239</v>
      </c>
      <c r="C29" s="910">
        <v>136</v>
      </c>
      <c r="D29" s="489" t="s">
        <v>240</v>
      </c>
      <c r="E29" s="716" t="s">
        <v>147</v>
      </c>
      <c r="F29" s="716" t="s">
        <v>148</v>
      </c>
      <c r="G29" s="716" t="s">
        <v>246</v>
      </c>
      <c r="H29" s="1074" t="s">
        <v>247</v>
      </c>
      <c r="I29" s="1398" t="s">
        <v>22</v>
      </c>
      <c r="J29" s="1398" t="s">
        <v>129</v>
      </c>
      <c r="K29" s="1398" t="s">
        <v>22</v>
      </c>
      <c r="L29" s="1398" t="s">
        <v>22</v>
      </c>
      <c r="M29" s="1398" t="s">
        <v>129</v>
      </c>
      <c r="N29" s="484">
        <v>0.68</v>
      </c>
      <c r="O29" s="222">
        <v>41191</v>
      </c>
      <c r="P29" s="1086">
        <v>42475</v>
      </c>
      <c r="Q29" s="223">
        <v>2016</v>
      </c>
      <c r="R29" s="470">
        <v>689554</v>
      </c>
      <c r="S29" s="1107">
        <v>2299181877</v>
      </c>
      <c r="T29" s="1080" t="s">
        <v>229</v>
      </c>
      <c r="U29" s="687" t="s">
        <v>140</v>
      </c>
      <c r="V29" s="1081" t="s">
        <v>140</v>
      </c>
      <c r="W29" s="1082">
        <v>1</v>
      </c>
      <c r="X29" s="470">
        <v>2299181877</v>
      </c>
      <c r="Y29" s="471">
        <v>3334.3028638801311</v>
      </c>
      <c r="Z29" s="471">
        <v>2267.3259474384895</v>
      </c>
      <c r="AA29" s="1388" t="str">
        <f>+IF(Z29="","",IF(Z29&gt;=PARAMETROS!$M$5,"CUMPLE","NO CUMPLE"))</f>
        <v>CUMPLE</v>
      </c>
      <c r="AB29" s="1506"/>
      <c r="AC29" s="97"/>
      <c r="AD29" s="67"/>
    </row>
    <row r="30" spans="1:30" s="33" customFormat="1" ht="62.25" customHeight="1" thickBot="1">
      <c r="A30" s="1511"/>
      <c r="B30" s="687" t="s">
        <v>239</v>
      </c>
      <c r="C30" s="910" t="s">
        <v>248</v>
      </c>
      <c r="D30" s="489" t="s">
        <v>240</v>
      </c>
      <c r="E30" s="1076" t="s">
        <v>155</v>
      </c>
      <c r="F30" s="1076" t="s">
        <v>148</v>
      </c>
      <c r="G30" s="1076" t="s">
        <v>249</v>
      </c>
      <c r="H30" s="1077" t="s">
        <v>250</v>
      </c>
      <c r="I30" s="1398" t="s">
        <v>22</v>
      </c>
      <c r="J30" s="1398" t="s">
        <v>129</v>
      </c>
      <c r="K30" s="1398" t="s">
        <v>129</v>
      </c>
      <c r="L30" s="1398" t="s">
        <v>22</v>
      </c>
      <c r="M30" s="1398" t="s">
        <v>129</v>
      </c>
      <c r="N30" s="1087">
        <v>0.6</v>
      </c>
      <c r="O30" s="1088">
        <v>40079</v>
      </c>
      <c r="P30" s="1088">
        <v>42094</v>
      </c>
      <c r="Q30" s="223">
        <v>2015</v>
      </c>
      <c r="R30" s="1083">
        <v>644350</v>
      </c>
      <c r="S30" s="1108">
        <v>14008976863</v>
      </c>
      <c r="T30" s="1090" t="s">
        <v>229</v>
      </c>
      <c r="U30" s="687" t="s">
        <v>140</v>
      </c>
      <c r="V30" s="1081" t="s">
        <v>140</v>
      </c>
      <c r="W30" s="1082">
        <v>1</v>
      </c>
      <c r="X30" s="470">
        <v>14008976863</v>
      </c>
      <c r="Y30" s="471">
        <v>21741.253764258556</v>
      </c>
      <c r="Z30" s="471">
        <v>13044.752258555132</v>
      </c>
      <c r="AA30" s="1401" t="str">
        <f>+IF(Z30="","",IF(Z30&gt;=PARAMETROS!$M$5,"CUMPLE","NO CUMPLE"))</f>
        <v>CUMPLE</v>
      </c>
      <c r="AB30" s="1507"/>
      <c r="AC30" s="98"/>
      <c r="AD30" s="67"/>
    </row>
    <row r="31" spans="1:30" s="33" customFormat="1" ht="72.75" customHeight="1">
      <c r="A31" s="1509" t="s">
        <v>28</v>
      </c>
      <c r="B31" s="233" t="s">
        <v>252</v>
      </c>
      <c r="C31" s="1104" t="s">
        <v>706</v>
      </c>
      <c r="D31" s="274" t="s">
        <v>254</v>
      </c>
      <c r="E31" s="235" t="s">
        <v>255</v>
      </c>
      <c r="F31" s="235" t="s">
        <v>148</v>
      </c>
      <c r="G31" s="235" t="s">
        <v>256</v>
      </c>
      <c r="H31" s="236" t="s">
        <v>257</v>
      </c>
      <c r="I31" s="1397" t="s">
        <v>22</v>
      </c>
      <c r="J31" s="1397" t="s">
        <v>129</v>
      </c>
      <c r="K31" s="1397" t="s">
        <v>129</v>
      </c>
      <c r="L31" s="1397" t="s">
        <v>22</v>
      </c>
      <c r="M31" s="1397" t="s">
        <v>129</v>
      </c>
      <c r="N31" s="237">
        <v>1</v>
      </c>
      <c r="O31" s="238">
        <v>38929</v>
      </c>
      <c r="P31" s="238">
        <v>39553</v>
      </c>
      <c r="Q31" s="239">
        <v>2008</v>
      </c>
      <c r="R31" s="315">
        <v>461500</v>
      </c>
      <c r="S31" s="1106">
        <v>3010928835</v>
      </c>
      <c r="T31" s="242" t="s">
        <v>229</v>
      </c>
      <c r="U31" s="233" t="s">
        <v>140</v>
      </c>
      <c r="V31" s="243" t="s">
        <v>140</v>
      </c>
      <c r="W31" s="244">
        <v>1</v>
      </c>
      <c r="X31" s="240">
        <v>3010928835</v>
      </c>
      <c r="Y31" s="245">
        <v>6524.2228277356444</v>
      </c>
      <c r="Z31" s="245">
        <v>6524.2228277356444</v>
      </c>
      <c r="AA31" s="1400" t="str">
        <f>+IF(Z31="","",IF(Z31&gt;=PARAMETROS!$M$5,"CUMPLE","NO CUMPLE"))</f>
        <v>CUMPLE</v>
      </c>
      <c r="AB31" s="1505">
        <v>900</v>
      </c>
      <c r="AC31" s="96"/>
      <c r="AD31" s="67"/>
    </row>
    <row r="32" spans="1:30" s="33" customFormat="1" ht="141" customHeight="1">
      <c r="A32" s="1510"/>
      <c r="B32" s="687" t="s">
        <v>252</v>
      </c>
      <c r="C32" s="910" t="s">
        <v>707</v>
      </c>
      <c r="D32" s="489" t="s">
        <v>254</v>
      </c>
      <c r="E32" s="716" t="s">
        <v>147</v>
      </c>
      <c r="F32" s="716" t="s">
        <v>148</v>
      </c>
      <c r="G32" s="716" t="s">
        <v>260</v>
      </c>
      <c r="H32" s="1074" t="s">
        <v>261</v>
      </c>
      <c r="I32" s="1398" t="s">
        <v>22</v>
      </c>
      <c r="J32" s="1398" t="s">
        <v>129</v>
      </c>
      <c r="K32" s="1398" t="s">
        <v>22</v>
      </c>
      <c r="L32" s="1398" t="s">
        <v>22</v>
      </c>
      <c r="M32" s="1398" t="s">
        <v>129</v>
      </c>
      <c r="N32" s="484">
        <v>0.83499999999999996</v>
      </c>
      <c r="O32" s="222">
        <v>38337</v>
      </c>
      <c r="P32" s="222">
        <v>41440</v>
      </c>
      <c r="Q32" s="223">
        <v>2013</v>
      </c>
      <c r="R32" s="470">
        <v>589500</v>
      </c>
      <c r="S32" s="1107">
        <v>9865877743</v>
      </c>
      <c r="T32" s="1080" t="s">
        <v>229</v>
      </c>
      <c r="U32" s="687" t="s">
        <v>140</v>
      </c>
      <c r="V32" s="1081" t="s">
        <v>140</v>
      </c>
      <c r="W32" s="1082">
        <v>1</v>
      </c>
      <c r="X32" s="470">
        <v>9865877743</v>
      </c>
      <c r="Y32" s="471">
        <v>16736.009742154369</v>
      </c>
      <c r="Z32" s="471">
        <v>13974.568134698897</v>
      </c>
      <c r="AA32" s="1388" t="str">
        <f>+IF(Z32="","",IF(Z32&gt;=PARAMETROS!$M$5,"CUMPLE","NO CUMPLE"))</f>
        <v>CUMPLE</v>
      </c>
      <c r="AB32" s="1506"/>
      <c r="AC32" s="97"/>
      <c r="AD32" s="67"/>
    </row>
    <row r="33" spans="1:30" s="33" customFormat="1" ht="72.75" customHeight="1">
      <c r="A33" s="1510"/>
      <c r="B33" s="687" t="s">
        <v>252</v>
      </c>
      <c r="C33" s="910" t="s">
        <v>708</v>
      </c>
      <c r="D33" s="489" t="s">
        <v>254</v>
      </c>
      <c r="E33" s="716" t="s">
        <v>207</v>
      </c>
      <c r="F33" s="716" t="s">
        <v>148</v>
      </c>
      <c r="G33" s="716" t="s">
        <v>267</v>
      </c>
      <c r="H33" s="1074" t="s">
        <v>268</v>
      </c>
      <c r="I33" s="1398" t="s">
        <v>22</v>
      </c>
      <c r="J33" s="1398" t="s">
        <v>129</v>
      </c>
      <c r="K33" s="1398" t="s">
        <v>22</v>
      </c>
      <c r="L33" s="1398" t="s">
        <v>22</v>
      </c>
      <c r="M33" s="1398" t="s">
        <v>129</v>
      </c>
      <c r="N33" s="484">
        <v>1</v>
      </c>
      <c r="O33" s="222">
        <v>39148</v>
      </c>
      <c r="P33" s="222">
        <v>40072</v>
      </c>
      <c r="Q33" s="223">
        <v>2009</v>
      </c>
      <c r="R33" s="470">
        <v>496900</v>
      </c>
      <c r="S33" s="1107">
        <v>2592326368</v>
      </c>
      <c r="T33" s="1080" t="s">
        <v>229</v>
      </c>
      <c r="U33" s="687" t="s">
        <v>140</v>
      </c>
      <c r="V33" s="1081" t="s">
        <v>140</v>
      </c>
      <c r="W33" s="1082">
        <v>1</v>
      </c>
      <c r="X33" s="470">
        <v>2592326368</v>
      </c>
      <c r="Y33" s="471">
        <v>5216.9981243711009</v>
      </c>
      <c r="Z33" s="471">
        <v>5216.9981243711009</v>
      </c>
      <c r="AA33" s="1388" t="str">
        <f>+IF(Z33="","",IF(Z33&gt;=PARAMETROS!$M$5,"CUMPLE","NO CUMPLE"))</f>
        <v>CUMPLE</v>
      </c>
      <c r="AB33" s="1506"/>
      <c r="AC33" s="97"/>
      <c r="AD33" s="67"/>
    </row>
    <row r="34" spans="1:30" s="33" customFormat="1" ht="150" customHeight="1" thickBot="1">
      <c r="A34" s="1511"/>
      <c r="B34" s="687" t="s">
        <v>252</v>
      </c>
      <c r="C34" s="910" t="s">
        <v>709</v>
      </c>
      <c r="D34" s="489" t="s">
        <v>254</v>
      </c>
      <c r="E34" s="716" t="s">
        <v>710</v>
      </c>
      <c r="F34" s="716" t="s">
        <v>148</v>
      </c>
      <c r="G34" s="716" t="s">
        <v>711</v>
      </c>
      <c r="H34" s="1074" t="s">
        <v>712</v>
      </c>
      <c r="I34" s="1398" t="s">
        <v>22</v>
      </c>
      <c r="J34" s="1398" t="s">
        <v>22</v>
      </c>
      <c r="K34" s="1398" t="s">
        <v>129</v>
      </c>
      <c r="L34" s="1398" t="s">
        <v>22</v>
      </c>
      <c r="M34" s="1398" t="s">
        <v>129</v>
      </c>
      <c r="N34" s="484">
        <v>1</v>
      </c>
      <c r="O34" s="222">
        <v>39584</v>
      </c>
      <c r="P34" s="222">
        <v>39964</v>
      </c>
      <c r="Q34" s="223">
        <v>2009</v>
      </c>
      <c r="R34" s="1083">
        <v>496900</v>
      </c>
      <c r="S34" s="1107">
        <v>1221196835</v>
      </c>
      <c r="T34" s="1080" t="s">
        <v>229</v>
      </c>
      <c r="U34" s="687" t="s">
        <v>140</v>
      </c>
      <c r="V34" s="1081" t="s">
        <v>140</v>
      </c>
      <c r="W34" s="1082">
        <v>1</v>
      </c>
      <c r="X34" s="470">
        <v>1221196835</v>
      </c>
      <c r="Y34" s="471">
        <v>2457.6309820889514</v>
      </c>
      <c r="Z34" s="471">
        <v>2457.6309820889514</v>
      </c>
      <c r="AA34" s="1401" t="str">
        <f>+IF(Z34="","",IF(Z34&gt;=PARAMETROS!$M$5,"CUMPLE","NO CUMPLE"))</f>
        <v>CUMPLE</v>
      </c>
      <c r="AB34" s="1507"/>
      <c r="AC34" s="97"/>
      <c r="AD34" s="67"/>
    </row>
    <row r="35" spans="1:30" s="33" customFormat="1" ht="51" customHeight="1">
      <c r="A35" s="1509" t="s">
        <v>29</v>
      </c>
      <c r="B35" s="233" t="s">
        <v>270</v>
      </c>
      <c r="C35" s="234" t="s">
        <v>271</v>
      </c>
      <c r="D35" s="274" t="s">
        <v>272</v>
      </c>
      <c r="E35" s="235" t="s">
        <v>214</v>
      </c>
      <c r="F35" s="235" t="s">
        <v>139</v>
      </c>
      <c r="G35" s="235"/>
      <c r="H35" s="235" t="s">
        <v>273</v>
      </c>
      <c r="I35" s="1397" t="s">
        <v>22</v>
      </c>
      <c r="J35" s="1397" t="s">
        <v>22</v>
      </c>
      <c r="K35" s="1397" t="s">
        <v>129</v>
      </c>
      <c r="L35" s="1397" t="s">
        <v>22</v>
      </c>
      <c r="M35" s="1397" t="s">
        <v>129</v>
      </c>
      <c r="N35" s="1098">
        <v>1</v>
      </c>
      <c r="O35" s="238">
        <v>37506</v>
      </c>
      <c r="P35" s="238">
        <v>39940</v>
      </c>
      <c r="Q35" s="239">
        <v>2009</v>
      </c>
      <c r="R35" s="315">
        <v>496900</v>
      </c>
      <c r="S35" s="1109">
        <v>5442870.4400000004</v>
      </c>
      <c r="T35" s="240" t="s">
        <v>222</v>
      </c>
      <c r="U35" s="233">
        <v>1.33033</v>
      </c>
      <c r="V35" s="243">
        <v>7240813.8324452005</v>
      </c>
      <c r="W35" s="244">
        <v>2233.5</v>
      </c>
      <c r="X35" s="240">
        <v>16172357694.766356</v>
      </c>
      <c r="Y35" s="245">
        <v>32546.503712550526</v>
      </c>
      <c r="Z35" s="245">
        <v>32546.503712550526</v>
      </c>
      <c r="AA35" s="1400" t="str">
        <f>+IF(Z35="","",IF(Z35&gt;=PARAMETROS!$M$5,"CUMPLE","NO CUMPLE"))</f>
        <v>CUMPLE</v>
      </c>
      <c r="AB35" s="1505">
        <v>900</v>
      </c>
      <c r="AC35" s="96"/>
      <c r="AD35" s="67"/>
    </row>
    <row r="36" spans="1:30" s="33" customFormat="1" ht="62.25" customHeight="1">
      <c r="A36" s="1510"/>
      <c r="B36" s="687" t="s">
        <v>270</v>
      </c>
      <c r="C36" s="910" t="s">
        <v>275</v>
      </c>
      <c r="D36" s="489" t="s">
        <v>272</v>
      </c>
      <c r="E36" s="716" t="s">
        <v>182</v>
      </c>
      <c r="F36" s="716" t="s">
        <v>139</v>
      </c>
      <c r="G36" s="716"/>
      <c r="H36" s="716" t="s">
        <v>276</v>
      </c>
      <c r="I36" s="1398" t="s">
        <v>22</v>
      </c>
      <c r="J36" s="1398" t="s">
        <v>22</v>
      </c>
      <c r="K36" s="1398" t="s">
        <v>129</v>
      </c>
      <c r="L36" s="1398" t="s">
        <v>22</v>
      </c>
      <c r="M36" s="1398" t="s">
        <v>129</v>
      </c>
      <c r="N36" s="1094">
        <v>0.86</v>
      </c>
      <c r="O36" s="222">
        <v>38018</v>
      </c>
      <c r="P36" s="222">
        <v>39721</v>
      </c>
      <c r="Q36" s="223">
        <v>2008</v>
      </c>
      <c r="R36" s="470">
        <v>461500</v>
      </c>
      <c r="S36" s="1110">
        <v>3755019.48</v>
      </c>
      <c r="T36" s="470" t="s">
        <v>222</v>
      </c>
      <c r="U36" s="687">
        <v>1.4445300000000001</v>
      </c>
      <c r="V36" s="1081">
        <v>5424238.2894444</v>
      </c>
      <c r="W36" s="1082">
        <v>2174.62</v>
      </c>
      <c r="X36" s="470">
        <v>11795657068.991581</v>
      </c>
      <c r="Y36" s="471">
        <v>25559.386931726069</v>
      </c>
      <c r="Z36" s="471">
        <v>21981.07276128442</v>
      </c>
      <c r="AA36" s="1388" t="str">
        <f>+IF(Z36="","",IF(Z36&gt;=PARAMETROS!$M$5,"CUMPLE","NO CUMPLE"))</f>
        <v>CUMPLE</v>
      </c>
      <c r="AB36" s="1506"/>
      <c r="AC36" s="97"/>
      <c r="AD36" s="67"/>
    </row>
    <row r="37" spans="1:30" s="33" customFormat="1" ht="87" customHeight="1">
      <c r="A37" s="1510"/>
      <c r="B37" s="687" t="s">
        <v>278</v>
      </c>
      <c r="C37" s="910" t="s">
        <v>279</v>
      </c>
      <c r="D37" s="489" t="s">
        <v>280</v>
      </c>
      <c r="E37" s="716" t="s">
        <v>281</v>
      </c>
      <c r="F37" s="716" t="s">
        <v>148</v>
      </c>
      <c r="G37" s="716" t="s">
        <v>282</v>
      </c>
      <c r="H37" s="716" t="s">
        <v>283</v>
      </c>
      <c r="I37" s="1398" t="s">
        <v>22</v>
      </c>
      <c r="J37" s="1398" t="s">
        <v>129</v>
      </c>
      <c r="K37" s="1398" t="s">
        <v>22</v>
      </c>
      <c r="L37" s="1398" t="s">
        <v>22</v>
      </c>
      <c r="M37" s="1398" t="s">
        <v>129</v>
      </c>
      <c r="N37" s="1094">
        <v>0.75</v>
      </c>
      <c r="O37" s="222">
        <v>38374</v>
      </c>
      <c r="P37" s="222">
        <v>39512</v>
      </c>
      <c r="Q37" s="223">
        <v>2008</v>
      </c>
      <c r="R37" s="470">
        <v>461500</v>
      </c>
      <c r="S37" s="1110">
        <v>4505935152</v>
      </c>
      <c r="T37" s="470" t="s">
        <v>229</v>
      </c>
      <c r="U37" s="687" t="s">
        <v>140</v>
      </c>
      <c r="V37" s="1081" t="s">
        <v>140</v>
      </c>
      <c r="W37" s="1082">
        <v>1</v>
      </c>
      <c r="X37" s="470">
        <v>4505935152</v>
      </c>
      <c r="Y37" s="471">
        <v>9763.6731354279527</v>
      </c>
      <c r="Z37" s="471">
        <v>7322.7548515709641</v>
      </c>
      <c r="AA37" s="1388" t="str">
        <f>+IF(Z37="","",IF(Z37&gt;=PARAMETROS!$M$5,"CUMPLE","NO CUMPLE"))</f>
        <v>CUMPLE</v>
      </c>
      <c r="AB37" s="1506"/>
      <c r="AC37" s="97"/>
      <c r="AD37" s="67"/>
    </row>
    <row r="38" spans="1:30" s="33" customFormat="1" ht="66" customHeight="1" thickBot="1">
      <c r="A38" s="1511"/>
      <c r="B38" s="687" t="s">
        <v>278</v>
      </c>
      <c r="C38" s="910" t="s">
        <v>285</v>
      </c>
      <c r="D38" s="489" t="s">
        <v>280</v>
      </c>
      <c r="E38" s="716" t="s">
        <v>207</v>
      </c>
      <c r="F38" s="716" t="s">
        <v>148</v>
      </c>
      <c r="G38" s="716" t="s">
        <v>286</v>
      </c>
      <c r="H38" s="716" t="s">
        <v>287</v>
      </c>
      <c r="I38" s="1398" t="s">
        <v>22</v>
      </c>
      <c r="J38" s="1398" t="s">
        <v>129</v>
      </c>
      <c r="K38" s="1398" t="s">
        <v>129</v>
      </c>
      <c r="L38" s="1398" t="s">
        <v>22</v>
      </c>
      <c r="M38" s="1398" t="s">
        <v>129</v>
      </c>
      <c r="N38" s="1094">
        <v>0.5</v>
      </c>
      <c r="O38" s="222">
        <v>38034</v>
      </c>
      <c r="P38" s="222">
        <v>40770</v>
      </c>
      <c r="Q38" s="223">
        <v>2011</v>
      </c>
      <c r="R38" s="1083">
        <v>535600</v>
      </c>
      <c r="S38" s="1110">
        <v>9131630030</v>
      </c>
      <c r="T38" s="470" t="s">
        <v>229</v>
      </c>
      <c r="U38" s="687" t="s">
        <v>140</v>
      </c>
      <c r="V38" s="1081" t="s">
        <v>140</v>
      </c>
      <c r="W38" s="1082">
        <v>1</v>
      </c>
      <c r="X38" s="470">
        <v>9131630030</v>
      </c>
      <c r="Y38" s="471">
        <v>17049.346583271097</v>
      </c>
      <c r="Z38" s="471">
        <v>8524.6732916355486</v>
      </c>
      <c r="AA38" s="1401" t="str">
        <f>+IF(Z38="","",IF(Z38&gt;=PARAMETROS!$M$5,"CUMPLE","NO CUMPLE"))</f>
        <v>CUMPLE</v>
      </c>
      <c r="AB38" s="1507"/>
      <c r="AC38" s="97"/>
      <c r="AD38" s="67"/>
    </row>
    <row r="39" spans="1:30" s="33" customFormat="1" ht="65.25" customHeight="1">
      <c r="A39" s="1509" t="s">
        <v>30</v>
      </c>
      <c r="B39" s="233" t="s">
        <v>289</v>
      </c>
      <c r="C39" s="234"/>
      <c r="D39" s="274" t="s">
        <v>291</v>
      </c>
      <c r="E39" s="235" t="s">
        <v>292</v>
      </c>
      <c r="F39" s="235" t="s">
        <v>148</v>
      </c>
      <c r="G39" s="235" t="s">
        <v>293</v>
      </c>
      <c r="H39" s="235" t="s">
        <v>294</v>
      </c>
      <c r="I39" s="1397" t="s">
        <v>22</v>
      </c>
      <c r="J39" s="1397" t="s">
        <v>129</v>
      </c>
      <c r="K39" s="1397" t="s">
        <v>22</v>
      </c>
      <c r="L39" s="1397" t="s">
        <v>22</v>
      </c>
      <c r="M39" s="1397" t="s">
        <v>129</v>
      </c>
      <c r="N39" s="1098">
        <v>0.45</v>
      </c>
      <c r="O39" s="238">
        <v>34338</v>
      </c>
      <c r="P39" s="238">
        <v>36305</v>
      </c>
      <c r="Q39" s="239">
        <v>1999</v>
      </c>
      <c r="R39" s="315">
        <v>236460</v>
      </c>
      <c r="S39" s="1109">
        <v>4491569047</v>
      </c>
      <c r="T39" s="240" t="s">
        <v>229</v>
      </c>
      <c r="U39" s="233" t="s">
        <v>140</v>
      </c>
      <c r="V39" s="243" t="s">
        <v>140</v>
      </c>
      <c r="W39" s="244">
        <v>1</v>
      </c>
      <c r="X39" s="240">
        <v>4491569047</v>
      </c>
      <c r="Y39" s="245">
        <v>18995.04798697454</v>
      </c>
      <c r="Z39" s="245">
        <v>8547.7715941385432</v>
      </c>
      <c r="AA39" s="1400" t="str">
        <f>+IF(Z39="","",IF(Z39&gt;=PARAMETROS!$M$5,"CUMPLE","NO CUMPLE"))</f>
        <v>CUMPLE</v>
      </c>
      <c r="AB39" s="1505">
        <v>900</v>
      </c>
      <c r="AC39" s="96"/>
      <c r="AD39" s="67"/>
    </row>
    <row r="40" spans="1:30" s="33" customFormat="1" ht="92.25" customHeight="1">
      <c r="A40" s="1510"/>
      <c r="B40" s="687" t="s">
        <v>289</v>
      </c>
      <c r="C40" s="910"/>
      <c r="D40" s="489" t="s">
        <v>291</v>
      </c>
      <c r="E40" s="716" t="s">
        <v>292</v>
      </c>
      <c r="F40" s="716" t="s">
        <v>148</v>
      </c>
      <c r="G40" s="716" t="s">
        <v>298</v>
      </c>
      <c r="H40" s="716" t="s">
        <v>303</v>
      </c>
      <c r="I40" s="1398" t="s">
        <v>22</v>
      </c>
      <c r="J40" s="1398" t="s">
        <v>129</v>
      </c>
      <c r="K40" s="1398" t="s">
        <v>129</v>
      </c>
      <c r="L40" s="1398" t="s">
        <v>22</v>
      </c>
      <c r="M40" s="1398" t="s">
        <v>129</v>
      </c>
      <c r="N40" s="1094">
        <v>0.5</v>
      </c>
      <c r="O40" s="222">
        <v>39125</v>
      </c>
      <c r="P40" s="1086">
        <v>42286</v>
      </c>
      <c r="Q40" s="223">
        <v>2015</v>
      </c>
      <c r="R40" s="470">
        <v>644350</v>
      </c>
      <c r="S40" s="1110">
        <v>22786421753.5</v>
      </c>
      <c r="T40" s="470" t="s">
        <v>229</v>
      </c>
      <c r="U40" s="687" t="s">
        <v>140</v>
      </c>
      <c r="V40" s="1081" t="s">
        <v>140</v>
      </c>
      <c r="W40" s="1082">
        <v>1</v>
      </c>
      <c r="X40" s="470">
        <v>22786421753.5</v>
      </c>
      <c r="Y40" s="471">
        <v>35363.423222627454</v>
      </c>
      <c r="Z40" s="471">
        <v>17681.711611313727</v>
      </c>
      <c r="AA40" s="1388" t="str">
        <f>+IF(Z40="","",IF(Z40&gt;=PARAMETROS!$M$5,"CUMPLE","NO CUMPLE"))</f>
        <v>CUMPLE</v>
      </c>
      <c r="AB40" s="1506"/>
      <c r="AC40" s="97"/>
      <c r="AD40" s="67"/>
    </row>
    <row r="41" spans="1:30" s="33" customFormat="1" ht="94.5" customHeight="1">
      <c r="A41" s="1510"/>
      <c r="B41" s="687" t="s">
        <v>305</v>
      </c>
      <c r="C41" s="910" t="s">
        <v>713</v>
      </c>
      <c r="D41" s="489" t="s">
        <v>307</v>
      </c>
      <c r="E41" s="716" t="s">
        <v>207</v>
      </c>
      <c r="F41" s="716" t="s">
        <v>148</v>
      </c>
      <c r="G41" s="716" t="s">
        <v>308</v>
      </c>
      <c r="H41" s="716" t="s">
        <v>309</v>
      </c>
      <c r="I41" s="1398" t="s">
        <v>22</v>
      </c>
      <c r="J41" s="1398" t="s">
        <v>129</v>
      </c>
      <c r="K41" s="1398" t="s">
        <v>129</v>
      </c>
      <c r="L41" s="1398" t="s">
        <v>22</v>
      </c>
      <c r="M41" s="1398" t="s">
        <v>129</v>
      </c>
      <c r="N41" s="1094">
        <v>0.65</v>
      </c>
      <c r="O41" s="222">
        <v>39249</v>
      </c>
      <c r="P41" s="222">
        <v>41152</v>
      </c>
      <c r="Q41" s="223">
        <v>2012</v>
      </c>
      <c r="R41" s="470">
        <v>566700</v>
      </c>
      <c r="S41" s="1110">
        <v>19146251489</v>
      </c>
      <c r="T41" s="470" t="s">
        <v>229</v>
      </c>
      <c r="U41" s="687" t="s">
        <v>140</v>
      </c>
      <c r="V41" s="1081" t="s">
        <v>140</v>
      </c>
      <c r="W41" s="1082">
        <v>1</v>
      </c>
      <c r="X41" s="470">
        <v>19146251489</v>
      </c>
      <c r="Y41" s="471">
        <v>33785.515244397386</v>
      </c>
      <c r="Z41" s="471">
        <v>21960.584908858302</v>
      </c>
      <c r="AA41" s="1388" t="str">
        <f>+IF(Z41="","",IF(Z41&gt;=PARAMETROS!$M$5,"CUMPLE","NO CUMPLE"))</f>
        <v>CUMPLE</v>
      </c>
      <c r="AB41" s="1506"/>
      <c r="AC41" s="97"/>
      <c r="AD41" s="67"/>
    </row>
    <row r="42" spans="1:30" s="33" customFormat="1" ht="50.25" customHeight="1" thickBot="1">
      <c r="A42" s="1511"/>
      <c r="B42" s="687" t="s">
        <v>305</v>
      </c>
      <c r="C42" s="910">
        <v>47</v>
      </c>
      <c r="D42" s="489" t="s">
        <v>307</v>
      </c>
      <c r="E42" s="716" t="s">
        <v>214</v>
      </c>
      <c r="F42" s="716" t="s">
        <v>139</v>
      </c>
      <c r="G42" s="716"/>
      <c r="H42" s="716" t="s">
        <v>714</v>
      </c>
      <c r="I42" s="1398" t="s">
        <v>22</v>
      </c>
      <c r="J42" s="1398" t="s">
        <v>22</v>
      </c>
      <c r="K42" s="1398" t="s">
        <v>129</v>
      </c>
      <c r="L42" s="1398" t="s">
        <v>22</v>
      </c>
      <c r="M42" s="1398" t="s">
        <v>129</v>
      </c>
      <c r="N42" s="1094">
        <v>0.5</v>
      </c>
      <c r="O42" s="222">
        <v>39248</v>
      </c>
      <c r="P42" s="222">
        <v>40161</v>
      </c>
      <c r="Q42" s="223">
        <v>2009</v>
      </c>
      <c r="R42" s="1083">
        <v>496900</v>
      </c>
      <c r="S42" s="1110">
        <v>716626.96</v>
      </c>
      <c r="T42" s="470" t="s">
        <v>222</v>
      </c>
      <c r="U42" s="687">
        <v>1.4613400000000001</v>
      </c>
      <c r="V42" s="1081">
        <v>1047235.6417264</v>
      </c>
      <c r="W42" s="1082">
        <v>2000.54</v>
      </c>
      <c r="X42" s="470">
        <v>2095036790.6993322</v>
      </c>
      <c r="Y42" s="471">
        <v>4216.2141088736817</v>
      </c>
      <c r="Z42" s="471">
        <v>2108.1070544368408</v>
      </c>
      <c r="AA42" s="1401" t="str">
        <f>+IF(Z42="","",IF(Z42&gt;=PARAMETROS!$M$5,"CUMPLE","NO CUMPLE"))</f>
        <v>CUMPLE</v>
      </c>
      <c r="AB42" s="1507"/>
      <c r="AC42" s="97"/>
      <c r="AD42" s="67"/>
    </row>
    <row r="43" spans="1:30" s="33" customFormat="1" ht="73.5" customHeight="1">
      <c r="A43" s="1509" t="s">
        <v>31</v>
      </c>
      <c r="B43" s="308" t="s">
        <v>310</v>
      </c>
      <c r="C43" s="82">
        <v>29</v>
      </c>
      <c r="D43" s="83" t="str">
        <f>+IFERROR(INDEX(DESEMPATE!$D$3:$D$83,MATCH('EXP ESPECIFICA '!B43,DESEMPATE!$C$3:$C$83,0)),"")</f>
        <v>TRN INGENIERIA Y PLANIFICACIÓN DE INFRAESTRUCTURAS S.A. SUCURSAL COLOMBIA</v>
      </c>
      <c r="E43" s="84" t="s">
        <v>182</v>
      </c>
      <c r="F43" s="84" t="s">
        <v>139</v>
      </c>
      <c r="G43" s="84" t="s">
        <v>311</v>
      </c>
      <c r="H43" s="85" t="s">
        <v>715</v>
      </c>
      <c r="I43" s="1393" t="s">
        <v>22</v>
      </c>
      <c r="J43" s="1393" t="s">
        <v>22</v>
      </c>
      <c r="K43" s="1393" t="s">
        <v>129</v>
      </c>
      <c r="L43" s="1505" t="s">
        <v>22</v>
      </c>
      <c r="M43" s="1505" t="s">
        <v>129</v>
      </c>
      <c r="N43" s="86">
        <v>1</v>
      </c>
      <c r="O43" s="87">
        <v>39896</v>
      </c>
      <c r="P43" s="87">
        <v>41176</v>
      </c>
      <c r="Q43" s="88">
        <v>2012</v>
      </c>
      <c r="R43" s="298">
        <v>566700</v>
      </c>
      <c r="S43" s="890">
        <v>2242919.7999999998</v>
      </c>
      <c r="T43" s="91" t="s">
        <v>142</v>
      </c>
      <c r="U43" s="81">
        <v>1.2977000000000001</v>
      </c>
      <c r="V43" s="92">
        <v>2910637.02446</v>
      </c>
      <c r="W43" s="309">
        <v>1796.75</v>
      </c>
      <c r="X43" s="911">
        <v>5229687073.6985054</v>
      </c>
      <c r="Y43" s="94">
        <v>9228.3166996620876</v>
      </c>
      <c r="Z43" s="94">
        <v>9228.3166996620876</v>
      </c>
      <c r="AA43" s="1400" t="str">
        <f>+IF(Z43="","",IF(Z43&gt;=PARAMETROS!$M$5,"CUMPLE","NO CUMPLE"))</f>
        <v>CUMPLE</v>
      </c>
      <c r="AB43" s="1505">
        <v>900</v>
      </c>
      <c r="AC43" s="429"/>
      <c r="AD43" s="67"/>
    </row>
    <row r="44" spans="1:30" s="33" customFormat="1" ht="63.75" customHeight="1">
      <c r="A44" s="1510"/>
      <c r="B44" s="19" t="s">
        <v>310</v>
      </c>
      <c r="C44" s="20">
        <v>54</v>
      </c>
      <c r="D44" s="21" t="str">
        <f>+IFERROR(INDEX(DESEMPATE!$D$3:$D$83,MATCH('EXP ESPECIFICA '!B44,DESEMPATE!$C$3:$C$83,0)),"")</f>
        <v>TRN INGENIERIA Y PLANIFICACIÓN DE INFRAESTRUCTURAS S.A. SUCURSAL COLOMBIA</v>
      </c>
      <c r="E44" s="22" t="s">
        <v>182</v>
      </c>
      <c r="F44" s="22" t="s">
        <v>139</v>
      </c>
      <c r="G44" s="22" t="s">
        <v>311</v>
      </c>
      <c r="H44" s="22" t="s">
        <v>716</v>
      </c>
      <c r="I44" s="1388" t="s">
        <v>22</v>
      </c>
      <c r="J44" s="1388" t="s">
        <v>22</v>
      </c>
      <c r="K44" s="1388" t="s">
        <v>129</v>
      </c>
      <c r="L44" s="1506"/>
      <c r="M44" s="1506"/>
      <c r="N44" s="34">
        <v>1</v>
      </c>
      <c r="O44" s="25">
        <v>40128</v>
      </c>
      <c r="P44" s="25">
        <v>41152</v>
      </c>
      <c r="Q44" s="26">
        <v>2012</v>
      </c>
      <c r="R44" s="27">
        <v>566700</v>
      </c>
      <c r="S44" s="891">
        <v>1705361.56</v>
      </c>
      <c r="T44" s="27" t="s">
        <v>142</v>
      </c>
      <c r="U44" s="19">
        <v>1.25308</v>
      </c>
      <c r="V44" s="78">
        <v>2136954.4636047999</v>
      </c>
      <c r="W44" s="31">
        <v>1830.5</v>
      </c>
      <c r="X44" s="912">
        <v>3911695145.6285863</v>
      </c>
      <c r="Y44" s="80">
        <v>6902.5853990269743</v>
      </c>
      <c r="Z44" s="80">
        <v>6902.5853990269743</v>
      </c>
      <c r="AA44" s="1388" t="str">
        <f>+IF(Z44="","",IF(Z44&gt;=PARAMETROS!$M$5,"CUMPLE","NO CUMPLE"))</f>
        <v>CUMPLE</v>
      </c>
      <c r="AB44" s="1506"/>
      <c r="AC44" s="97"/>
      <c r="AD44" s="67"/>
    </row>
    <row r="45" spans="1:30" s="33" customFormat="1" ht="45.75" customHeight="1">
      <c r="A45" s="1510"/>
      <c r="B45" s="68" t="s">
        <v>314</v>
      </c>
      <c r="C45" s="20">
        <v>5</v>
      </c>
      <c r="D45" s="21" t="str">
        <f>+IFERROR(INDEX(DESEMPATE!$D$3:$D$83,MATCH('EXP ESPECIFICA '!B45,DESEMPATE!$C$3:$C$83,0)),"")</f>
        <v>EUROESTUDIOS INGENIEROS DE CONSULTA S.A.S</v>
      </c>
      <c r="E45" s="22" t="s">
        <v>147</v>
      </c>
      <c r="F45" s="22" t="s">
        <v>148</v>
      </c>
      <c r="G45" s="22" t="s">
        <v>315</v>
      </c>
      <c r="H45" s="23" t="s">
        <v>316</v>
      </c>
      <c r="I45" s="1388" t="s">
        <v>22</v>
      </c>
      <c r="J45" s="1388" t="s">
        <v>129</v>
      </c>
      <c r="K45" s="1388" t="s">
        <v>22</v>
      </c>
      <c r="L45" s="1506"/>
      <c r="M45" s="1506"/>
      <c r="N45" s="24">
        <v>0.75</v>
      </c>
      <c r="O45" s="25">
        <v>39521</v>
      </c>
      <c r="P45" s="25">
        <v>40999</v>
      </c>
      <c r="Q45" s="26">
        <v>2012</v>
      </c>
      <c r="R45" s="27">
        <v>566700</v>
      </c>
      <c r="S45" s="891">
        <v>7072964150</v>
      </c>
      <c r="T45" s="161" t="s">
        <v>151</v>
      </c>
      <c r="U45" s="151" t="s">
        <v>140</v>
      </c>
      <c r="V45" s="162" t="s">
        <v>140</v>
      </c>
      <c r="W45" s="31">
        <v>1</v>
      </c>
      <c r="X45" s="913">
        <v>7072964150</v>
      </c>
      <c r="Y45" s="164">
        <v>12480.967266631375</v>
      </c>
      <c r="Z45" s="164">
        <v>9360.7254499735318</v>
      </c>
      <c r="AA45" s="1419" t="str">
        <f>+IF(Z45="","",IF(Z45&gt;=PARAMETROS!$M$5,"CUMPLE","NO CUMPLE"))</f>
        <v>CUMPLE</v>
      </c>
      <c r="AB45" s="1506"/>
      <c r="AC45" s="98"/>
      <c r="AD45" s="67"/>
    </row>
    <row r="46" spans="1:30" s="33" customFormat="1" ht="45.75" customHeight="1" thickBot="1">
      <c r="A46" s="1511"/>
      <c r="B46" s="99" t="s">
        <v>314</v>
      </c>
      <c r="C46" s="123">
        <v>24</v>
      </c>
      <c r="D46" s="101" t="str">
        <f>+IFERROR(INDEX(DESEMPATE!$D$3:$D$83,MATCH('EXP ESPECIFICA '!B46,DESEMPATE!$C$3:$C$83,0)),"")</f>
        <v>EUROESTUDIOS INGENIEROS DE CONSULTA S.A.S</v>
      </c>
      <c r="E46" s="102" t="s">
        <v>214</v>
      </c>
      <c r="F46" s="102" t="s">
        <v>139</v>
      </c>
      <c r="G46" s="102" t="s">
        <v>311</v>
      </c>
      <c r="H46" s="103" t="s">
        <v>717</v>
      </c>
      <c r="I46" s="1392" t="s">
        <v>22</v>
      </c>
      <c r="J46" s="1392" t="s">
        <v>129</v>
      </c>
      <c r="K46" s="1392" t="s">
        <v>22</v>
      </c>
      <c r="L46" s="1507"/>
      <c r="M46" s="1507"/>
      <c r="N46" s="104">
        <v>1</v>
      </c>
      <c r="O46" s="105">
        <v>42487</v>
      </c>
      <c r="P46" s="105">
        <v>39805</v>
      </c>
      <c r="Q46" s="106">
        <v>2008</v>
      </c>
      <c r="R46" s="328">
        <v>461500</v>
      </c>
      <c r="S46" s="892">
        <v>1240314.52</v>
      </c>
      <c r="T46" s="107" t="s">
        <v>142</v>
      </c>
      <c r="U46" s="99">
        <v>1.39802</v>
      </c>
      <c r="V46" s="110">
        <v>1733984.5052504002</v>
      </c>
      <c r="W46" s="333">
        <v>2169.83</v>
      </c>
      <c r="X46" s="914">
        <v>3762451599.0274758</v>
      </c>
      <c r="Y46" s="112">
        <v>8152.6578527139236</v>
      </c>
      <c r="Z46" s="112">
        <v>8152.6578527139236</v>
      </c>
      <c r="AA46" s="1392" t="str">
        <f>+IF(Z46="","",IF(Z46&gt;=PARAMETROS!$M$5,"CUMPLE","NO CUMPLE"))</f>
        <v>CUMPLE</v>
      </c>
      <c r="AB46" s="1507"/>
      <c r="AC46" s="124"/>
      <c r="AD46" s="67"/>
    </row>
    <row r="47" spans="1:30" s="33" customFormat="1" ht="58.5" customHeight="1">
      <c r="A47" s="1509" t="s">
        <v>32</v>
      </c>
      <c r="B47" s="68" t="s">
        <v>318</v>
      </c>
      <c r="C47" s="781">
        <v>5</v>
      </c>
      <c r="D47" s="70" t="str">
        <f>+IFERROR(INDEX(DESEMPATE!$D$3:$D$83,MATCH('EXP ESPECIFICA '!B47,DESEMPATE!$C$3:$C$83,0)),"")</f>
        <v>GEOTECNIA Y CIMIENTOS INGEOCIM S.A.S.</v>
      </c>
      <c r="E47" s="71" t="s">
        <v>319</v>
      </c>
      <c r="F47" s="71" t="s">
        <v>148</v>
      </c>
      <c r="G47" s="71" t="s">
        <v>320</v>
      </c>
      <c r="H47" s="72" t="s">
        <v>321</v>
      </c>
      <c r="I47" s="1393" t="s">
        <v>22</v>
      </c>
      <c r="J47" s="1394" t="s">
        <v>129</v>
      </c>
      <c r="K47" s="1394" t="s">
        <v>129</v>
      </c>
      <c r="L47" s="1505" t="s">
        <v>22</v>
      </c>
      <c r="M47" s="1505" t="s">
        <v>129</v>
      </c>
      <c r="N47" s="73">
        <v>0.9</v>
      </c>
      <c r="O47" s="74">
        <v>35730</v>
      </c>
      <c r="P47" s="74">
        <v>36459</v>
      </c>
      <c r="Q47" s="116">
        <v>1999</v>
      </c>
      <c r="R47" s="787">
        <v>236460</v>
      </c>
      <c r="S47" s="897">
        <v>1343799332.5</v>
      </c>
      <c r="T47" s="77" t="s">
        <v>151</v>
      </c>
      <c r="U47" s="68" t="s">
        <v>140</v>
      </c>
      <c r="V47" s="78" t="s">
        <v>140</v>
      </c>
      <c r="W47" s="79">
        <v>1</v>
      </c>
      <c r="X47" s="912">
        <v>1343799332.5</v>
      </c>
      <c r="Y47" s="80">
        <v>5682.9879577941301</v>
      </c>
      <c r="Z47" s="80">
        <v>5114.6891620147171</v>
      </c>
      <c r="AA47" s="1401" t="str">
        <f>+IF(Z47="","",IF(Z47&gt;=PARAMETROS!$M$5,"CUMPLE","NO CUMPLE"))</f>
        <v>CUMPLE</v>
      </c>
      <c r="AB47" s="1505">
        <v>900</v>
      </c>
      <c r="AC47" s="122"/>
      <c r="AD47" s="67"/>
    </row>
    <row r="48" spans="1:30" s="33" customFormat="1" ht="155.25" customHeight="1">
      <c r="A48" s="1510"/>
      <c r="B48" s="68" t="s">
        <v>318</v>
      </c>
      <c r="C48" s="782">
        <v>21</v>
      </c>
      <c r="D48" s="21" t="str">
        <f>+IFERROR(INDEX(DESEMPATE!$D$3:$D$83,MATCH('EXP ESPECIFICA '!B48,DESEMPATE!$C$3:$C$83,0)),"")</f>
        <v>GEOTECNIA Y CIMIENTOS INGEOCIM S.A.S.</v>
      </c>
      <c r="E48" s="22" t="s">
        <v>281</v>
      </c>
      <c r="F48" s="22" t="s">
        <v>148</v>
      </c>
      <c r="G48" s="22" t="s">
        <v>322</v>
      </c>
      <c r="H48" s="23" t="s">
        <v>323</v>
      </c>
      <c r="I48" s="1388" t="s">
        <v>22</v>
      </c>
      <c r="J48" s="1388" t="s">
        <v>129</v>
      </c>
      <c r="K48" s="1388" t="s">
        <v>22</v>
      </c>
      <c r="L48" s="1506"/>
      <c r="M48" s="1506"/>
      <c r="N48" s="24">
        <v>0.5</v>
      </c>
      <c r="O48" s="25">
        <v>38772</v>
      </c>
      <c r="P48" s="25">
        <v>40656</v>
      </c>
      <c r="Q48" s="26">
        <v>2011</v>
      </c>
      <c r="R48" s="27">
        <v>535600</v>
      </c>
      <c r="S48" s="895">
        <v>4960831409</v>
      </c>
      <c r="T48" s="29" t="s">
        <v>151</v>
      </c>
      <c r="U48" s="19" t="s">
        <v>140</v>
      </c>
      <c r="V48" s="30" t="s">
        <v>140</v>
      </c>
      <c r="W48" s="31">
        <v>1</v>
      </c>
      <c r="X48" s="915">
        <v>4960831409</v>
      </c>
      <c r="Y48" s="16">
        <v>9262.1945649738609</v>
      </c>
      <c r="Z48" s="16">
        <v>4631.0972824869305</v>
      </c>
      <c r="AA48" s="1388" t="str">
        <f>+IF(Z48="","",IF(Z48&gt;=PARAMETROS!$M$5,"CUMPLE","NO CUMPLE"))</f>
        <v>CUMPLE</v>
      </c>
      <c r="AB48" s="1506"/>
      <c r="AC48" s="97"/>
      <c r="AD48" s="67"/>
    </row>
    <row r="49" spans="1:30" s="33" customFormat="1" ht="75" customHeight="1">
      <c r="A49" s="1510"/>
      <c r="B49" s="68" t="s">
        <v>318</v>
      </c>
      <c r="C49" s="782">
        <v>27</v>
      </c>
      <c r="D49" s="21" t="str">
        <f>+IFERROR(INDEX(DESEMPATE!$D$3:$D$83,MATCH('EXP ESPECIFICA '!B49,DESEMPATE!$C$3:$C$83,0)),"")</f>
        <v>GEOTECNIA Y CIMIENTOS INGEOCIM S.A.S.</v>
      </c>
      <c r="E49" s="22" t="s">
        <v>147</v>
      </c>
      <c r="F49" s="22" t="s">
        <v>148</v>
      </c>
      <c r="G49" s="22" t="s">
        <v>324</v>
      </c>
      <c r="H49" s="23" t="s">
        <v>325</v>
      </c>
      <c r="I49" s="1388" t="s">
        <v>22</v>
      </c>
      <c r="J49" s="1388" t="s">
        <v>129</v>
      </c>
      <c r="K49" s="1388" t="s">
        <v>22</v>
      </c>
      <c r="L49" s="1506"/>
      <c r="M49" s="1506"/>
      <c r="N49" s="24">
        <v>0.6</v>
      </c>
      <c r="O49" s="25">
        <v>41568</v>
      </c>
      <c r="P49" s="25">
        <v>42008</v>
      </c>
      <c r="Q49" s="26">
        <v>2015</v>
      </c>
      <c r="R49" s="27">
        <v>644350</v>
      </c>
      <c r="S49" s="895">
        <v>2992430016</v>
      </c>
      <c r="T49" s="29" t="s">
        <v>151</v>
      </c>
      <c r="U49" s="19" t="s">
        <v>140</v>
      </c>
      <c r="V49" s="30" t="s">
        <v>140</v>
      </c>
      <c r="W49" s="31">
        <v>1</v>
      </c>
      <c r="X49" s="915">
        <v>2992430016</v>
      </c>
      <c r="Y49" s="16">
        <v>4644.1064887095527</v>
      </c>
      <c r="Z49" s="16">
        <v>2786.4638932257317</v>
      </c>
      <c r="AA49" s="1388" t="str">
        <f>+IF(Z49="","",IF(Z49&gt;=PARAMETROS!$M$5,"CUMPLE","NO CUMPLE"))</f>
        <v>CUMPLE</v>
      </c>
      <c r="AB49" s="1506"/>
      <c r="AC49" s="97"/>
      <c r="AD49" s="67"/>
    </row>
    <row r="50" spans="1:30" s="33" customFormat="1" ht="57" customHeight="1" thickBot="1">
      <c r="A50" s="1511"/>
      <c r="B50" s="68" t="s">
        <v>327</v>
      </c>
      <c r="C50" s="782">
        <v>32</v>
      </c>
      <c r="D50" s="21" t="str">
        <f>+IFERROR(INDEX(DESEMPATE!$D$3:$D$83,MATCH('EXP ESPECIFICA '!B50,DESEMPATE!$C$3:$C$83,0)),"")</f>
        <v>CULMEN INTERNATIONAL CONSULTING S.A.S.</v>
      </c>
      <c r="E50" s="22" t="s">
        <v>214</v>
      </c>
      <c r="F50" s="22" t="s">
        <v>139</v>
      </c>
      <c r="G50" s="22">
        <v>200630830</v>
      </c>
      <c r="H50" s="23" t="s">
        <v>328</v>
      </c>
      <c r="I50" s="1392" t="s">
        <v>22</v>
      </c>
      <c r="J50" s="1388" t="s">
        <v>22</v>
      </c>
      <c r="K50" s="1388" t="s">
        <v>129</v>
      </c>
      <c r="L50" s="1507"/>
      <c r="M50" s="1507"/>
      <c r="N50" s="24">
        <v>0.5</v>
      </c>
      <c r="O50" s="25">
        <v>39077</v>
      </c>
      <c r="P50" s="25">
        <v>40354</v>
      </c>
      <c r="Q50" s="26">
        <v>2010</v>
      </c>
      <c r="R50" s="75">
        <v>515000</v>
      </c>
      <c r="S50" s="896">
        <v>1724238.72</v>
      </c>
      <c r="T50" s="29" t="s">
        <v>142</v>
      </c>
      <c r="U50" s="19">
        <v>1.23166</v>
      </c>
      <c r="V50" s="110">
        <v>2123675.8618751997</v>
      </c>
      <c r="W50" s="333">
        <v>1896.87</v>
      </c>
      <c r="X50" s="914">
        <v>4028337032.1152101</v>
      </c>
      <c r="Y50" s="16">
        <v>7822.0136545926407</v>
      </c>
      <c r="Z50" s="16">
        <v>3911.0068272963204</v>
      </c>
      <c r="AA50" s="1401" t="str">
        <f>+IF(Z50="","",IF(Z50&gt;=PARAMETROS!$M$5,"CUMPLE","NO CUMPLE"))</f>
        <v>CUMPLE</v>
      </c>
      <c r="AB50" s="1507"/>
      <c r="AC50" s="97"/>
      <c r="AD50" s="67"/>
    </row>
    <row r="51" spans="1:30" s="33" customFormat="1" ht="48" customHeight="1">
      <c r="A51" s="1509" t="s">
        <v>33</v>
      </c>
      <c r="B51" s="81" t="s">
        <v>329</v>
      </c>
      <c r="C51" s="783">
        <v>3</v>
      </c>
      <c r="D51" s="83" t="str">
        <f>+IFERROR(INDEX(DESEMPATE!$D$3:$D$83,MATCH('EXP ESPECIFICA '!B51,DESEMPATE!$C$3:$C$83,0)),"")</f>
        <v>ESTUDIOS TÉCNICOS Y ASESORÍAS S.A. - ETA S.A.</v>
      </c>
      <c r="E51" s="84" t="s">
        <v>147</v>
      </c>
      <c r="F51" s="84" t="s">
        <v>148</v>
      </c>
      <c r="G51" s="84" t="s">
        <v>718</v>
      </c>
      <c r="H51" s="85" t="s">
        <v>719</v>
      </c>
      <c r="I51" s="1393" t="s">
        <v>22</v>
      </c>
      <c r="J51" s="1393" t="s">
        <v>129</v>
      </c>
      <c r="K51" s="1393" t="s">
        <v>22</v>
      </c>
      <c r="L51" s="1505" t="s">
        <v>22</v>
      </c>
      <c r="M51" s="1505" t="s">
        <v>129</v>
      </c>
      <c r="N51" s="86">
        <v>0.49</v>
      </c>
      <c r="O51" s="238">
        <v>40855</v>
      </c>
      <c r="P51" s="238">
        <v>42460</v>
      </c>
      <c r="Q51" s="88">
        <v>2016</v>
      </c>
      <c r="R51" s="298">
        <v>689554</v>
      </c>
      <c r="S51" s="897">
        <v>4579022844</v>
      </c>
      <c r="T51" s="91" t="s">
        <v>151</v>
      </c>
      <c r="U51" s="81" t="s">
        <v>140</v>
      </c>
      <c r="V51" s="92" t="s">
        <v>140</v>
      </c>
      <c r="W51" s="93">
        <v>1</v>
      </c>
      <c r="X51" s="911">
        <v>4579022844</v>
      </c>
      <c r="Y51" s="94">
        <v>6640.5572935549644</v>
      </c>
      <c r="Z51" s="94">
        <v>3253.8730738419326</v>
      </c>
      <c r="AA51" s="1400" t="str">
        <f>+IF(Z51="","",IF(Z51&gt;=PARAMETROS!$M$5,"CUMPLE","NO CUMPLE"))</f>
        <v>CUMPLE</v>
      </c>
      <c r="AB51" s="1505">
        <v>900</v>
      </c>
      <c r="AC51" s="899"/>
      <c r="AD51" s="67"/>
    </row>
    <row r="52" spans="1:30" s="33" customFormat="1" ht="47.25" customHeight="1">
      <c r="A52" s="1510"/>
      <c r="B52" s="19" t="s">
        <v>329</v>
      </c>
      <c r="C52" s="782">
        <v>36</v>
      </c>
      <c r="D52" s="21" t="str">
        <f>+IFERROR(INDEX(DESEMPATE!$D$3:$D$83,MATCH('EXP ESPECIFICA '!B52,DESEMPATE!$C$3:$C$83,0)),"")</f>
        <v>ESTUDIOS TÉCNICOS Y ASESORÍAS S.A. - ETA S.A.</v>
      </c>
      <c r="E52" s="22" t="s">
        <v>207</v>
      </c>
      <c r="F52" s="22" t="s">
        <v>148</v>
      </c>
      <c r="G52" s="22" t="s">
        <v>720</v>
      </c>
      <c r="H52" s="23" t="s">
        <v>721</v>
      </c>
      <c r="I52" s="1388" t="s">
        <v>22</v>
      </c>
      <c r="J52" s="1388" t="s">
        <v>129</v>
      </c>
      <c r="K52" s="1388" t="s">
        <v>129</v>
      </c>
      <c r="L52" s="1506"/>
      <c r="M52" s="1506"/>
      <c r="N52" s="34">
        <v>0.6</v>
      </c>
      <c r="O52" s="25">
        <v>37432</v>
      </c>
      <c r="P52" s="25">
        <v>38352</v>
      </c>
      <c r="Q52" s="26">
        <v>2004</v>
      </c>
      <c r="R52" s="27">
        <v>358000</v>
      </c>
      <c r="S52" s="895">
        <v>2437834762</v>
      </c>
      <c r="T52" s="27" t="s">
        <v>151</v>
      </c>
      <c r="U52" s="19" t="s">
        <v>140</v>
      </c>
      <c r="V52" s="30" t="s">
        <v>140</v>
      </c>
      <c r="W52" s="31">
        <v>1</v>
      </c>
      <c r="X52" s="915">
        <v>2437834762</v>
      </c>
      <c r="Y52" s="16">
        <v>6809.5943072625696</v>
      </c>
      <c r="Z52" s="16">
        <v>4085.7565843575417</v>
      </c>
      <c r="AA52" s="1388" t="str">
        <f>+IF(Z52="","",IF(Z52&gt;=PARAMETROS!$M$5,"CUMPLE","NO CUMPLE"))</f>
        <v>CUMPLE</v>
      </c>
      <c r="AB52" s="1506"/>
      <c r="AC52" s="97"/>
      <c r="AD52" s="67"/>
    </row>
    <row r="53" spans="1:30" s="33" customFormat="1" ht="53.25" customHeight="1">
      <c r="A53" s="1510"/>
      <c r="B53" s="19" t="s">
        <v>329</v>
      </c>
      <c r="C53" s="782">
        <v>45</v>
      </c>
      <c r="D53" s="21" t="str">
        <f>+IFERROR(INDEX(DESEMPATE!$D$3:$D$83,MATCH('EXP ESPECIFICA '!B53,DESEMPATE!$C$3:$C$83,0)),"")</f>
        <v>ESTUDIOS TÉCNICOS Y ASESORÍAS S.A. - ETA S.A.</v>
      </c>
      <c r="E53" s="22" t="s">
        <v>155</v>
      </c>
      <c r="F53" s="22" t="s">
        <v>148</v>
      </c>
      <c r="G53" s="22" t="s">
        <v>722</v>
      </c>
      <c r="H53" s="23" t="s">
        <v>723</v>
      </c>
      <c r="I53" s="1388" t="s">
        <v>22</v>
      </c>
      <c r="J53" s="1388" t="s">
        <v>129</v>
      </c>
      <c r="K53" s="1388" t="s">
        <v>129</v>
      </c>
      <c r="L53" s="1506"/>
      <c r="M53" s="1506"/>
      <c r="N53" s="1131">
        <v>1</v>
      </c>
      <c r="O53" s="25">
        <v>39776</v>
      </c>
      <c r="P53" s="25">
        <v>40809</v>
      </c>
      <c r="Q53" s="26">
        <v>2011</v>
      </c>
      <c r="R53" s="27">
        <v>535600</v>
      </c>
      <c r="S53" s="895">
        <v>2437834762</v>
      </c>
      <c r="T53" s="29" t="s">
        <v>151</v>
      </c>
      <c r="U53" s="19" t="s">
        <v>140</v>
      </c>
      <c r="V53" s="30" t="s">
        <v>140</v>
      </c>
      <c r="W53" s="31">
        <v>1</v>
      </c>
      <c r="X53" s="915">
        <v>2437834762</v>
      </c>
      <c r="Y53" s="16">
        <v>4551.5958961911874</v>
      </c>
      <c r="Z53" s="16">
        <v>4551.5958961911874</v>
      </c>
      <c r="AA53" s="1388" t="str">
        <f>+IF(Z53="","",IF(Z53&gt;=PARAMETROS!$M$5,"CUMPLE","NO CUMPLE"))</f>
        <v>CUMPLE</v>
      </c>
      <c r="AB53" s="1506"/>
      <c r="AC53" s="97"/>
      <c r="AD53" s="67"/>
    </row>
    <row r="54" spans="1:30" s="33" customFormat="1" ht="55.5" customHeight="1" thickBot="1">
      <c r="A54" s="1511"/>
      <c r="B54" s="19" t="s">
        <v>338</v>
      </c>
      <c r="C54" s="782">
        <v>49</v>
      </c>
      <c r="D54" s="21" t="str">
        <f>+IFERROR(INDEX(DESEMPATE!$D$3:$D$83,MATCH('EXP ESPECIFICA '!B54,DESEMPATE!$C$3:$C$83,0)),"")</f>
        <v>INTECSA - INARSA COLOMBIA S.A.S.</v>
      </c>
      <c r="E54" s="102" t="s">
        <v>182</v>
      </c>
      <c r="F54" s="102" t="s">
        <v>139</v>
      </c>
      <c r="G54" s="102" t="s">
        <v>311</v>
      </c>
      <c r="H54" s="23" t="s">
        <v>724</v>
      </c>
      <c r="I54" s="1392" t="s">
        <v>22</v>
      </c>
      <c r="J54" s="1388" t="s">
        <v>22</v>
      </c>
      <c r="K54" s="1388" t="s">
        <v>129</v>
      </c>
      <c r="L54" s="1507"/>
      <c r="M54" s="1507"/>
      <c r="N54" s="24">
        <v>1</v>
      </c>
      <c r="O54" s="25">
        <v>39450</v>
      </c>
      <c r="P54" s="25">
        <v>40622</v>
      </c>
      <c r="Q54" s="26">
        <v>2011</v>
      </c>
      <c r="R54" s="75">
        <v>535600</v>
      </c>
      <c r="S54" s="896">
        <v>1222959.81</v>
      </c>
      <c r="T54" s="109" t="s">
        <v>142</v>
      </c>
      <c r="U54" s="99">
        <v>1.23166</v>
      </c>
      <c r="V54" s="110">
        <v>1506270.6795846</v>
      </c>
      <c r="W54" s="333">
        <v>1874.79</v>
      </c>
      <c r="X54" s="914">
        <v>2823941207.3784122</v>
      </c>
      <c r="Y54" s="16">
        <v>5272.4817165392315</v>
      </c>
      <c r="Z54" s="16">
        <v>5272.4817165392315</v>
      </c>
      <c r="AA54" s="1401" t="str">
        <f>+IF(Z54="","",IF(Z54&gt;=PARAMETROS!$M$5,"CUMPLE","NO CUMPLE"))</f>
        <v>CUMPLE</v>
      </c>
      <c r="AB54" s="1507"/>
      <c r="AC54" s="97"/>
      <c r="AD54" s="67"/>
    </row>
    <row r="55" spans="1:30" s="33" customFormat="1" ht="48.75" customHeight="1">
      <c r="A55" s="1509" t="s">
        <v>34</v>
      </c>
      <c r="B55" s="81" t="s">
        <v>340</v>
      </c>
      <c r="C55" s="783" t="s">
        <v>341</v>
      </c>
      <c r="D55" s="83" t="str">
        <f>+IFERROR(INDEX(DESEMPATE!$D$3:$D$83,MATCH('EXP ESPECIFICA '!B55,DESEMPATE!$C$3:$C$83,0)),"")</f>
        <v>CPS INGENIEROS OBRA CIVIL Y MEDIO AMBIENTE SUCURSAL COLOMBIA S.L.</v>
      </c>
      <c r="E55" s="71" t="s">
        <v>343</v>
      </c>
      <c r="F55" s="71" t="s">
        <v>139</v>
      </c>
      <c r="G55" s="71" t="s">
        <v>311</v>
      </c>
      <c r="H55" s="85" t="s">
        <v>725</v>
      </c>
      <c r="I55" s="1393" t="s">
        <v>22</v>
      </c>
      <c r="J55" s="1393" t="s">
        <v>22</v>
      </c>
      <c r="K55" s="1393" t="s">
        <v>129</v>
      </c>
      <c r="L55" s="1505" t="s">
        <v>22</v>
      </c>
      <c r="M55" s="1505" t="s">
        <v>129</v>
      </c>
      <c r="N55" s="86">
        <v>0.5</v>
      </c>
      <c r="O55" s="87">
        <v>39399</v>
      </c>
      <c r="P55" s="87">
        <v>41820</v>
      </c>
      <c r="Q55" s="88">
        <v>2014</v>
      </c>
      <c r="R55" s="298">
        <v>616000</v>
      </c>
      <c r="S55" s="897">
        <v>2581401.2400000002</v>
      </c>
      <c r="T55" s="77" t="s">
        <v>142</v>
      </c>
      <c r="U55" s="68">
        <v>1.36452</v>
      </c>
      <c r="V55" s="92">
        <v>3522373.6200048001</v>
      </c>
      <c r="W55" s="93">
        <v>1881.19</v>
      </c>
      <c r="X55" s="911">
        <v>6626254030.2168303</v>
      </c>
      <c r="Y55" s="94">
        <v>10756.905893209139</v>
      </c>
      <c r="Z55" s="94">
        <v>5378.4529466045697</v>
      </c>
      <c r="AA55" s="1400" t="str">
        <f>+IF(Z55="","",IF(Z55&gt;=PARAMETROS!$M$5,"CUMPLE","NO CUMPLE"))</f>
        <v>CUMPLE</v>
      </c>
      <c r="AB55" s="1505">
        <v>900</v>
      </c>
      <c r="AC55" s="96"/>
      <c r="AD55" s="67"/>
    </row>
    <row r="56" spans="1:30" s="33" customFormat="1" ht="77.25" customHeight="1">
      <c r="A56" s="1510"/>
      <c r="B56" s="19" t="s">
        <v>340</v>
      </c>
      <c r="C56" s="782" t="s">
        <v>341</v>
      </c>
      <c r="D56" s="21" t="str">
        <f>+IFERROR(INDEX(DESEMPATE!$D$3:$D$83,MATCH('EXP ESPECIFICA '!B56,DESEMPATE!$C$3:$C$83,0)),"")</f>
        <v>CPS INGENIEROS OBRA CIVIL Y MEDIO AMBIENTE SUCURSAL COLOMBIA S.L.</v>
      </c>
      <c r="E56" s="22" t="s">
        <v>343</v>
      </c>
      <c r="F56" s="22" t="s">
        <v>139</v>
      </c>
      <c r="G56" s="22" t="s">
        <v>311</v>
      </c>
      <c r="H56" s="23" t="s">
        <v>726</v>
      </c>
      <c r="I56" s="1388" t="s">
        <v>22</v>
      </c>
      <c r="J56" s="1388" t="s">
        <v>129</v>
      </c>
      <c r="K56" s="1388" t="s">
        <v>22</v>
      </c>
      <c r="L56" s="1506"/>
      <c r="M56" s="1506"/>
      <c r="N56" s="24">
        <v>1</v>
      </c>
      <c r="O56" s="25">
        <v>38107</v>
      </c>
      <c r="P56" s="25">
        <v>40747</v>
      </c>
      <c r="Q56" s="26">
        <v>2011</v>
      </c>
      <c r="R56" s="27">
        <v>535600</v>
      </c>
      <c r="S56" s="895">
        <v>1048263.23</v>
      </c>
      <c r="T56" s="29" t="s">
        <v>142</v>
      </c>
      <c r="U56" s="19">
        <v>1.43862</v>
      </c>
      <c r="V56" s="30">
        <v>1508052.4479425999</v>
      </c>
      <c r="W56" s="31">
        <v>1757.35</v>
      </c>
      <c r="X56" s="912">
        <v>2650175969.3919277</v>
      </c>
      <c r="Y56" s="16">
        <v>4948.0507270200296</v>
      </c>
      <c r="Z56" s="16">
        <v>4948.0507270200296</v>
      </c>
      <c r="AA56" s="1388" t="str">
        <f>+IF(Z56="","",IF(Z56&gt;=PARAMETROS!$M$5,"CUMPLE","NO CUMPLE"))</f>
        <v>CUMPLE</v>
      </c>
      <c r="AB56" s="1506"/>
      <c r="AC56" s="97"/>
      <c r="AD56" s="67"/>
    </row>
    <row r="57" spans="1:30" s="33" customFormat="1" ht="86.25" customHeight="1">
      <c r="A57" s="1510"/>
      <c r="B57" s="19" t="s">
        <v>347</v>
      </c>
      <c r="C57" s="782" t="s">
        <v>341</v>
      </c>
      <c r="D57" s="21" t="str">
        <f>+IFERROR(INDEX(DESEMPATE!$D$3:$D$83,MATCH('EXP ESPECIFICA '!B57,DESEMPATE!$C$3:$C$83,0)),"")</f>
        <v>SERTIC S.A.S.</v>
      </c>
      <c r="E57" s="22" t="s">
        <v>147</v>
      </c>
      <c r="F57" s="22" t="s">
        <v>148</v>
      </c>
      <c r="G57" s="22" t="s">
        <v>727</v>
      </c>
      <c r="H57" s="23" t="s">
        <v>728</v>
      </c>
      <c r="I57" s="1388" t="s">
        <v>22</v>
      </c>
      <c r="J57" s="1388" t="s">
        <v>129</v>
      </c>
      <c r="K57" s="1388" t="s">
        <v>22</v>
      </c>
      <c r="L57" s="1506"/>
      <c r="M57" s="1506"/>
      <c r="N57" s="24">
        <v>0.2</v>
      </c>
      <c r="O57" s="25">
        <v>41068</v>
      </c>
      <c r="P57" s="25">
        <v>42411</v>
      </c>
      <c r="Q57" s="26">
        <v>2016</v>
      </c>
      <c r="R57" s="27">
        <v>689554</v>
      </c>
      <c r="S57" s="895">
        <v>7904671886.5799999</v>
      </c>
      <c r="T57" s="29" t="s">
        <v>151</v>
      </c>
      <c r="U57" s="19" t="s">
        <v>140</v>
      </c>
      <c r="V57" s="30" t="s">
        <v>140</v>
      </c>
      <c r="W57" s="31">
        <v>1</v>
      </c>
      <c r="X57" s="915">
        <v>7904671886.5799999</v>
      </c>
      <c r="Y57" s="16">
        <v>11463.455924525128</v>
      </c>
      <c r="Z57" s="16">
        <v>2292.6911849050257</v>
      </c>
      <c r="AA57" s="1388" t="str">
        <f>+IF(Z57="","",IF(Z57&gt;=PARAMETROS!$M$5,"CUMPLE","NO CUMPLE"))</f>
        <v>CUMPLE</v>
      </c>
      <c r="AB57" s="1506"/>
      <c r="AC57" s="97"/>
      <c r="AD57" s="67"/>
    </row>
    <row r="58" spans="1:30" s="33" customFormat="1" ht="106.5" customHeight="1" thickBot="1">
      <c r="A58" s="1511"/>
      <c r="B58" s="19" t="s">
        <v>347</v>
      </c>
      <c r="C58" s="782" t="s">
        <v>341</v>
      </c>
      <c r="D58" s="21" t="str">
        <f>+IFERROR(INDEX(DESEMPATE!$D$3:$D$83,MATCH('EXP ESPECIFICA '!B58,DESEMPATE!$C$3:$C$83,0)),"")</f>
        <v>SERTIC S.A.S.</v>
      </c>
      <c r="E58" s="102" t="s">
        <v>147</v>
      </c>
      <c r="F58" s="102" t="s">
        <v>148</v>
      </c>
      <c r="G58" s="102" t="s">
        <v>348</v>
      </c>
      <c r="H58" s="103" t="s">
        <v>349</v>
      </c>
      <c r="I58" s="1392" t="s">
        <v>22</v>
      </c>
      <c r="J58" s="1388" t="s">
        <v>129</v>
      </c>
      <c r="K58" s="1388" t="s">
        <v>22</v>
      </c>
      <c r="L58" s="1507"/>
      <c r="M58" s="1507"/>
      <c r="N58" s="24">
        <v>0.25</v>
      </c>
      <c r="O58" s="25">
        <v>40954</v>
      </c>
      <c r="P58" s="25">
        <v>42398</v>
      </c>
      <c r="Q58" s="26">
        <v>2016</v>
      </c>
      <c r="R58" s="75">
        <v>689554</v>
      </c>
      <c r="S58" s="896">
        <v>6977164104</v>
      </c>
      <c r="T58" s="29" t="s">
        <v>151</v>
      </c>
      <c r="U58" s="19" t="s">
        <v>140</v>
      </c>
      <c r="V58" s="30" t="s">
        <v>140</v>
      </c>
      <c r="W58" s="31">
        <v>1</v>
      </c>
      <c r="X58" s="914">
        <v>6977164104</v>
      </c>
      <c r="Y58" s="16">
        <v>10118.37231601876</v>
      </c>
      <c r="Z58" s="16">
        <v>2529.59307900469</v>
      </c>
      <c r="AA58" s="1401" t="str">
        <f>+IF(Z58="","",IF(Z58&gt;=PARAMETROS!$M$5,"CUMPLE","NO CUMPLE"))</f>
        <v>CUMPLE</v>
      </c>
      <c r="AB58" s="1507"/>
      <c r="AC58" s="97"/>
      <c r="AD58" s="67"/>
    </row>
    <row r="59" spans="1:30" s="33" customFormat="1" ht="45" customHeight="1">
      <c r="A59" s="1509" t="s">
        <v>35</v>
      </c>
      <c r="B59" s="81" t="s">
        <v>354</v>
      </c>
      <c r="C59" s="783">
        <v>3</v>
      </c>
      <c r="D59" s="83" t="str">
        <f>+IFERROR(INDEX(DESEMPATE!$D$3:$D$83,MATCH('EXP ESPECIFICA '!B59,DESEMPATE!$C$3:$C$83,0)),"")</f>
        <v>ESTRUCTURADOR COLOMBIA S.A.S.</v>
      </c>
      <c r="E59" s="904" t="s">
        <v>358</v>
      </c>
      <c r="F59" s="904" t="s">
        <v>148</v>
      </c>
      <c r="G59" s="904" t="s">
        <v>359</v>
      </c>
      <c r="H59" s="72" t="s">
        <v>360</v>
      </c>
      <c r="I59" s="1393" t="s">
        <v>22</v>
      </c>
      <c r="J59" s="1393" t="s">
        <v>129</v>
      </c>
      <c r="K59" s="1393" t="s">
        <v>129</v>
      </c>
      <c r="L59" s="1505" t="s">
        <v>22</v>
      </c>
      <c r="M59" s="1393" t="s">
        <v>129</v>
      </c>
      <c r="N59" s="86">
        <v>0.5</v>
      </c>
      <c r="O59" s="87">
        <v>41533</v>
      </c>
      <c r="P59" s="87">
        <v>42369</v>
      </c>
      <c r="Q59" s="88">
        <v>2015</v>
      </c>
      <c r="R59" s="298">
        <v>644350</v>
      </c>
      <c r="S59" s="897">
        <v>3374227837</v>
      </c>
      <c r="T59" s="91" t="s">
        <v>151</v>
      </c>
      <c r="U59" s="81" t="s">
        <v>140</v>
      </c>
      <c r="V59" s="92" t="s">
        <v>140</v>
      </c>
      <c r="W59" s="93">
        <v>1</v>
      </c>
      <c r="X59" s="916">
        <v>3374227837</v>
      </c>
      <c r="Y59" s="94">
        <v>5236.6382199115387</v>
      </c>
      <c r="Z59" s="94">
        <v>2618.3191099557694</v>
      </c>
      <c r="AA59" s="1400" t="str">
        <f>+IF(Z59="","",IF(Z59&gt;=PARAMETROS!$M$5,"CUMPLE","NO CUMPLE"))</f>
        <v>CUMPLE</v>
      </c>
      <c r="AB59" s="1505">
        <v>900</v>
      </c>
      <c r="AC59" s="96"/>
      <c r="AD59" s="67"/>
    </row>
    <row r="60" spans="1:30" s="33" customFormat="1" ht="51" customHeight="1">
      <c r="A60" s="1510"/>
      <c r="B60" s="19" t="s">
        <v>350</v>
      </c>
      <c r="C60" s="782">
        <v>15</v>
      </c>
      <c r="D60" s="21" t="str">
        <f>+IFERROR(INDEX(DESEMPATE!$D$3:$D$83,MATCH('EXP ESPECIFICA '!B60,DESEMPATE!$C$3:$C$83,0)),"")</f>
        <v>ECOVIAS S.A.S.</v>
      </c>
      <c r="E60" s="22" t="s">
        <v>351</v>
      </c>
      <c r="F60" s="22" t="s">
        <v>148</v>
      </c>
      <c r="G60" s="22" t="s">
        <v>352</v>
      </c>
      <c r="H60" s="23" t="s">
        <v>353</v>
      </c>
      <c r="I60" s="1388" t="s">
        <v>22</v>
      </c>
      <c r="J60" s="1388" t="s">
        <v>129</v>
      </c>
      <c r="K60" s="1388" t="s">
        <v>22</v>
      </c>
      <c r="L60" s="1506"/>
      <c r="M60" s="1388" t="s">
        <v>129</v>
      </c>
      <c r="N60" s="24">
        <v>0.5</v>
      </c>
      <c r="O60" s="25">
        <v>36752</v>
      </c>
      <c r="P60" s="1132">
        <v>42429</v>
      </c>
      <c r="Q60" s="26">
        <v>2016</v>
      </c>
      <c r="R60" s="27">
        <v>689554</v>
      </c>
      <c r="S60" s="895">
        <v>5392236983</v>
      </c>
      <c r="T60" s="29" t="s">
        <v>151</v>
      </c>
      <c r="U60" s="19" t="s">
        <v>140</v>
      </c>
      <c r="V60" s="30" t="s">
        <v>140</v>
      </c>
      <c r="W60" s="31">
        <v>1</v>
      </c>
      <c r="X60" s="917">
        <v>5392236983</v>
      </c>
      <c r="Y60" s="16">
        <v>7819.8908033308489</v>
      </c>
      <c r="Z60" s="16">
        <v>3909.9454016654245</v>
      </c>
      <c r="AA60" s="1388" t="str">
        <f>+IF(Z60="","",IF(Z60&gt;=PARAMETROS!$M$5,"CUMPLE","NO CUMPLE"))</f>
        <v>CUMPLE</v>
      </c>
      <c r="AB60" s="1506"/>
      <c r="AC60" s="97"/>
      <c r="AD60" s="67"/>
    </row>
    <row r="61" spans="1:30" s="33" customFormat="1" ht="87" customHeight="1">
      <c r="A61" s="1510"/>
      <c r="B61" s="19" t="s">
        <v>350</v>
      </c>
      <c r="C61" s="782">
        <v>23</v>
      </c>
      <c r="D61" s="21" t="str">
        <f>+IFERROR(INDEX(DESEMPATE!$D$3:$D$83,MATCH('EXP ESPECIFICA '!B61,DESEMPATE!$C$3:$C$83,0)),"")</f>
        <v>ECOVIAS S.A.S.</v>
      </c>
      <c r="E61" s="37" t="s">
        <v>355</v>
      </c>
      <c r="F61" s="37" t="s">
        <v>148</v>
      </c>
      <c r="G61" s="37" t="s">
        <v>356</v>
      </c>
      <c r="H61" s="23" t="s">
        <v>357</v>
      </c>
      <c r="I61" s="1388" t="s">
        <v>22</v>
      </c>
      <c r="J61" s="1388" t="s">
        <v>129</v>
      </c>
      <c r="K61" s="1388" t="s">
        <v>129</v>
      </c>
      <c r="L61" s="1506"/>
      <c r="M61" s="1388" t="s">
        <v>129</v>
      </c>
      <c r="N61" s="38">
        <v>0.5</v>
      </c>
      <c r="O61" s="25">
        <v>40099</v>
      </c>
      <c r="P61" s="25">
        <v>40558</v>
      </c>
      <c r="Q61" s="26">
        <v>2011</v>
      </c>
      <c r="R61" s="27">
        <v>535600</v>
      </c>
      <c r="S61" s="895">
        <v>4561047955</v>
      </c>
      <c r="T61" s="29" t="s">
        <v>151</v>
      </c>
      <c r="U61" s="19" t="s">
        <v>140</v>
      </c>
      <c r="V61" s="30" t="s">
        <v>140</v>
      </c>
      <c r="W61" s="31">
        <v>1</v>
      </c>
      <c r="X61" s="915">
        <v>4561047955</v>
      </c>
      <c r="Y61" s="16">
        <v>8515.7728808812553</v>
      </c>
      <c r="Z61" s="16">
        <v>4257.8864404406277</v>
      </c>
      <c r="AA61" s="1388" t="str">
        <f>+IF(Z61="","",IF(Z61&gt;=PARAMETROS!$M$5,"CUMPLE","NO CUMPLE"))</f>
        <v>CUMPLE</v>
      </c>
      <c r="AB61" s="1506"/>
      <c r="AC61" s="121"/>
      <c r="AD61" s="67"/>
    </row>
    <row r="62" spans="1:30" s="994" customFormat="1" ht="68.25" customHeight="1" thickBot="1">
      <c r="A62" s="1511"/>
      <c r="B62" s="476" t="s">
        <v>729</v>
      </c>
      <c r="C62" s="784">
        <v>42</v>
      </c>
      <c r="D62" s="101" t="s">
        <v>730</v>
      </c>
      <c r="E62" s="102" t="s">
        <v>182</v>
      </c>
      <c r="F62" s="102" t="s">
        <v>139</v>
      </c>
      <c r="G62" s="102" t="s">
        <v>311</v>
      </c>
      <c r="H62" s="103" t="s">
        <v>731</v>
      </c>
      <c r="I62" s="1392" t="s">
        <v>22</v>
      </c>
      <c r="J62" s="1392" t="s">
        <v>22</v>
      </c>
      <c r="K62" s="1392" t="s">
        <v>129</v>
      </c>
      <c r="L62" s="1507"/>
      <c r="M62" s="1392" t="s">
        <v>22</v>
      </c>
      <c r="N62" s="292">
        <v>1</v>
      </c>
      <c r="O62" s="293">
        <v>39993</v>
      </c>
      <c r="P62" s="294">
        <v>41028</v>
      </c>
      <c r="Q62" s="106">
        <v>2012</v>
      </c>
      <c r="R62" s="328">
        <v>566700</v>
      </c>
      <c r="S62" s="896">
        <v>3699183.56</v>
      </c>
      <c r="T62" s="109" t="s">
        <v>142</v>
      </c>
      <c r="U62" s="99">
        <v>1.32497</v>
      </c>
      <c r="V62" s="110">
        <v>4901307.2414932</v>
      </c>
      <c r="W62" s="333">
        <v>1761.2</v>
      </c>
      <c r="X62" s="914">
        <v>8632182313.717823</v>
      </c>
      <c r="Y62" s="112">
        <v>15232.366884979394</v>
      </c>
      <c r="Z62" s="112">
        <v>15232.366884979394</v>
      </c>
      <c r="AA62" s="1402" t="str">
        <f>+IF(Z62="","",IF(Z62&gt;=PARAMETROS!$M$5,"CUMPLE","NO CUMPLE"))</f>
        <v>CUMPLE</v>
      </c>
      <c r="AB62" s="1507"/>
      <c r="AC62" s="113"/>
      <c r="AD62" s="993"/>
    </row>
    <row r="63" spans="1:30" s="186" customFormat="1" ht="56.25" customHeight="1">
      <c r="A63" s="1509" t="s">
        <v>36</v>
      </c>
      <c r="B63" s="68" t="s">
        <v>368</v>
      </c>
      <c r="C63" s="781">
        <v>4</v>
      </c>
      <c r="D63" s="70" t="s">
        <v>369</v>
      </c>
      <c r="E63" s="71" t="s">
        <v>732</v>
      </c>
      <c r="F63" s="71" t="s">
        <v>139</v>
      </c>
      <c r="G63" s="71"/>
      <c r="H63" s="71" t="s">
        <v>373</v>
      </c>
      <c r="I63" s="1394" t="s">
        <v>22</v>
      </c>
      <c r="J63" s="1394" t="s">
        <v>22</v>
      </c>
      <c r="K63" s="1394" t="s">
        <v>129</v>
      </c>
      <c r="L63" s="1394" t="s">
        <v>22</v>
      </c>
      <c r="M63" s="1394" t="s">
        <v>129</v>
      </c>
      <c r="N63" s="1111">
        <v>0.33300000000000002</v>
      </c>
      <c r="O63" s="1037">
        <v>40424</v>
      </c>
      <c r="P63" s="1037">
        <v>40728</v>
      </c>
      <c r="Q63" s="1390">
        <v>2011</v>
      </c>
      <c r="R63" s="787">
        <v>535600</v>
      </c>
      <c r="S63" s="1112">
        <v>1156386.77</v>
      </c>
      <c r="T63" s="1035" t="s">
        <v>142</v>
      </c>
      <c r="U63" s="1113">
        <v>1.45208</v>
      </c>
      <c r="V63" s="889">
        <v>1679166.1009816001</v>
      </c>
      <c r="W63" s="1114">
        <v>1762.59</v>
      </c>
      <c r="X63" s="75">
        <v>2959681377.9291582</v>
      </c>
      <c r="Y63" s="80">
        <v>5525.9174345204601</v>
      </c>
      <c r="Z63" s="80">
        <v>1840.1305056953133</v>
      </c>
      <c r="AA63" s="1394" t="str">
        <f>+IF(Z63="","",IF(Z63&gt;=PARAMETROS!$M$5,"CUMPLE","NO CUMPLE"))</f>
        <v>CUMPLE</v>
      </c>
      <c r="AB63" s="1505">
        <v>900</v>
      </c>
      <c r="AC63" s="71"/>
    </row>
    <row r="64" spans="1:30" s="33" customFormat="1" ht="90" customHeight="1">
      <c r="A64" s="1510"/>
      <c r="B64" s="687" t="s">
        <v>364</v>
      </c>
      <c r="C64" s="782">
        <v>12</v>
      </c>
      <c r="D64" s="21" t="s">
        <v>365</v>
      </c>
      <c r="E64" s="22" t="s">
        <v>147</v>
      </c>
      <c r="F64" s="22" t="s">
        <v>148</v>
      </c>
      <c r="G64" s="22" t="s">
        <v>366</v>
      </c>
      <c r="H64" s="22" t="s">
        <v>367</v>
      </c>
      <c r="I64" s="1388" t="s">
        <v>22</v>
      </c>
      <c r="J64" s="1388" t="s">
        <v>129</v>
      </c>
      <c r="K64" s="1388" t="s">
        <v>22</v>
      </c>
      <c r="L64" s="1388" t="s">
        <v>22</v>
      </c>
      <c r="M64" s="1388" t="s">
        <v>129</v>
      </c>
      <c r="N64" s="360">
        <v>0.51</v>
      </c>
      <c r="O64" s="25">
        <v>41878</v>
      </c>
      <c r="P64" s="1003">
        <v>42414</v>
      </c>
      <c r="Q64" s="26">
        <v>2016</v>
      </c>
      <c r="R64" s="27">
        <v>689554</v>
      </c>
      <c r="S64" s="1016">
        <v>7951355182</v>
      </c>
      <c r="T64" s="29" t="s">
        <v>151</v>
      </c>
      <c r="U64" s="19" t="s">
        <v>140</v>
      </c>
      <c r="V64" s="30" t="s">
        <v>140</v>
      </c>
      <c r="W64" s="1039">
        <v>1</v>
      </c>
      <c r="X64" s="27">
        <v>7951355182</v>
      </c>
      <c r="Y64" s="16">
        <v>11531.156634578292</v>
      </c>
      <c r="Z64" s="16">
        <v>5880.889883634929</v>
      </c>
      <c r="AA64" s="1388" t="str">
        <f>+IF(Z64="","",IF(Z64&gt;=PARAMETROS!$M$5,"CUMPLE","NO CUMPLE"))</f>
        <v>CUMPLE</v>
      </c>
      <c r="AB64" s="1506"/>
      <c r="AC64" s="22"/>
    </row>
    <row r="65" spans="1:29" s="33" customFormat="1" ht="51.75" customHeight="1">
      <c r="A65" s="1510"/>
      <c r="B65" s="19" t="s">
        <v>368</v>
      </c>
      <c r="C65" s="782">
        <v>82</v>
      </c>
      <c r="D65" s="21" t="s">
        <v>369</v>
      </c>
      <c r="E65" s="22" t="s">
        <v>370</v>
      </c>
      <c r="F65" s="22" t="s">
        <v>139</v>
      </c>
      <c r="G65" s="22"/>
      <c r="H65" s="22" t="s">
        <v>372</v>
      </c>
      <c r="I65" s="1388" t="s">
        <v>22</v>
      </c>
      <c r="J65" s="1388" t="s">
        <v>22</v>
      </c>
      <c r="K65" s="1388" t="s">
        <v>129</v>
      </c>
      <c r="L65" s="1388" t="s">
        <v>22</v>
      </c>
      <c r="M65" s="1388" t="s">
        <v>129</v>
      </c>
      <c r="N65" s="24">
        <v>1</v>
      </c>
      <c r="O65" s="25">
        <v>37774</v>
      </c>
      <c r="P65" s="25">
        <v>38597</v>
      </c>
      <c r="Q65" s="26">
        <v>2005</v>
      </c>
      <c r="R65" s="27">
        <v>381500</v>
      </c>
      <c r="S65" s="997">
        <v>1207476.71</v>
      </c>
      <c r="T65" s="29" t="s">
        <v>142</v>
      </c>
      <c r="U65" s="1004">
        <v>1.2487999999999999</v>
      </c>
      <c r="V65" s="30">
        <v>1507896.915448</v>
      </c>
      <c r="W65" s="1041">
        <v>2298.85</v>
      </c>
      <c r="X65" s="27">
        <v>3466428824.0776343</v>
      </c>
      <c r="Y65" s="16">
        <v>9086.3140867041529</v>
      </c>
      <c r="Z65" s="16">
        <v>9086.3140867041529</v>
      </c>
      <c r="AA65" s="1388" t="str">
        <f>+IF(Z65="","",IF(Z65&gt;=PARAMETROS!$M$5,"CUMPLE","NO CUMPLE"))</f>
        <v>CUMPLE</v>
      </c>
      <c r="AB65" s="1506"/>
      <c r="AC65" s="22"/>
    </row>
    <row r="66" spans="1:29" s="179" customFormat="1" ht="51" customHeight="1" thickBot="1">
      <c r="A66" s="1511"/>
      <c r="B66" s="99" t="s">
        <v>368</v>
      </c>
      <c r="C66" s="784">
        <v>8</v>
      </c>
      <c r="D66" s="101" t="s">
        <v>369</v>
      </c>
      <c r="E66" s="102" t="s">
        <v>370</v>
      </c>
      <c r="F66" s="102" t="s">
        <v>139</v>
      </c>
      <c r="G66" s="102"/>
      <c r="H66" s="102" t="s">
        <v>371</v>
      </c>
      <c r="I66" s="1392" t="s">
        <v>22</v>
      </c>
      <c r="J66" s="1392" t="s">
        <v>129</v>
      </c>
      <c r="K66" s="1392" t="s">
        <v>129</v>
      </c>
      <c r="L66" s="1392" t="s">
        <v>22</v>
      </c>
      <c r="M66" s="1392" t="s">
        <v>129</v>
      </c>
      <c r="N66" s="104">
        <v>1</v>
      </c>
      <c r="O66" s="105">
        <v>39329</v>
      </c>
      <c r="P66" s="105">
        <v>40578</v>
      </c>
      <c r="Q66" s="106">
        <v>2011</v>
      </c>
      <c r="R66" s="328">
        <v>535600</v>
      </c>
      <c r="S66" s="1017">
        <v>1551350.29</v>
      </c>
      <c r="T66" s="109" t="s">
        <v>142</v>
      </c>
      <c r="U66" s="1019">
        <v>1.3747400000000001</v>
      </c>
      <c r="V66" s="110">
        <v>2132703.2976746</v>
      </c>
      <c r="W66" s="1040">
        <v>1863.03</v>
      </c>
      <c r="X66" s="328">
        <v>3973290224.6667099</v>
      </c>
      <c r="Y66" s="112">
        <v>7418.3910094598768</v>
      </c>
      <c r="Z66" s="112">
        <v>7418.3910094598768</v>
      </c>
      <c r="AA66" s="1392" t="str">
        <f>+IF(Z66="","",IF(Z66&gt;=PARAMETROS!$M$5,"CUMPLE","NO CUMPLE"))</f>
        <v>CUMPLE</v>
      </c>
      <c r="AB66" s="1507"/>
      <c r="AC66" s="102"/>
    </row>
    <row r="67" spans="1:29" s="180" customFormat="1" ht="57.75" customHeight="1">
      <c r="A67" s="1509" t="s">
        <v>37</v>
      </c>
      <c r="B67" s="788" t="s">
        <v>374</v>
      </c>
      <c r="C67" s="789"/>
      <c r="D67" s="1009" t="s">
        <v>376</v>
      </c>
      <c r="E67" s="790" t="s">
        <v>182</v>
      </c>
      <c r="F67" s="790" t="s">
        <v>139</v>
      </c>
      <c r="G67" s="790" t="s">
        <v>733</v>
      </c>
      <c r="H67" s="790" t="s">
        <v>734</v>
      </c>
      <c r="I67" s="1394" t="s">
        <v>22</v>
      </c>
      <c r="J67" s="1394" t="s">
        <v>22</v>
      </c>
      <c r="K67" s="1394" t="s">
        <v>129</v>
      </c>
      <c r="L67" s="1394" t="s">
        <v>22</v>
      </c>
      <c r="M67" s="1394" t="s">
        <v>129</v>
      </c>
      <c r="N67" s="73">
        <v>0.4</v>
      </c>
      <c r="O67" s="74">
        <v>39279</v>
      </c>
      <c r="P67" s="74">
        <v>40565</v>
      </c>
      <c r="Q67" s="116">
        <v>2011</v>
      </c>
      <c r="R67" s="787">
        <v>535600</v>
      </c>
      <c r="S67" s="996">
        <v>2910432.01</v>
      </c>
      <c r="T67" s="77" t="s">
        <v>142</v>
      </c>
      <c r="U67" s="1020">
        <v>1.3524400000000001</v>
      </c>
      <c r="V67" s="889">
        <v>3936184.6676043998</v>
      </c>
      <c r="W67" s="1041">
        <v>1838.94</v>
      </c>
      <c r="X67" s="75">
        <v>5352109840.4693995</v>
      </c>
      <c r="Y67" s="80">
        <v>9992.7368193976836</v>
      </c>
      <c r="Z67" s="80">
        <v>3997.0947277590735</v>
      </c>
      <c r="AA67" s="1394" t="str">
        <f>+IF(Z67="","",IF(Z67&gt;=PARAMETROS!$M$5,"CUMPLE","NO CUMPLE"))</f>
        <v>CUMPLE</v>
      </c>
      <c r="AB67" s="1505">
        <v>900</v>
      </c>
      <c r="AC67" s="122"/>
    </row>
    <row r="68" spans="1:29" s="58" customFormat="1" ht="57" customHeight="1">
      <c r="A68" s="1510"/>
      <c r="B68" s="50" t="s">
        <v>379</v>
      </c>
      <c r="C68" s="785"/>
      <c r="D68" s="51" t="s">
        <v>380</v>
      </c>
      <c r="E68" s="52" t="s">
        <v>155</v>
      </c>
      <c r="F68" s="52" t="s">
        <v>148</v>
      </c>
      <c r="G68" s="52" t="s">
        <v>735</v>
      </c>
      <c r="H68" s="52" t="s">
        <v>736</v>
      </c>
      <c r="I68" s="1388" t="s">
        <v>22</v>
      </c>
      <c r="J68" s="1388" t="s">
        <v>129</v>
      </c>
      <c r="K68" s="1388" t="s">
        <v>22</v>
      </c>
      <c r="L68" s="1388" t="s">
        <v>22</v>
      </c>
      <c r="M68" s="1388" t="s">
        <v>129</v>
      </c>
      <c r="N68" s="24">
        <v>0.5</v>
      </c>
      <c r="O68" s="25">
        <v>37196</v>
      </c>
      <c r="P68" s="25">
        <v>38092</v>
      </c>
      <c r="Q68" s="26">
        <v>2004</v>
      </c>
      <c r="R68" s="27">
        <v>358000</v>
      </c>
      <c r="S68" s="997">
        <v>1669022155</v>
      </c>
      <c r="T68" s="1021" t="s">
        <v>151</v>
      </c>
      <c r="U68" s="19" t="s">
        <v>140</v>
      </c>
      <c r="V68" s="30" t="s">
        <v>140</v>
      </c>
      <c r="W68" s="1043">
        <v>1</v>
      </c>
      <c r="X68" s="27">
        <v>1669022155</v>
      </c>
      <c r="Y68" s="16">
        <v>4662.0730586592181</v>
      </c>
      <c r="Z68" s="16">
        <v>2331.036529329609</v>
      </c>
      <c r="AA68" s="1388" t="str">
        <f>+IF(Z68="","",IF(Z68&gt;=PARAMETROS!$M$5,"CUMPLE","NO CUMPLE"))</f>
        <v>CUMPLE</v>
      </c>
      <c r="AB68" s="1506"/>
      <c r="AC68" s="52"/>
    </row>
    <row r="69" spans="1:29" s="58" customFormat="1" ht="57" customHeight="1">
      <c r="A69" s="1510"/>
      <c r="B69" s="50" t="s">
        <v>379</v>
      </c>
      <c r="C69" s="785"/>
      <c r="D69" s="51" t="s">
        <v>380</v>
      </c>
      <c r="E69" s="52" t="s">
        <v>155</v>
      </c>
      <c r="F69" s="52" t="s">
        <v>148</v>
      </c>
      <c r="G69" s="52" t="s">
        <v>381</v>
      </c>
      <c r="H69" s="52" t="s">
        <v>382</v>
      </c>
      <c r="I69" s="1388" t="s">
        <v>22</v>
      </c>
      <c r="J69" s="1388" t="s">
        <v>129</v>
      </c>
      <c r="K69" s="1388" t="s">
        <v>129</v>
      </c>
      <c r="L69" s="1388" t="s">
        <v>22</v>
      </c>
      <c r="M69" s="1388" t="s">
        <v>129</v>
      </c>
      <c r="N69" s="24">
        <v>0.25</v>
      </c>
      <c r="O69" s="25">
        <v>38343</v>
      </c>
      <c r="P69" s="25">
        <v>40482</v>
      </c>
      <c r="Q69" s="26">
        <v>2010</v>
      </c>
      <c r="R69" s="27">
        <v>515000</v>
      </c>
      <c r="S69" s="997">
        <v>5279626507</v>
      </c>
      <c r="T69" s="1021" t="s">
        <v>151</v>
      </c>
      <c r="U69" s="19" t="s">
        <v>140</v>
      </c>
      <c r="V69" s="30" t="s">
        <v>140</v>
      </c>
      <c r="W69" s="1044">
        <v>1</v>
      </c>
      <c r="X69" s="27">
        <v>5279626507</v>
      </c>
      <c r="Y69" s="16">
        <v>10251.701955339806</v>
      </c>
      <c r="Z69" s="16">
        <v>2562.9254888349515</v>
      </c>
      <c r="AA69" s="1388" t="str">
        <f>+IF(Z69="","",IF(Z69&gt;=PARAMETROS!$M$5,"CUMPLE","NO CUMPLE"))</f>
        <v>CUMPLE</v>
      </c>
      <c r="AB69" s="1506"/>
      <c r="AC69" s="52"/>
    </row>
    <row r="70" spans="1:29" s="1015" customFormat="1" ht="65.25" customHeight="1" thickBot="1">
      <c r="A70" s="1511"/>
      <c r="B70" s="797" t="s">
        <v>383</v>
      </c>
      <c r="C70" s="798"/>
      <c r="D70" s="799" t="s">
        <v>384</v>
      </c>
      <c r="E70" s="800" t="s">
        <v>155</v>
      </c>
      <c r="F70" s="800" t="s">
        <v>148</v>
      </c>
      <c r="G70" s="800" t="s">
        <v>385</v>
      </c>
      <c r="H70" s="800" t="s">
        <v>386</v>
      </c>
      <c r="I70" s="1388" t="s">
        <v>22</v>
      </c>
      <c r="J70" s="1388" t="s">
        <v>129</v>
      </c>
      <c r="K70" s="1388" t="s">
        <v>129</v>
      </c>
      <c r="L70" s="1388" t="s">
        <v>22</v>
      </c>
      <c r="M70" s="1388" t="s">
        <v>129</v>
      </c>
      <c r="N70" s="24">
        <v>0.95</v>
      </c>
      <c r="O70" s="25">
        <v>39479</v>
      </c>
      <c r="P70" s="25">
        <v>40056</v>
      </c>
      <c r="Q70" s="26">
        <v>2009</v>
      </c>
      <c r="R70" s="75">
        <v>496900</v>
      </c>
      <c r="S70" s="998">
        <v>988262400</v>
      </c>
      <c r="T70" s="109" t="s">
        <v>151</v>
      </c>
      <c r="U70" s="331" t="s">
        <v>140</v>
      </c>
      <c r="V70" s="332" t="s">
        <v>140</v>
      </c>
      <c r="W70" s="1040">
        <v>1</v>
      </c>
      <c r="X70" s="107">
        <v>988262400</v>
      </c>
      <c r="Y70" s="112">
        <v>1988.8557053733145</v>
      </c>
      <c r="Z70" s="16">
        <v>1889.4129201046487</v>
      </c>
      <c r="AA70" s="1392" t="str">
        <f>+IF(Z70="","",IF(Z70&gt;=PARAMETROS!$M$5,"CUMPLE","NO CUMPLE"))</f>
        <v>CUMPLE</v>
      </c>
      <c r="AB70" s="1507"/>
      <c r="AC70" s="800"/>
    </row>
    <row r="71" spans="1:29" s="180" customFormat="1" ht="67.5" customHeight="1">
      <c r="A71" s="1509" t="s">
        <v>38</v>
      </c>
      <c r="B71" s="788" t="s">
        <v>387</v>
      </c>
      <c r="C71" s="789">
        <v>4</v>
      </c>
      <c r="D71" s="1009" t="s">
        <v>388</v>
      </c>
      <c r="E71" s="790" t="s">
        <v>147</v>
      </c>
      <c r="F71" s="790" t="s">
        <v>148</v>
      </c>
      <c r="G71" s="790" t="s">
        <v>389</v>
      </c>
      <c r="H71" s="790" t="s">
        <v>390</v>
      </c>
      <c r="I71" s="1393" t="s">
        <v>22</v>
      </c>
      <c r="J71" s="1393" t="s">
        <v>129</v>
      </c>
      <c r="K71" s="1393" t="s">
        <v>22</v>
      </c>
      <c r="L71" s="1393" t="s">
        <v>22</v>
      </c>
      <c r="M71" s="1393" t="s">
        <v>129</v>
      </c>
      <c r="N71" s="86">
        <v>0.5</v>
      </c>
      <c r="O71" s="87">
        <v>41059</v>
      </c>
      <c r="P71" s="999">
        <v>40907</v>
      </c>
      <c r="Q71" s="88">
        <v>2011</v>
      </c>
      <c r="R71" s="298">
        <v>535600</v>
      </c>
      <c r="S71" s="996">
        <v>8536213800</v>
      </c>
      <c r="T71" s="77" t="s">
        <v>151</v>
      </c>
      <c r="U71" s="68" t="s">
        <v>140</v>
      </c>
      <c r="V71" s="78" t="s">
        <v>140</v>
      </c>
      <c r="W71" s="1041">
        <v>1</v>
      </c>
      <c r="X71" s="75">
        <v>8536213800</v>
      </c>
      <c r="Y71" s="80">
        <v>15937.665795369679</v>
      </c>
      <c r="Z71" s="94">
        <v>7968.8328976848397</v>
      </c>
      <c r="AA71" s="1394" t="str">
        <f>+IF(Z71="","",IF(Z71&gt;=PARAMETROS!$M$5,"CUMPLE","NO CUMPLE"))</f>
        <v>CUMPLE</v>
      </c>
      <c r="AB71" s="1537">
        <v>900</v>
      </c>
      <c r="AC71" s="96"/>
    </row>
    <row r="72" spans="1:29" s="58" customFormat="1" ht="54" customHeight="1">
      <c r="A72" s="1510"/>
      <c r="B72" s="50" t="s">
        <v>387</v>
      </c>
      <c r="C72" s="785">
        <v>9</v>
      </c>
      <c r="D72" s="51" t="s">
        <v>388</v>
      </c>
      <c r="E72" s="52" t="s">
        <v>391</v>
      </c>
      <c r="F72" s="52" t="s">
        <v>174</v>
      </c>
      <c r="G72" s="52"/>
      <c r="H72" s="52" t="s">
        <v>392</v>
      </c>
      <c r="I72" s="1388" t="s">
        <v>22</v>
      </c>
      <c r="J72" s="1388" t="s">
        <v>22</v>
      </c>
      <c r="K72" s="1388" t="s">
        <v>129</v>
      </c>
      <c r="L72" s="1388" t="s">
        <v>22</v>
      </c>
      <c r="M72" s="1388" t="s">
        <v>129</v>
      </c>
      <c r="N72" s="34">
        <v>0.5</v>
      </c>
      <c r="O72" s="25">
        <v>38636</v>
      </c>
      <c r="P72" s="25">
        <v>39483</v>
      </c>
      <c r="Q72" s="26">
        <v>2008</v>
      </c>
      <c r="R72" s="27">
        <v>461500</v>
      </c>
      <c r="S72" s="995">
        <v>775371434.58700001</v>
      </c>
      <c r="T72" s="27" t="s">
        <v>177</v>
      </c>
      <c r="U72" s="1004">
        <v>2.14E-3</v>
      </c>
      <c r="V72" s="30">
        <v>1659294.87001618</v>
      </c>
      <c r="W72" s="1041">
        <v>1917.26</v>
      </c>
      <c r="X72" s="27">
        <v>1486588636676.2717</v>
      </c>
      <c r="Y72" s="16">
        <v>3221210.4803386168</v>
      </c>
      <c r="Z72" s="16">
        <v>1610605.2401693084</v>
      </c>
      <c r="AA72" s="1388" t="str">
        <f>+IF(Z72="","",IF(Z72&gt;=PARAMETROS!$M$5,"CUMPLE","NO CUMPLE"))</f>
        <v>CUMPLE</v>
      </c>
      <c r="AB72" s="1538"/>
      <c r="AC72" s="97"/>
    </row>
    <row r="73" spans="1:29" s="58" customFormat="1" ht="89.25" customHeight="1">
      <c r="A73" s="1510"/>
      <c r="B73" s="50" t="s">
        <v>394</v>
      </c>
      <c r="C73" s="785">
        <v>15</v>
      </c>
      <c r="D73" s="51" t="s">
        <v>395</v>
      </c>
      <c r="E73" s="52" t="s">
        <v>147</v>
      </c>
      <c r="F73" s="52" t="s">
        <v>148</v>
      </c>
      <c r="G73" s="52" t="s">
        <v>396</v>
      </c>
      <c r="H73" s="52" t="s">
        <v>397</v>
      </c>
      <c r="I73" s="1388" t="s">
        <v>22</v>
      </c>
      <c r="J73" s="1388" t="s">
        <v>129</v>
      </c>
      <c r="K73" s="1388" t="s">
        <v>22</v>
      </c>
      <c r="L73" s="1388" t="s">
        <v>22</v>
      </c>
      <c r="M73" s="1388" t="s">
        <v>129</v>
      </c>
      <c r="N73" s="24">
        <v>1</v>
      </c>
      <c r="O73" s="25">
        <v>41185</v>
      </c>
      <c r="P73" s="25">
        <v>42090</v>
      </c>
      <c r="Q73" s="26">
        <v>2015</v>
      </c>
      <c r="R73" s="27">
        <v>644350</v>
      </c>
      <c r="S73" s="997">
        <v>3783362852</v>
      </c>
      <c r="T73" s="29" t="s">
        <v>151</v>
      </c>
      <c r="U73" s="19" t="s">
        <v>140</v>
      </c>
      <c r="V73" s="30" t="s">
        <v>140</v>
      </c>
      <c r="W73" s="1041">
        <v>1</v>
      </c>
      <c r="X73" s="27">
        <v>3783362852</v>
      </c>
      <c r="Y73" s="16">
        <v>5871.5959525102817</v>
      </c>
      <c r="Z73" s="16">
        <v>5871.5959525102817</v>
      </c>
      <c r="AA73" s="1388" t="str">
        <f>+IF(Z73="","",IF(Z73&gt;=PARAMETROS!$M$5,"CUMPLE","NO CUMPLE"))</f>
        <v>CUMPLE</v>
      </c>
      <c r="AB73" s="1538"/>
      <c r="AC73" s="97"/>
    </row>
    <row r="74" spans="1:29" s="1015" customFormat="1" ht="44.25" customHeight="1" thickBot="1">
      <c r="A74" s="1511"/>
      <c r="B74" s="797" t="s">
        <v>394</v>
      </c>
      <c r="C74" s="798">
        <v>20</v>
      </c>
      <c r="D74" s="799" t="s">
        <v>395</v>
      </c>
      <c r="E74" s="800" t="s">
        <v>398</v>
      </c>
      <c r="F74" s="800" t="s">
        <v>174</v>
      </c>
      <c r="G74" s="800"/>
      <c r="H74" s="800" t="s">
        <v>399</v>
      </c>
      <c r="I74" s="1388" t="s">
        <v>22</v>
      </c>
      <c r="J74" s="1388" t="s">
        <v>129</v>
      </c>
      <c r="K74" s="1388" t="s">
        <v>129</v>
      </c>
      <c r="L74" s="1388" t="s">
        <v>22</v>
      </c>
      <c r="M74" s="1388" t="s">
        <v>129</v>
      </c>
      <c r="N74" s="24">
        <v>1</v>
      </c>
      <c r="O74" s="25">
        <v>35711</v>
      </c>
      <c r="P74" s="25">
        <v>37444</v>
      </c>
      <c r="Q74" s="26">
        <v>2002</v>
      </c>
      <c r="R74" s="75">
        <v>309000</v>
      </c>
      <c r="S74" s="997">
        <v>1736939.39</v>
      </c>
      <c r="T74" s="29" t="s">
        <v>400</v>
      </c>
      <c r="U74" s="19">
        <v>1</v>
      </c>
      <c r="V74" s="30">
        <v>1736939.39</v>
      </c>
      <c r="W74" s="1045">
        <v>2434.3200000000002</v>
      </c>
      <c r="X74" s="27">
        <v>4228266295.8648</v>
      </c>
      <c r="Y74" s="16">
        <v>13683.709695355339</v>
      </c>
      <c r="Z74" s="16">
        <v>13683.709695355339</v>
      </c>
      <c r="AA74" s="1392" t="str">
        <f>+IF(Z74="","",IF(Z74&gt;=PARAMETROS!$M$5,"CUMPLE","NO CUMPLE"))</f>
        <v>CUMPLE</v>
      </c>
      <c r="AB74" s="1539"/>
      <c r="AC74" s="113"/>
    </row>
    <row r="75" spans="1:29" s="180" customFormat="1" ht="54.75" customHeight="1">
      <c r="A75" s="1509" t="s">
        <v>39</v>
      </c>
      <c r="B75" s="788" t="s">
        <v>407</v>
      </c>
      <c r="C75" s="789">
        <v>3</v>
      </c>
      <c r="D75" s="1009" t="s">
        <v>408</v>
      </c>
      <c r="E75" s="790" t="s">
        <v>292</v>
      </c>
      <c r="F75" s="790" t="s">
        <v>148</v>
      </c>
      <c r="G75" s="790"/>
      <c r="H75" s="790" t="s">
        <v>409</v>
      </c>
      <c r="I75" s="1393" t="s">
        <v>22</v>
      </c>
      <c r="J75" s="1393" t="s">
        <v>129</v>
      </c>
      <c r="K75" s="1393" t="s">
        <v>22</v>
      </c>
      <c r="L75" s="1393" t="s">
        <v>22</v>
      </c>
      <c r="M75" s="1393" t="s">
        <v>129</v>
      </c>
      <c r="N75" s="86">
        <v>0.55000000000000004</v>
      </c>
      <c r="O75" s="87">
        <v>34338</v>
      </c>
      <c r="P75" s="87">
        <v>36305</v>
      </c>
      <c r="Q75" s="88">
        <v>1999</v>
      </c>
      <c r="R75" s="298">
        <v>236460</v>
      </c>
      <c r="S75" s="1000">
        <v>4491569047</v>
      </c>
      <c r="T75" s="91" t="s">
        <v>151</v>
      </c>
      <c r="U75" s="81" t="s">
        <v>140</v>
      </c>
      <c r="V75" s="92" t="s">
        <v>140</v>
      </c>
      <c r="W75" s="1041">
        <v>1</v>
      </c>
      <c r="X75" s="89">
        <v>4491569047</v>
      </c>
      <c r="Y75" s="94">
        <v>18995.04798697454</v>
      </c>
      <c r="Z75" s="94">
        <v>10447.276392835998</v>
      </c>
      <c r="AA75" s="1394" t="str">
        <f>+IF(Z75="","",IF(Z75&gt;=PARAMETROS!$M$5,"CUMPLE","NO CUMPLE"))</f>
        <v>CUMPLE</v>
      </c>
      <c r="AB75" s="1505">
        <v>900</v>
      </c>
      <c r="AC75" s="794"/>
    </row>
    <row r="76" spans="1:29" s="58" customFormat="1" ht="54.75" customHeight="1">
      <c r="A76" s="1510"/>
      <c r="B76" s="50" t="s">
        <v>401</v>
      </c>
      <c r="C76" s="785">
        <v>21</v>
      </c>
      <c r="D76" s="51" t="s">
        <v>402</v>
      </c>
      <c r="E76" s="52" t="s">
        <v>214</v>
      </c>
      <c r="F76" s="52" t="s">
        <v>139</v>
      </c>
      <c r="G76" s="52"/>
      <c r="H76" s="52" t="s">
        <v>406</v>
      </c>
      <c r="I76" s="1388" t="s">
        <v>22</v>
      </c>
      <c r="J76" s="1388" t="s">
        <v>129</v>
      </c>
      <c r="K76" s="1388" t="s">
        <v>129</v>
      </c>
      <c r="L76" s="1388" t="s">
        <v>22</v>
      </c>
      <c r="M76" s="1388" t="s">
        <v>129</v>
      </c>
      <c r="N76" s="24">
        <v>1</v>
      </c>
      <c r="O76" s="25">
        <v>38296</v>
      </c>
      <c r="P76" s="25">
        <v>39360</v>
      </c>
      <c r="Q76" s="26">
        <v>2007</v>
      </c>
      <c r="R76" s="27">
        <v>433700</v>
      </c>
      <c r="S76" s="997">
        <v>1248500.53</v>
      </c>
      <c r="T76" s="29" t="s">
        <v>142</v>
      </c>
      <c r="U76" s="19">
        <v>1.4105700000000001</v>
      </c>
      <c r="V76" s="30">
        <v>1761097.3926021003</v>
      </c>
      <c r="W76" s="1041">
        <v>2018.45</v>
      </c>
      <c r="X76" s="27">
        <v>2520035894.7785001</v>
      </c>
      <c r="Y76" s="16">
        <v>5810.5508295561449</v>
      </c>
      <c r="Z76" s="16">
        <v>5810.5508295561449</v>
      </c>
      <c r="AA76" s="1388" t="str">
        <f>+IF(Z76="","",IF(Z76&gt;=PARAMETROS!$M$5,"CUMPLE","NO CUMPLE"))</f>
        <v>CUMPLE</v>
      </c>
      <c r="AB76" s="1506"/>
      <c r="AC76" s="97"/>
    </row>
    <row r="77" spans="1:29" s="58" customFormat="1" ht="53.25" customHeight="1">
      <c r="A77" s="1510"/>
      <c r="B77" s="50" t="s">
        <v>401</v>
      </c>
      <c r="C77" s="785">
        <v>5</v>
      </c>
      <c r="D77" s="51" t="s">
        <v>402</v>
      </c>
      <c r="E77" s="52" t="s">
        <v>182</v>
      </c>
      <c r="F77" s="52" t="s">
        <v>139</v>
      </c>
      <c r="G77" s="52"/>
      <c r="H77" s="52" t="s">
        <v>737</v>
      </c>
      <c r="I77" s="1388" t="s">
        <v>22</v>
      </c>
      <c r="J77" s="1388" t="s">
        <v>22</v>
      </c>
      <c r="K77" s="1388" t="s">
        <v>129</v>
      </c>
      <c r="L77" s="1388" t="s">
        <v>22</v>
      </c>
      <c r="M77" s="1388" t="s">
        <v>129</v>
      </c>
      <c r="N77" s="24">
        <v>1</v>
      </c>
      <c r="O77" s="25">
        <v>40235</v>
      </c>
      <c r="P77" s="25">
        <v>41356</v>
      </c>
      <c r="Q77" s="26">
        <v>2013</v>
      </c>
      <c r="R77" s="27">
        <v>589500</v>
      </c>
      <c r="S77" s="997">
        <v>2379653.04</v>
      </c>
      <c r="T77" s="29" t="s">
        <v>142</v>
      </c>
      <c r="U77" s="19">
        <v>1.2964599999999999</v>
      </c>
      <c r="V77" s="30">
        <v>3085124.9802383999</v>
      </c>
      <c r="W77" s="1041">
        <v>1825.79</v>
      </c>
      <c r="X77" s="27">
        <v>5632790337.6694679</v>
      </c>
      <c r="Y77" s="16">
        <v>9555.1998942654245</v>
      </c>
      <c r="Z77" s="16">
        <v>9555.1998942654245</v>
      </c>
      <c r="AA77" s="1388" t="str">
        <f>+IF(Z77="","",IF(Z77&gt;=PARAMETROS!$M$5,"CUMPLE","NO CUMPLE"))</f>
        <v>CUMPLE</v>
      </c>
      <c r="AB77" s="1506"/>
      <c r="AC77" s="97"/>
    </row>
    <row r="78" spans="1:29" s="1015" customFormat="1" ht="59.25" customHeight="1">
      <c r="A78" s="1511"/>
      <c r="B78" s="797" t="s">
        <v>410</v>
      </c>
      <c r="C78" s="798">
        <v>32</v>
      </c>
      <c r="D78" s="799" t="s">
        <v>411</v>
      </c>
      <c r="E78" s="800" t="s">
        <v>412</v>
      </c>
      <c r="F78" s="800" t="s">
        <v>413</v>
      </c>
      <c r="G78" s="800"/>
      <c r="H78" s="800" t="s">
        <v>414</v>
      </c>
      <c r="I78" s="1388" t="s">
        <v>22</v>
      </c>
      <c r="J78" s="1388" t="s">
        <v>129</v>
      </c>
      <c r="K78" s="1388" t="s">
        <v>129</v>
      </c>
      <c r="L78" s="1388" t="s">
        <v>22</v>
      </c>
      <c r="M78" s="1388" t="s">
        <v>129</v>
      </c>
      <c r="N78" s="24">
        <v>1</v>
      </c>
      <c r="O78" s="25">
        <v>39353</v>
      </c>
      <c r="P78" s="25">
        <v>41273</v>
      </c>
      <c r="Q78" s="26">
        <v>2012</v>
      </c>
      <c r="R78" s="75">
        <v>566700</v>
      </c>
      <c r="S78" s="997">
        <v>25074000000</v>
      </c>
      <c r="T78" s="29" t="s">
        <v>415</v>
      </c>
      <c r="U78" s="19">
        <v>2.3000000000000001E-4</v>
      </c>
      <c r="V78" s="30">
        <v>5767020</v>
      </c>
      <c r="W78" s="1045">
        <v>1768.23</v>
      </c>
      <c r="X78" s="27">
        <v>10197417774.6</v>
      </c>
      <c r="Y78" s="16">
        <v>17994.384638433035</v>
      </c>
      <c r="Z78" s="16">
        <v>17994.384638433035</v>
      </c>
      <c r="AA78" s="1392" t="str">
        <f>+IF(Z78="","",IF(Z78&gt;=PARAMETROS!$M$5,"CUMPLE","NO CUMPLE"))</f>
        <v>CUMPLE</v>
      </c>
      <c r="AB78" s="1507"/>
      <c r="AC78" s="113"/>
    </row>
    <row r="79" spans="1:29" s="180" customFormat="1" ht="42" customHeight="1">
      <c r="A79" s="1509" t="s">
        <v>40</v>
      </c>
      <c r="B79" s="788" t="s">
        <v>416</v>
      </c>
      <c r="C79" s="789">
        <v>4</v>
      </c>
      <c r="D79" s="1009" t="s">
        <v>417</v>
      </c>
      <c r="E79" s="790" t="s">
        <v>421</v>
      </c>
      <c r="F79" s="790" t="s">
        <v>419</v>
      </c>
      <c r="G79" s="790"/>
      <c r="H79" s="790" t="s">
        <v>422</v>
      </c>
      <c r="I79" s="1393" t="s">
        <v>22</v>
      </c>
      <c r="J79" s="1393" t="s">
        <v>22</v>
      </c>
      <c r="K79" s="1393" t="s">
        <v>129</v>
      </c>
      <c r="L79" s="1393" t="s">
        <v>22</v>
      </c>
      <c r="M79" s="1393" t="s">
        <v>129</v>
      </c>
      <c r="N79" s="307">
        <v>0.23</v>
      </c>
      <c r="O79" s="87">
        <v>33527</v>
      </c>
      <c r="P79" s="87">
        <v>36734</v>
      </c>
      <c r="Q79" s="88">
        <v>2000</v>
      </c>
      <c r="R79" s="298">
        <v>260100</v>
      </c>
      <c r="S79" s="1000" t="s">
        <v>738</v>
      </c>
      <c r="T79" s="91" t="s">
        <v>142</v>
      </c>
      <c r="U79" s="1004">
        <v>0.94181999999999999</v>
      </c>
      <c r="V79" s="30">
        <v>21754428</v>
      </c>
      <c r="W79" s="79">
        <v>2165.37</v>
      </c>
      <c r="X79" s="27" t="s">
        <v>424</v>
      </c>
      <c r="Y79" s="16">
        <v>181108.75</v>
      </c>
      <c r="Z79" s="1354">
        <v>41655.01</v>
      </c>
      <c r="AA79" s="1394" t="str">
        <f>+IF(Z79="","",IF(Z79&gt;=PARAMETROS!$M$5,"CUMPLE","NO CUMPLE"))</f>
        <v>CUMPLE</v>
      </c>
      <c r="AB79" s="1537">
        <v>900</v>
      </c>
      <c r="AC79" s="1124"/>
    </row>
    <row r="80" spans="1:29" s="58" customFormat="1" ht="75" customHeight="1">
      <c r="A80" s="1510"/>
      <c r="B80" s="50" t="s">
        <v>425</v>
      </c>
      <c r="C80" s="785">
        <v>35</v>
      </c>
      <c r="D80" s="51" t="s">
        <v>426</v>
      </c>
      <c r="E80" s="52" t="s">
        <v>427</v>
      </c>
      <c r="F80" s="52" t="s">
        <v>148</v>
      </c>
      <c r="G80" s="52" t="s">
        <v>428</v>
      </c>
      <c r="H80" s="52" t="s">
        <v>429</v>
      </c>
      <c r="I80" s="1388" t="s">
        <v>22</v>
      </c>
      <c r="J80" s="1388" t="s">
        <v>129</v>
      </c>
      <c r="K80" s="1388" t="s">
        <v>22</v>
      </c>
      <c r="L80" s="1388" t="s">
        <v>22</v>
      </c>
      <c r="M80" s="1388" t="s">
        <v>129</v>
      </c>
      <c r="N80" s="341">
        <v>0.245</v>
      </c>
      <c r="O80" s="25">
        <v>40186</v>
      </c>
      <c r="P80" s="25">
        <v>42052</v>
      </c>
      <c r="Q80" s="26">
        <v>2015</v>
      </c>
      <c r="R80" s="27">
        <v>644350</v>
      </c>
      <c r="S80" s="997">
        <v>10922423850.5</v>
      </c>
      <c r="T80" s="29" t="s">
        <v>151</v>
      </c>
      <c r="U80" s="19" t="s">
        <v>140</v>
      </c>
      <c r="V80" s="30"/>
      <c r="W80" s="1041">
        <v>1</v>
      </c>
      <c r="X80" s="27">
        <v>10922423850.5</v>
      </c>
      <c r="Y80" s="16">
        <v>16951.072942500195</v>
      </c>
      <c r="Z80" s="16">
        <v>4153.0128709125474</v>
      </c>
      <c r="AA80" s="1388" t="str">
        <f>+IF(Z80="","",IF(Z80&gt;=PARAMETROS!$M$5,"CUMPLE","NO CUMPLE"))</f>
        <v>CUMPLE</v>
      </c>
      <c r="AB80" s="1538"/>
      <c r="AC80" s="97"/>
    </row>
    <row r="81" spans="1:30" s="58" customFormat="1" ht="63.75" customHeight="1">
      <c r="A81" s="1510"/>
      <c r="B81" s="50" t="s">
        <v>425</v>
      </c>
      <c r="C81" s="785">
        <v>37</v>
      </c>
      <c r="D81" s="51" t="s">
        <v>426</v>
      </c>
      <c r="E81" s="52" t="s">
        <v>433</v>
      </c>
      <c r="F81" s="52" t="s">
        <v>148</v>
      </c>
      <c r="G81" s="52" t="s">
        <v>434</v>
      </c>
      <c r="H81" s="52" t="s">
        <v>435</v>
      </c>
      <c r="I81" s="1388" t="s">
        <v>22</v>
      </c>
      <c r="J81" s="1388" t="s">
        <v>129</v>
      </c>
      <c r="K81" s="1388" t="s">
        <v>22</v>
      </c>
      <c r="L81" s="1388" t="s">
        <v>22</v>
      </c>
      <c r="M81" s="1388" t="s">
        <v>129</v>
      </c>
      <c r="N81" s="1018">
        <v>0.5</v>
      </c>
      <c r="O81" s="40">
        <v>37288</v>
      </c>
      <c r="P81" s="41">
        <v>41779</v>
      </c>
      <c r="Q81" s="26">
        <v>2014</v>
      </c>
      <c r="R81" s="27">
        <v>616000</v>
      </c>
      <c r="S81" s="997">
        <v>9405420640</v>
      </c>
      <c r="T81" s="29" t="s">
        <v>151</v>
      </c>
      <c r="U81" s="19" t="s">
        <v>140</v>
      </c>
      <c r="V81" s="30"/>
      <c r="W81" s="1041">
        <v>1</v>
      </c>
      <c r="X81" s="27">
        <v>9405420640</v>
      </c>
      <c r="Y81" s="16">
        <v>15268.54</v>
      </c>
      <c r="Z81" s="16">
        <v>7634.27</v>
      </c>
      <c r="AA81" s="1388" t="str">
        <f>+IF(Z81="","",IF(Z81&gt;=PARAMETROS!$M$5,"CUMPLE","NO CUMPLE"))</f>
        <v>CUMPLE</v>
      </c>
      <c r="AB81" s="1538"/>
      <c r="AC81" s="121"/>
    </row>
    <row r="82" spans="1:30" s="58" customFormat="1" ht="70.5" customHeight="1" thickBot="1">
      <c r="A82" s="1511"/>
      <c r="B82" s="797" t="s">
        <v>425</v>
      </c>
      <c r="C82" s="798">
        <v>55</v>
      </c>
      <c r="D82" s="799" t="s">
        <v>426</v>
      </c>
      <c r="E82" s="800" t="s">
        <v>430</v>
      </c>
      <c r="F82" s="800" t="s">
        <v>148</v>
      </c>
      <c r="G82" s="800" t="s">
        <v>431</v>
      </c>
      <c r="H82" s="800" t="s">
        <v>432</v>
      </c>
      <c r="I82" s="1392" t="s">
        <v>22</v>
      </c>
      <c r="J82" s="1392" t="s">
        <v>129</v>
      </c>
      <c r="K82" s="1392" t="s">
        <v>22</v>
      </c>
      <c r="L82" s="1392" t="s">
        <v>22</v>
      </c>
      <c r="M82" s="1392" t="s">
        <v>129</v>
      </c>
      <c r="N82" s="192">
        <v>0.25</v>
      </c>
      <c r="O82" s="105">
        <v>38718</v>
      </c>
      <c r="P82" s="105">
        <v>42399</v>
      </c>
      <c r="Q82" s="106">
        <v>2016</v>
      </c>
      <c r="R82" s="107">
        <v>689554</v>
      </c>
      <c r="S82" s="998">
        <v>9471953326</v>
      </c>
      <c r="T82" s="109" t="s">
        <v>151</v>
      </c>
      <c r="U82" s="109" t="s">
        <v>140</v>
      </c>
      <c r="V82" s="109"/>
      <c r="W82" s="1045">
        <v>1</v>
      </c>
      <c r="X82" s="107">
        <v>9471953326</v>
      </c>
      <c r="Y82" s="112">
        <v>13736.347444870162</v>
      </c>
      <c r="Z82" s="112">
        <v>3434.0868612175404</v>
      </c>
      <c r="AA82" s="1388" t="str">
        <f>+IF(Z82="","",IF(Z82&gt;=PARAMETROS!$M$5,"CUMPLE","NO CUMPLE"))</f>
        <v>CUMPLE</v>
      </c>
      <c r="AB82" s="1539"/>
      <c r="AC82" s="97"/>
    </row>
    <row r="83" spans="1:30" s="33" customFormat="1" ht="57">
      <c r="A83" s="1509" t="s">
        <v>41</v>
      </c>
      <c r="B83" s="68" t="s">
        <v>441</v>
      </c>
      <c r="C83" s="339">
        <v>3</v>
      </c>
      <c r="D83" s="70" t="str">
        <f>+IFERROR(INDEX(DESEMPATE!$D$3:$D$83,MATCH('EXP ESPECIFICA '!B83,DESEMPATE!$C$3:$C$83,0)),"")</f>
        <v>WSP SERVICIOS S.A.S.</v>
      </c>
      <c r="E83" s="71" t="s">
        <v>442</v>
      </c>
      <c r="F83" s="340" t="s">
        <v>148</v>
      </c>
      <c r="G83" s="340" t="s">
        <v>443</v>
      </c>
      <c r="H83" s="72" t="s">
        <v>444</v>
      </c>
      <c r="I83" s="1393" t="s">
        <v>22</v>
      </c>
      <c r="J83" s="1393" t="s">
        <v>129</v>
      </c>
      <c r="K83" s="1393" t="s">
        <v>22</v>
      </c>
      <c r="L83" s="1393" t="s">
        <v>22</v>
      </c>
      <c r="M83" s="1393" t="s">
        <v>129</v>
      </c>
      <c r="N83" s="34">
        <v>1</v>
      </c>
      <c r="O83" s="25">
        <v>38279</v>
      </c>
      <c r="P83" s="25">
        <v>39813</v>
      </c>
      <c r="Q83" s="26">
        <v>2008</v>
      </c>
      <c r="R83" s="27">
        <v>461500</v>
      </c>
      <c r="S83" s="894">
        <v>3975262277</v>
      </c>
      <c r="T83" s="27" t="s">
        <v>151</v>
      </c>
      <c r="U83" s="19" t="s">
        <v>326</v>
      </c>
      <c r="V83" s="30" t="s">
        <v>326</v>
      </c>
      <c r="W83" s="31">
        <v>1</v>
      </c>
      <c r="X83" s="27">
        <v>3975262277</v>
      </c>
      <c r="Y83" s="16">
        <v>8613.7860823401952</v>
      </c>
      <c r="Z83" s="16">
        <v>8613.7860823401952</v>
      </c>
      <c r="AA83" s="1400" t="str">
        <f>+IF(Z83="","",IF(Z83&gt;=[2]PARAMETROS!$M$5,"CUMPLE","NO CUMPLE"))</f>
        <v>CUMPLE</v>
      </c>
      <c r="AB83" s="1505">
        <v>900</v>
      </c>
      <c r="AC83" s="96"/>
      <c r="AD83" s="67"/>
    </row>
    <row r="84" spans="1:30" s="33" customFormat="1" ht="72.75" customHeight="1">
      <c r="A84" s="1510"/>
      <c r="B84" s="19" t="s">
        <v>441</v>
      </c>
      <c r="C84" s="20">
        <v>7</v>
      </c>
      <c r="D84" s="21" t="str">
        <f>+IFERROR(INDEX(DESEMPATE!$D$3:$D$83,MATCH('EXP ESPECIFICA '!B84,DESEMPATE!$C$3:$C$83,0)),"")</f>
        <v>WSP SERVICIOS S.A.S.</v>
      </c>
      <c r="E84" s="22" t="s">
        <v>445</v>
      </c>
      <c r="F84" s="32" t="s">
        <v>148</v>
      </c>
      <c r="G84" s="32" t="s">
        <v>446</v>
      </c>
      <c r="H84" s="22" t="s">
        <v>447</v>
      </c>
      <c r="I84" s="1388" t="s">
        <v>22</v>
      </c>
      <c r="J84" s="1388" t="s">
        <v>129</v>
      </c>
      <c r="K84" s="1388" t="s">
        <v>129</v>
      </c>
      <c r="L84" s="1388" t="s">
        <v>22</v>
      </c>
      <c r="M84" s="1388" t="s">
        <v>129</v>
      </c>
      <c r="N84" s="24">
        <v>1</v>
      </c>
      <c r="O84" s="25">
        <v>40498</v>
      </c>
      <c r="P84" s="25">
        <v>40973</v>
      </c>
      <c r="Q84" s="26">
        <v>2012</v>
      </c>
      <c r="R84" s="27">
        <v>566700</v>
      </c>
      <c r="S84" s="895">
        <v>2159474666</v>
      </c>
      <c r="T84" s="29" t="s">
        <v>151</v>
      </c>
      <c r="U84" s="19" t="s">
        <v>326</v>
      </c>
      <c r="V84" s="30" t="s">
        <v>326</v>
      </c>
      <c r="W84" s="31">
        <v>1</v>
      </c>
      <c r="X84" s="27">
        <v>2159474666</v>
      </c>
      <c r="Y84" s="16">
        <v>3810.6134921475209</v>
      </c>
      <c r="Z84" s="16">
        <v>3810.6134921475209</v>
      </c>
      <c r="AA84" s="1388" t="str">
        <f>+IF(Z84="","",IF(Z84&gt;=[2]PARAMETROS!$M$5,"CUMPLE","NO CUMPLE"))</f>
        <v>CUMPLE</v>
      </c>
      <c r="AB84" s="1506"/>
      <c r="AC84" s="97"/>
      <c r="AD84" s="67"/>
    </row>
    <row r="85" spans="1:30" s="33" customFormat="1" ht="71.25">
      <c r="A85" s="1510"/>
      <c r="B85" s="19" t="s">
        <v>441</v>
      </c>
      <c r="C85" s="20">
        <v>24</v>
      </c>
      <c r="D85" s="21" t="str">
        <f>+IFERROR(INDEX(DESEMPATE!$D$3:$D$83,MATCH('EXP ESPECIFICA '!B85,DESEMPATE!$C$3:$C$83,0)),"")</f>
        <v>WSP SERVICIOS S.A.S.</v>
      </c>
      <c r="E85" s="22" t="s">
        <v>448</v>
      </c>
      <c r="F85" s="32" t="s">
        <v>148</v>
      </c>
      <c r="G85" s="32" t="s">
        <v>739</v>
      </c>
      <c r="H85" s="23" t="s">
        <v>740</v>
      </c>
      <c r="I85" s="1388" t="s">
        <v>22</v>
      </c>
      <c r="J85" s="1388" t="s">
        <v>129</v>
      </c>
      <c r="K85" s="1388" t="s">
        <v>129</v>
      </c>
      <c r="L85" s="1388" t="s">
        <v>22</v>
      </c>
      <c r="M85" s="1388" t="s">
        <v>129</v>
      </c>
      <c r="N85" s="24">
        <v>0.5</v>
      </c>
      <c r="O85" s="25">
        <v>40137</v>
      </c>
      <c r="P85" s="25">
        <v>41232</v>
      </c>
      <c r="Q85" s="26">
        <v>2012</v>
      </c>
      <c r="R85" s="27">
        <v>566700</v>
      </c>
      <c r="S85" s="895">
        <v>4761160509</v>
      </c>
      <c r="T85" s="29" t="s">
        <v>151</v>
      </c>
      <c r="U85" s="19" t="s">
        <v>326</v>
      </c>
      <c r="V85" s="30" t="s">
        <v>326</v>
      </c>
      <c r="W85" s="31">
        <v>1</v>
      </c>
      <c r="X85" s="27">
        <v>4761160509</v>
      </c>
      <c r="Y85" s="16">
        <v>8401.5537480148232</v>
      </c>
      <c r="Z85" s="16">
        <v>4200.7768740074116</v>
      </c>
      <c r="AA85" s="1388" t="str">
        <f>+IF(Z85="","",IF(Z85&gt;=[2]PARAMETROS!$M$5,"CUMPLE","NO CUMPLE"))</f>
        <v>CUMPLE</v>
      </c>
      <c r="AB85" s="1506"/>
      <c r="AC85" s="98"/>
      <c r="AD85" s="67"/>
    </row>
    <row r="86" spans="1:30" s="33" customFormat="1" ht="65.099999999999994" customHeight="1" thickBot="1">
      <c r="A86" s="1511"/>
      <c r="B86" s="99" t="s">
        <v>436</v>
      </c>
      <c r="C86" s="123">
        <v>56</v>
      </c>
      <c r="D86" s="101" t="str">
        <f>+IFERROR(INDEX(DESEMPATE!$D$3:$D$83,MATCH('EXP ESPECIFICA '!B86,DESEMPATE!$C$3:$C$83,0)),"")</f>
        <v>SMA S.A.</v>
      </c>
      <c r="E86" s="102" t="s">
        <v>741</v>
      </c>
      <c r="F86" s="225" t="s">
        <v>148</v>
      </c>
      <c r="G86" s="225" t="s">
        <v>742</v>
      </c>
      <c r="H86" s="103" t="s">
        <v>743</v>
      </c>
      <c r="I86" s="1392" t="s">
        <v>22</v>
      </c>
      <c r="J86" s="1392" t="s">
        <v>22</v>
      </c>
      <c r="K86" s="1392" t="s">
        <v>129</v>
      </c>
      <c r="L86" s="1392" t="s">
        <v>22</v>
      </c>
      <c r="M86" s="1392" t="s">
        <v>129</v>
      </c>
      <c r="N86" s="104">
        <v>0.5</v>
      </c>
      <c r="O86" s="105">
        <v>34499</v>
      </c>
      <c r="P86" s="105">
        <v>36677</v>
      </c>
      <c r="Q86" s="106">
        <v>2000</v>
      </c>
      <c r="R86" s="328">
        <v>260100</v>
      </c>
      <c r="S86" s="896">
        <v>14332807992</v>
      </c>
      <c r="T86" s="109" t="s">
        <v>151</v>
      </c>
      <c r="U86" s="99" t="s">
        <v>326</v>
      </c>
      <c r="V86" s="110" t="s">
        <v>326</v>
      </c>
      <c r="W86" s="111">
        <v>1</v>
      </c>
      <c r="X86" s="107">
        <v>14332807992</v>
      </c>
      <c r="Y86" s="112">
        <v>55104.990357554787</v>
      </c>
      <c r="Z86" s="112">
        <v>27552.495178777393</v>
      </c>
      <c r="AA86" s="1402" t="str">
        <f>+IF(Z86="","",IF(Z86&gt;=[2]PARAMETROS!$M$5,"CUMPLE","NO CUMPLE"))</f>
        <v>CUMPLE</v>
      </c>
      <c r="AB86" s="1507"/>
      <c r="AC86" s="124"/>
      <c r="AD86" s="67"/>
    </row>
    <row r="87" spans="1:30" s="33" customFormat="1" ht="31.5">
      <c r="A87" s="1509" t="s">
        <v>42</v>
      </c>
      <c r="B87" s="68" t="s">
        <v>451</v>
      </c>
      <c r="C87" s="781">
        <v>3</v>
      </c>
      <c r="D87" s="83" t="str">
        <f>+IFERROR(INDEX(DESEMPATE!$D$3:$D$83,MATCH('EXP ESPECIFICA '!B87,DESEMPATE!$C$3:$C$83,0)),"")</f>
        <v>GC&amp;Q INGENIEROS CONSULTORES S.A.S.</v>
      </c>
      <c r="E87" s="71" t="s">
        <v>452</v>
      </c>
      <c r="F87" s="340" t="s">
        <v>174</v>
      </c>
      <c r="G87" s="340" t="s">
        <v>311</v>
      </c>
      <c r="H87" s="72" t="s">
        <v>453</v>
      </c>
      <c r="I87" s="1394" t="s">
        <v>22</v>
      </c>
      <c r="J87" s="1394" t="s">
        <v>22</v>
      </c>
      <c r="K87" s="1394" t="s">
        <v>129</v>
      </c>
      <c r="L87" s="1394" t="s">
        <v>22</v>
      </c>
      <c r="M87" s="1394" t="s">
        <v>129</v>
      </c>
      <c r="N87" s="73">
        <v>1</v>
      </c>
      <c r="O87" s="74">
        <v>37585</v>
      </c>
      <c r="P87" s="74">
        <v>38680</v>
      </c>
      <c r="Q87" s="116">
        <v>2005</v>
      </c>
      <c r="R87" s="298">
        <v>381500</v>
      </c>
      <c r="S87" s="897">
        <v>1612407</v>
      </c>
      <c r="T87" s="77" t="s">
        <v>454</v>
      </c>
      <c r="U87" s="68" t="s">
        <v>326</v>
      </c>
      <c r="V87" s="78" t="s">
        <v>326</v>
      </c>
      <c r="W87" s="79">
        <v>2277.92</v>
      </c>
      <c r="X87" s="75">
        <v>3672934153.4400001</v>
      </c>
      <c r="Y87" s="80">
        <v>9627.6124598689385</v>
      </c>
      <c r="Z87" s="80">
        <v>9627.6124598689385</v>
      </c>
      <c r="AA87" s="1401" t="str">
        <f>+IF(Z87="","",IF(Z87&gt;=[2]PARAMETROS!$M$5,"CUMPLE","NO CUMPLE"))</f>
        <v>CUMPLE</v>
      </c>
      <c r="AB87" s="1505">
        <v>900</v>
      </c>
      <c r="AC87" s="122"/>
      <c r="AD87" s="67"/>
    </row>
    <row r="88" spans="1:30" s="33" customFormat="1" ht="90">
      <c r="A88" s="1510"/>
      <c r="B88" s="19" t="s">
        <v>455</v>
      </c>
      <c r="C88" s="782">
        <v>8</v>
      </c>
      <c r="D88" s="21" t="str">
        <f>+IFERROR(INDEX(DESEMPATE!$D$3:$D$83,MATCH('EXP ESPECIFICA '!B88,DESEMPATE!$C$3:$C$83,0)),"")</f>
        <v>SERVICIOS DE INGENIERÍA Y CONSTRUCCIÓN LIMITADA "SERVINC LTDA"</v>
      </c>
      <c r="E88" s="922" t="s">
        <v>456</v>
      </c>
      <c r="F88" s="32" t="s">
        <v>148</v>
      </c>
      <c r="G88" s="32" t="s">
        <v>457</v>
      </c>
      <c r="H88" s="23" t="s">
        <v>458</v>
      </c>
      <c r="I88" s="1388" t="s">
        <v>22</v>
      </c>
      <c r="J88" s="1388" t="s">
        <v>129</v>
      </c>
      <c r="K88" s="1388" t="s">
        <v>22</v>
      </c>
      <c r="L88" s="1388" t="s">
        <v>22</v>
      </c>
      <c r="M88" s="1388" t="s">
        <v>129</v>
      </c>
      <c r="N88" s="73">
        <v>0.5</v>
      </c>
      <c r="O88" s="74">
        <v>40331</v>
      </c>
      <c r="P88" s="74">
        <v>41215</v>
      </c>
      <c r="Q88" s="116">
        <v>2012</v>
      </c>
      <c r="R88" s="27">
        <v>566700</v>
      </c>
      <c r="S88" s="895">
        <v>4264498383</v>
      </c>
      <c r="T88" s="29" t="s">
        <v>151</v>
      </c>
      <c r="U88" s="19" t="s">
        <v>326</v>
      </c>
      <c r="V88" s="30" t="s">
        <v>326</v>
      </c>
      <c r="W88" s="31">
        <v>1</v>
      </c>
      <c r="X88" s="27">
        <v>4264498383</v>
      </c>
      <c r="Y88" s="16">
        <v>7525.1427263102169</v>
      </c>
      <c r="Z88" s="16">
        <v>3762.5713631551084</v>
      </c>
      <c r="AA88" s="1388" t="str">
        <f>+IF(Z88="","",IF(Z88&gt;=[2]PARAMETROS!$M$5,"CUMPLE","NO CUMPLE"))</f>
        <v>CUMPLE</v>
      </c>
      <c r="AB88" s="1506"/>
      <c r="AC88" s="97"/>
      <c r="AD88" s="67"/>
    </row>
    <row r="89" spans="1:30" s="33" customFormat="1" ht="213.75">
      <c r="A89" s="1510"/>
      <c r="B89" s="19" t="s">
        <v>455</v>
      </c>
      <c r="C89" s="782">
        <v>52</v>
      </c>
      <c r="D89" s="21" t="str">
        <f>+IFERROR(INDEX(DESEMPATE!$D$3:$D$83,MATCH('EXP ESPECIFICA '!B89,DESEMPATE!$C$3:$C$83,0)),"")</f>
        <v>SERVICIOS DE INGENIERÍA Y CONSTRUCCIÓN LIMITADA "SERVINC LTDA"</v>
      </c>
      <c r="E89" s="922" t="s">
        <v>456</v>
      </c>
      <c r="F89" s="32" t="s">
        <v>148</v>
      </c>
      <c r="G89" s="32" t="s">
        <v>459</v>
      </c>
      <c r="H89" s="228" t="s">
        <v>460</v>
      </c>
      <c r="I89" s="1388" t="s">
        <v>22</v>
      </c>
      <c r="J89" s="1388" t="s">
        <v>129</v>
      </c>
      <c r="K89" s="1388" t="s">
        <v>129</v>
      </c>
      <c r="L89" s="1388" t="s">
        <v>22</v>
      </c>
      <c r="M89" s="1388" t="s">
        <v>129</v>
      </c>
      <c r="N89" s="73">
        <v>1</v>
      </c>
      <c r="O89" s="74">
        <v>39021</v>
      </c>
      <c r="P89" s="74">
        <v>40480</v>
      </c>
      <c r="Q89" s="116">
        <v>2010</v>
      </c>
      <c r="R89" s="27">
        <v>515000</v>
      </c>
      <c r="S89" s="895">
        <v>5403026800</v>
      </c>
      <c r="T89" s="29" t="s">
        <v>151</v>
      </c>
      <c r="U89" s="19" t="s">
        <v>326</v>
      </c>
      <c r="V89" s="30" t="s">
        <v>326</v>
      </c>
      <c r="W89" s="31">
        <v>1</v>
      </c>
      <c r="X89" s="27">
        <v>5403026800</v>
      </c>
      <c r="Y89" s="16">
        <v>10491.314174757281</v>
      </c>
      <c r="Z89" s="16">
        <v>10491.314174757281</v>
      </c>
      <c r="AA89" s="1388" t="str">
        <f>+IF(Z89="","",IF(Z89&gt;=[2]PARAMETROS!$M$5,"CUMPLE","NO CUMPLE"))</f>
        <v>CUMPLE</v>
      </c>
      <c r="AB89" s="1506"/>
      <c r="AC89" s="97"/>
      <c r="AD89" s="67"/>
    </row>
    <row r="90" spans="1:30" s="33" customFormat="1" ht="78.75">
      <c r="A90" s="1511"/>
      <c r="B90" s="19" t="s">
        <v>455</v>
      </c>
      <c r="C90" s="782">
        <v>86</v>
      </c>
      <c r="D90" s="101" t="str">
        <f>+IFERROR(INDEX(DESEMPATE!$D$3:$D$83,MATCH('EXP ESPECIFICA '!B90,DESEMPATE!$C$3:$C$83,0)),"")</f>
        <v>SERVICIOS DE INGENIERÍA Y CONSTRUCCIÓN LIMITADA "SERVINC LTDA"</v>
      </c>
      <c r="E90" s="922" t="s">
        <v>461</v>
      </c>
      <c r="F90" s="32" t="s">
        <v>148</v>
      </c>
      <c r="G90" s="32" t="s">
        <v>462</v>
      </c>
      <c r="H90" s="23" t="s">
        <v>463</v>
      </c>
      <c r="I90" s="1388" t="s">
        <v>22</v>
      </c>
      <c r="J90" s="1388" t="s">
        <v>129</v>
      </c>
      <c r="K90" s="1388" t="s">
        <v>22</v>
      </c>
      <c r="L90" s="1388" t="s">
        <v>22</v>
      </c>
      <c r="M90" s="1388" t="s">
        <v>129</v>
      </c>
      <c r="N90" s="73">
        <v>0.51</v>
      </c>
      <c r="O90" s="74">
        <v>41950</v>
      </c>
      <c r="P90" s="74">
        <v>42439</v>
      </c>
      <c r="Q90" s="116">
        <v>2016</v>
      </c>
      <c r="R90" s="787">
        <v>689554</v>
      </c>
      <c r="S90" s="895">
        <v>4285656805</v>
      </c>
      <c r="T90" s="29" t="s">
        <v>151</v>
      </c>
      <c r="U90" s="19" t="s">
        <v>326</v>
      </c>
      <c r="V90" s="30" t="s">
        <v>326</v>
      </c>
      <c r="W90" s="31">
        <v>1</v>
      </c>
      <c r="X90" s="27">
        <v>4285656805</v>
      </c>
      <c r="Y90" s="16">
        <v>6215.1141244920627</v>
      </c>
      <c r="Z90" s="16">
        <v>3169.7082034909522</v>
      </c>
      <c r="AA90" s="1401" t="str">
        <f>+IF(Z90="","",IF(Z90&gt;=[2]PARAMETROS!$M$5,"CUMPLE","NO CUMPLE"))</f>
        <v>CUMPLE</v>
      </c>
      <c r="AB90" s="1507"/>
      <c r="AC90" s="97"/>
      <c r="AD90" s="67"/>
    </row>
    <row r="91" spans="1:30" s="33" customFormat="1" ht="57">
      <c r="A91" s="1509" t="s">
        <v>43</v>
      </c>
      <c r="B91" s="81" t="s">
        <v>464</v>
      </c>
      <c r="C91" s="783">
        <v>4</v>
      </c>
      <c r="D91" s="83" t="str">
        <f>+IFERROR(INDEX(DESEMPATE!$D$3:$D$83,MATCH('EXP ESPECIFICA '!B91,DESEMPATE!$C$3:$C$83,0)),"")</f>
        <v>CONCOL INGENIERÍA S.A.S.</v>
      </c>
      <c r="E91" s="84" t="s">
        <v>442</v>
      </c>
      <c r="F91" s="95" t="s">
        <v>148</v>
      </c>
      <c r="G91" s="95" t="s">
        <v>744</v>
      </c>
      <c r="H91" s="85" t="s">
        <v>745</v>
      </c>
      <c r="I91" s="1393" t="s">
        <v>22</v>
      </c>
      <c r="J91" s="1393" t="s">
        <v>22</v>
      </c>
      <c r="K91" s="1393" t="s">
        <v>22</v>
      </c>
      <c r="L91" s="1393" t="s">
        <v>22</v>
      </c>
      <c r="M91" s="1393" t="s">
        <v>129</v>
      </c>
      <c r="N91" s="86">
        <v>0.5</v>
      </c>
      <c r="O91" s="87">
        <v>38916</v>
      </c>
      <c r="P91" s="87">
        <v>40267</v>
      </c>
      <c r="Q91" s="88">
        <v>2010</v>
      </c>
      <c r="R91" s="298">
        <v>515000</v>
      </c>
      <c r="S91" s="893">
        <v>7564702533</v>
      </c>
      <c r="T91" s="91" t="s">
        <v>151</v>
      </c>
      <c r="U91" s="81" t="s">
        <v>326</v>
      </c>
      <c r="V91" s="92" t="s">
        <v>326</v>
      </c>
      <c r="W91" s="93">
        <v>1</v>
      </c>
      <c r="X91" s="89">
        <v>7564702533</v>
      </c>
      <c r="Y91" s="94">
        <v>14688.742782524272</v>
      </c>
      <c r="Z91" s="94">
        <v>7344.3713912621361</v>
      </c>
      <c r="AA91" s="1400" t="str">
        <f>+IF(Z91="","",IF(Z91&gt;=[2]PARAMETROS!$M$5,"CUMPLE","NO CUMPLE"))</f>
        <v>CUMPLE</v>
      </c>
      <c r="AB91" s="1505">
        <v>900</v>
      </c>
      <c r="AC91" s="96"/>
      <c r="AD91" s="67"/>
    </row>
    <row r="92" spans="1:30" s="33" customFormat="1" ht="57">
      <c r="A92" s="1510"/>
      <c r="B92" s="19" t="s">
        <v>464</v>
      </c>
      <c r="C92" s="782">
        <v>11</v>
      </c>
      <c r="D92" s="21" t="str">
        <f>+IFERROR(INDEX(DESEMPATE!$D$3:$D$83,MATCH('EXP ESPECIFICA '!B92,DESEMPATE!$C$3:$C$83,0)),"")</f>
        <v>CONCOL INGENIERÍA S.A.S.</v>
      </c>
      <c r="E92" s="22" t="s">
        <v>461</v>
      </c>
      <c r="F92" s="32" t="s">
        <v>148</v>
      </c>
      <c r="G92" s="32" t="s">
        <v>746</v>
      </c>
      <c r="H92" s="22" t="s">
        <v>747</v>
      </c>
      <c r="I92" s="1388" t="s">
        <v>22</v>
      </c>
      <c r="J92" s="1388" t="s">
        <v>129</v>
      </c>
      <c r="K92" s="1388" t="s">
        <v>22</v>
      </c>
      <c r="L92" s="1388" t="s">
        <v>22</v>
      </c>
      <c r="M92" s="1388" t="s">
        <v>129</v>
      </c>
      <c r="N92" s="34">
        <v>0.7</v>
      </c>
      <c r="O92" s="25">
        <v>39933</v>
      </c>
      <c r="P92" s="25">
        <v>41029</v>
      </c>
      <c r="Q92" s="26">
        <v>2012</v>
      </c>
      <c r="R92" s="27">
        <v>566700</v>
      </c>
      <c r="S92" s="894">
        <v>9410306932</v>
      </c>
      <c r="T92" s="27" t="s">
        <v>151</v>
      </c>
      <c r="U92" s="19" t="s">
        <v>326</v>
      </c>
      <c r="V92" s="30" t="s">
        <v>326</v>
      </c>
      <c r="W92" s="31">
        <v>1</v>
      </c>
      <c r="X92" s="27">
        <v>9410306932</v>
      </c>
      <c r="Y92" s="16">
        <v>16605.447206634904</v>
      </c>
      <c r="Z92" s="16">
        <v>11623.813044644432</v>
      </c>
      <c r="AA92" s="1388" t="str">
        <f>+IF(Z92="","",IF(Z92&gt;=[2]PARAMETROS!$M$5,"CUMPLE","NO CUMPLE"))</f>
        <v>CUMPLE</v>
      </c>
      <c r="AB92" s="1506"/>
      <c r="AC92" s="97"/>
      <c r="AD92" s="67"/>
    </row>
    <row r="93" spans="1:30" s="33" customFormat="1" ht="57">
      <c r="A93" s="1510"/>
      <c r="B93" s="19" t="s">
        <v>464</v>
      </c>
      <c r="C93" s="782">
        <v>16</v>
      </c>
      <c r="D93" s="21" t="str">
        <f>+IFERROR(INDEX(DESEMPATE!$D$3:$D$83,MATCH('EXP ESPECIFICA '!B93,DESEMPATE!$C$3:$C$83,0)),"")</f>
        <v>CONCOL INGENIERÍA S.A.S.</v>
      </c>
      <c r="E93" s="22" t="s">
        <v>442</v>
      </c>
      <c r="F93" s="32" t="s">
        <v>148</v>
      </c>
      <c r="G93" s="32" t="s">
        <v>748</v>
      </c>
      <c r="H93" s="23" t="s">
        <v>749</v>
      </c>
      <c r="I93" s="1388" t="s">
        <v>22</v>
      </c>
      <c r="J93" s="1388" t="s">
        <v>129</v>
      </c>
      <c r="K93" s="1388" t="s">
        <v>22</v>
      </c>
      <c r="L93" s="1388" t="s">
        <v>22</v>
      </c>
      <c r="M93" s="1388" t="s">
        <v>129</v>
      </c>
      <c r="N93" s="24">
        <v>0.5</v>
      </c>
      <c r="O93" s="25">
        <v>35457</v>
      </c>
      <c r="P93" s="25">
        <v>37126</v>
      </c>
      <c r="Q93" s="26">
        <v>2001</v>
      </c>
      <c r="R93" s="27">
        <v>286000</v>
      </c>
      <c r="S93" s="895">
        <v>5240267062</v>
      </c>
      <c r="T93" s="29" t="s">
        <v>151</v>
      </c>
      <c r="U93" s="19" t="s">
        <v>326</v>
      </c>
      <c r="V93" s="30" t="s">
        <v>326</v>
      </c>
      <c r="W93" s="31">
        <v>1</v>
      </c>
      <c r="X93" s="27">
        <v>5240267062</v>
      </c>
      <c r="Y93" s="16">
        <v>18322.612104895106</v>
      </c>
      <c r="Z93" s="16">
        <v>9161.3060524475532</v>
      </c>
      <c r="AA93" s="1388" t="str">
        <f>+IF(Z93="","",IF(Z93&gt;=[2]PARAMETROS!$M$5,"CUMPLE","NO CUMPLE"))</f>
        <v>CUMPLE</v>
      </c>
      <c r="AB93" s="1506"/>
      <c r="AC93" s="97"/>
      <c r="AD93" s="67"/>
    </row>
    <row r="94" spans="1:30" s="33" customFormat="1" ht="57">
      <c r="A94" s="1553"/>
      <c r="B94" s="151" t="s">
        <v>464</v>
      </c>
      <c r="C94" s="786">
        <v>20</v>
      </c>
      <c r="D94" s="101" t="str">
        <f>+IFERROR(INDEX(DESEMPATE!$D$3:$D$83,MATCH('EXP ESPECIFICA '!B94,DESEMPATE!$C$3:$C$83,0)),"")</f>
        <v>CONCOL INGENIERÍA S.A.S.</v>
      </c>
      <c r="E94" s="154" t="s">
        <v>461</v>
      </c>
      <c r="F94" s="430" t="s">
        <v>148</v>
      </c>
      <c r="G94" s="430" t="s">
        <v>750</v>
      </c>
      <c r="H94" s="155" t="s">
        <v>751</v>
      </c>
      <c r="I94" s="1419" t="s">
        <v>22</v>
      </c>
      <c r="J94" s="1419" t="s">
        <v>129</v>
      </c>
      <c r="K94" s="1419" t="s">
        <v>22</v>
      </c>
      <c r="L94" s="1419" t="s">
        <v>22</v>
      </c>
      <c r="M94" s="1419" t="s">
        <v>129</v>
      </c>
      <c r="N94" s="156">
        <v>0.7</v>
      </c>
      <c r="O94" s="157">
        <v>39822</v>
      </c>
      <c r="P94" s="157">
        <v>40916</v>
      </c>
      <c r="Q94" s="158">
        <v>2012</v>
      </c>
      <c r="R94" s="787">
        <v>566700</v>
      </c>
      <c r="S94" s="925">
        <v>4788790194</v>
      </c>
      <c r="T94" s="161" t="s">
        <v>151</v>
      </c>
      <c r="U94" s="151" t="s">
        <v>326</v>
      </c>
      <c r="V94" s="162" t="s">
        <v>326</v>
      </c>
      <c r="W94" s="163">
        <v>1</v>
      </c>
      <c r="X94" s="159">
        <v>4788790194</v>
      </c>
      <c r="Y94" s="164">
        <v>8450.3091476971949</v>
      </c>
      <c r="Z94" s="164">
        <v>5915.2164033880363</v>
      </c>
      <c r="AA94" s="1401" t="str">
        <f>+IF(Z94="","",IF(Z94&gt;=[2]PARAMETROS!$M$5,"CUMPLE","NO CUMPLE"))</f>
        <v>CUMPLE</v>
      </c>
      <c r="AB94" s="1506"/>
      <c r="AC94" s="195"/>
      <c r="AD94" s="67"/>
    </row>
    <row r="95" spans="1:30" s="33" customFormat="1" ht="42.75">
      <c r="A95" s="1509" t="s">
        <v>44</v>
      </c>
      <c r="B95" s="81" t="s">
        <v>473</v>
      </c>
      <c r="C95" s="783">
        <v>4</v>
      </c>
      <c r="D95" s="83" t="str">
        <f>+IFERROR(INDEX(DESEMPATE!$D$3:$D$83,MATCH('EXP ESPECIFICA '!B95,DESEMPATE!$C$3:$C$83,0)),"")</f>
        <v>ARDANUY COLOMBIA S.A.S.</v>
      </c>
      <c r="E95" s="84" t="s">
        <v>474</v>
      </c>
      <c r="F95" s="95" t="s">
        <v>139</v>
      </c>
      <c r="G95" s="95" t="s">
        <v>311</v>
      </c>
      <c r="H95" s="85" t="s">
        <v>475</v>
      </c>
      <c r="I95" s="1393" t="s">
        <v>22</v>
      </c>
      <c r="J95" s="1393" t="s">
        <v>129</v>
      </c>
      <c r="K95" s="1393" t="s">
        <v>129</v>
      </c>
      <c r="L95" s="1393" t="s">
        <v>22</v>
      </c>
      <c r="M95" s="1393" t="s">
        <v>129</v>
      </c>
      <c r="N95" s="926">
        <v>0.5</v>
      </c>
      <c r="O95" s="87">
        <v>37834</v>
      </c>
      <c r="P95" s="87">
        <v>39447</v>
      </c>
      <c r="Q95" s="88">
        <v>2007</v>
      </c>
      <c r="R95" s="298">
        <v>433700</v>
      </c>
      <c r="S95" s="893">
        <v>2365518.39</v>
      </c>
      <c r="T95" s="91" t="s">
        <v>142</v>
      </c>
      <c r="U95" s="81">
        <v>1.4718500000000001</v>
      </c>
      <c r="V95" s="297">
        <v>3481688.2423215006</v>
      </c>
      <c r="W95" s="93">
        <v>2014.76</v>
      </c>
      <c r="X95" s="298">
        <v>7014766203.0996666</v>
      </c>
      <c r="Y95" s="94">
        <v>16174.236115055723</v>
      </c>
      <c r="Z95" s="94">
        <v>8087.1180575278613</v>
      </c>
      <c r="AA95" s="1400" t="str">
        <f>+IF(Z95="","",IF(Z95&gt;=[2]PARAMETROS!$M$5,"CUMPLE","NO CUMPLE"))</f>
        <v>CUMPLE</v>
      </c>
      <c r="AB95" s="1505">
        <v>900</v>
      </c>
      <c r="AC95" s="96"/>
      <c r="AD95" s="67"/>
    </row>
    <row r="96" spans="1:30" s="33" customFormat="1" ht="42.75">
      <c r="A96" s="1510"/>
      <c r="B96" s="19" t="s">
        <v>473</v>
      </c>
      <c r="C96" s="782">
        <v>8</v>
      </c>
      <c r="D96" s="21" t="str">
        <f>+IFERROR(INDEX(DESEMPATE!$D$3:$D$83,MATCH('EXP ESPECIFICA '!B96,DESEMPATE!$C$3:$C$83,0)),"")</f>
        <v>ARDANUY COLOMBIA S.A.S.</v>
      </c>
      <c r="E96" s="22" t="s">
        <v>182</v>
      </c>
      <c r="F96" s="32" t="s">
        <v>139</v>
      </c>
      <c r="G96" s="32" t="s">
        <v>311</v>
      </c>
      <c r="H96" s="23" t="s">
        <v>476</v>
      </c>
      <c r="I96" s="1388" t="s">
        <v>22</v>
      </c>
      <c r="J96" s="1388" t="s">
        <v>22</v>
      </c>
      <c r="K96" s="1388" t="s">
        <v>129</v>
      </c>
      <c r="L96" s="1388" t="s">
        <v>22</v>
      </c>
      <c r="M96" s="1388" t="s">
        <v>129</v>
      </c>
      <c r="N96" s="924">
        <v>0.4</v>
      </c>
      <c r="O96" s="25">
        <v>40086</v>
      </c>
      <c r="P96" s="25">
        <v>41274</v>
      </c>
      <c r="Q96" s="26">
        <v>2012</v>
      </c>
      <c r="R96" s="27">
        <v>566700</v>
      </c>
      <c r="S96" s="895">
        <v>3547533.87</v>
      </c>
      <c r="T96" s="29" t="s">
        <v>142</v>
      </c>
      <c r="U96" s="19">
        <v>1.32148</v>
      </c>
      <c r="V96" s="30">
        <v>4687995.0585276</v>
      </c>
      <c r="W96" s="31">
        <v>1768.23</v>
      </c>
      <c r="X96" s="27">
        <v>8289453502.3402586</v>
      </c>
      <c r="Y96" s="16">
        <v>14627.586910782175</v>
      </c>
      <c r="Z96" s="16">
        <v>5851.0347643128698</v>
      </c>
      <c r="AA96" s="1388" t="str">
        <f>+IF(Z96="","",IF(Z96&gt;=[2]PARAMETROS!$M$5,"CUMPLE","NO CUMPLE"))</f>
        <v>CUMPLE</v>
      </c>
      <c r="AB96" s="1506"/>
      <c r="AC96" s="97"/>
      <c r="AD96" s="67"/>
    </row>
    <row r="97" spans="1:30" s="33" customFormat="1" ht="57">
      <c r="A97" s="1510"/>
      <c r="B97" s="19" t="s">
        <v>473</v>
      </c>
      <c r="C97" s="782">
        <v>13</v>
      </c>
      <c r="D97" s="21" t="str">
        <f>+IFERROR(INDEX(DESEMPATE!$D$3:$D$83,MATCH('EXP ESPECIFICA '!B97,DESEMPATE!$C$3:$C$83,0)),"")</f>
        <v>ARDANUY COLOMBIA S.A.S.</v>
      </c>
      <c r="E97" s="22" t="s">
        <v>752</v>
      </c>
      <c r="F97" s="32" t="s">
        <v>148</v>
      </c>
      <c r="G97" s="32" t="s">
        <v>753</v>
      </c>
      <c r="H97" s="23" t="s">
        <v>754</v>
      </c>
      <c r="I97" s="1388" t="s">
        <v>22</v>
      </c>
      <c r="J97" s="1388" t="s">
        <v>22</v>
      </c>
      <c r="K97" s="1388" t="s">
        <v>22</v>
      </c>
      <c r="L97" s="1388" t="s">
        <v>22</v>
      </c>
      <c r="M97" s="1388" t="s">
        <v>129</v>
      </c>
      <c r="N97" s="24">
        <v>0.3</v>
      </c>
      <c r="O97" s="25">
        <v>41114</v>
      </c>
      <c r="P97" s="25">
        <v>42400</v>
      </c>
      <c r="Q97" s="26">
        <v>2016</v>
      </c>
      <c r="R97" s="27">
        <v>689554</v>
      </c>
      <c r="S97" s="28">
        <v>11162869010</v>
      </c>
      <c r="T97" s="29" t="s">
        <v>151</v>
      </c>
      <c r="U97" s="19" t="s">
        <v>140</v>
      </c>
      <c r="V97" s="30" t="s">
        <v>140</v>
      </c>
      <c r="W97" s="31">
        <v>1</v>
      </c>
      <c r="X97" s="27">
        <v>11162869010</v>
      </c>
      <c r="Y97" s="16">
        <v>16188.534922573141</v>
      </c>
      <c r="Z97" s="16">
        <v>4856.5604767719424</v>
      </c>
      <c r="AA97" s="1388" t="str">
        <f>+IF(Z97="","",IF(Z97&gt;=[2]PARAMETROS!$M$5,"CUMPLE","NO CUMPLE"))</f>
        <v>CUMPLE</v>
      </c>
      <c r="AB97" s="1506"/>
      <c r="AC97" s="97"/>
      <c r="AD97" s="67"/>
    </row>
    <row r="98" spans="1:30" s="33" customFormat="1" ht="42.75">
      <c r="A98" s="1511"/>
      <c r="B98" s="99" t="s">
        <v>473</v>
      </c>
      <c r="C98" s="784">
        <v>15</v>
      </c>
      <c r="D98" s="101" t="str">
        <f>+IFERROR(INDEX(DESEMPATE!$D$3:$D$83,MATCH('EXP ESPECIFICA '!B98,DESEMPATE!$C$3:$C$83,0)),"")</f>
        <v>ARDANUY COLOMBIA S.A.S.</v>
      </c>
      <c r="E98" s="102" t="s">
        <v>755</v>
      </c>
      <c r="F98" s="225" t="s">
        <v>139</v>
      </c>
      <c r="G98" s="225" t="s">
        <v>311</v>
      </c>
      <c r="H98" s="103" t="s">
        <v>756</v>
      </c>
      <c r="I98" s="1392" t="s">
        <v>22</v>
      </c>
      <c r="J98" s="1392" t="s">
        <v>22</v>
      </c>
      <c r="K98" s="1392" t="s">
        <v>129</v>
      </c>
      <c r="L98" s="1392" t="s">
        <v>22</v>
      </c>
      <c r="M98" s="1392" t="s">
        <v>129</v>
      </c>
      <c r="N98" s="104">
        <v>1</v>
      </c>
      <c r="O98" s="105">
        <v>39022</v>
      </c>
      <c r="P98" s="105">
        <v>39933</v>
      </c>
      <c r="Q98" s="106">
        <v>2009</v>
      </c>
      <c r="R98" s="328">
        <v>496900</v>
      </c>
      <c r="S98" s="896">
        <v>679975.3</v>
      </c>
      <c r="T98" s="109" t="s">
        <v>142</v>
      </c>
      <c r="U98" s="99">
        <v>1.3213900000000001</v>
      </c>
      <c r="V98" s="110">
        <v>898512.56166700006</v>
      </c>
      <c r="W98" s="111">
        <v>2289.73</v>
      </c>
      <c r="X98" s="107">
        <v>2057351167.8257802</v>
      </c>
      <c r="Y98" s="112">
        <v>4140.3726460571143</v>
      </c>
      <c r="Z98" s="112">
        <v>4140.3726460571143</v>
      </c>
      <c r="AA98" s="1402" t="str">
        <f>+IF(Z98="","",IF(Z98&gt;=[2]PARAMETROS!$M$5,"CUMPLE","NO CUMPLE"))</f>
        <v>CUMPLE</v>
      </c>
      <c r="AB98" s="1507"/>
      <c r="AC98" s="113"/>
      <c r="AD98" s="67"/>
    </row>
    <row r="99" spans="1:30" s="33" customFormat="1" ht="94.5">
      <c r="A99" s="1509" t="s">
        <v>46</v>
      </c>
      <c r="B99" s="81" t="s">
        <v>477</v>
      </c>
      <c r="C99" s="783">
        <v>5</v>
      </c>
      <c r="D99" s="83" t="str">
        <f>+IFERROR(INDEX(DESEMPATE!$D$3:$D$83,MATCH('EXP ESPECIFICA '!B99,DESEMPATE!$C$3:$C$83,0)),"")</f>
        <v>TECNOLOGÍAS Y CONSULTORIAS AMBIENTALES Y DE GESTIÓN S.A. - "TECNICONSULTA S.A."</v>
      </c>
      <c r="E99" s="84" t="s">
        <v>448</v>
      </c>
      <c r="F99" s="95" t="s">
        <v>148</v>
      </c>
      <c r="G99" s="95" t="s">
        <v>478</v>
      </c>
      <c r="H99" s="85" t="s">
        <v>479</v>
      </c>
      <c r="I99" s="1393" t="s">
        <v>22</v>
      </c>
      <c r="J99" s="1393" t="s">
        <v>129</v>
      </c>
      <c r="K99" s="1393" t="s">
        <v>129</v>
      </c>
      <c r="L99" s="1393" t="s">
        <v>22</v>
      </c>
      <c r="M99" s="1393" t="s">
        <v>129</v>
      </c>
      <c r="N99" s="86">
        <v>0.6</v>
      </c>
      <c r="O99" s="87">
        <v>39860</v>
      </c>
      <c r="P99" s="87">
        <v>41260</v>
      </c>
      <c r="Q99" s="88">
        <v>2012</v>
      </c>
      <c r="R99" s="298">
        <v>566700</v>
      </c>
      <c r="S99" s="893">
        <v>8865205964</v>
      </c>
      <c r="T99" s="91" t="s">
        <v>151</v>
      </c>
      <c r="U99" s="81" t="s">
        <v>326</v>
      </c>
      <c r="V99" s="92" t="s">
        <v>326</v>
      </c>
      <c r="W99" s="93">
        <v>1</v>
      </c>
      <c r="X99" s="89">
        <v>8865205964</v>
      </c>
      <c r="Y99" s="94">
        <v>15643.560903476266</v>
      </c>
      <c r="Z99" s="94">
        <v>9386.1365420857583</v>
      </c>
      <c r="AA99" s="1400" t="str">
        <f>+IF(Z99="","",IF(Z99&gt;=[2]PARAMETROS!$M$5,"CUMPLE","NO CUMPLE"))</f>
        <v>CUMPLE</v>
      </c>
      <c r="AB99" s="1546" t="s">
        <v>47</v>
      </c>
      <c r="AC99" s="96"/>
      <c r="AD99" s="67"/>
    </row>
    <row r="100" spans="1:30" s="33" customFormat="1" ht="94.5">
      <c r="A100" s="1510"/>
      <c r="B100" s="19" t="s">
        <v>477</v>
      </c>
      <c r="C100" s="782">
        <v>8</v>
      </c>
      <c r="D100" s="21" t="str">
        <f>+IFERROR(INDEX(DESEMPATE!$D$3:$D$83,MATCH('EXP ESPECIFICA '!B100,DESEMPATE!$C$3:$C$83,0)),"")</f>
        <v>TECNOLOGÍAS Y CONSULTORIAS AMBIENTALES Y DE GESTIÓN S.A. - "TECNICONSULTA S.A."</v>
      </c>
      <c r="E100" s="22" t="s">
        <v>433</v>
      </c>
      <c r="F100" s="32" t="s">
        <v>148</v>
      </c>
      <c r="G100" s="32" t="s">
        <v>480</v>
      </c>
      <c r="H100" s="23" t="s">
        <v>481</v>
      </c>
      <c r="I100" s="1388" t="s">
        <v>22</v>
      </c>
      <c r="J100" s="1388" t="s">
        <v>129</v>
      </c>
      <c r="K100" s="1388" t="s">
        <v>129</v>
      </c>
      <c r="L100" s="1388" t="s">
        <v>22</v>
      </c>
      <c r="M100" s="1388" t="s">
        <v>129</v>
      </c>
      <c r="N100" s="24">
        <v>0.7</v>
      </c>
      <c r="O100" s="25">
        <v>41404</v>
      </c>
      <c r="P100" s="25">
        <v>42137</v>
      </c>
      <c r="Q100" s="26">
        <v>2015</v>
      </c>
      <c r="R100" s="27">
        <v>644350</v>
      </c>
      <c r="S100" s="895">
        <v>5284171200</v>
      </c>
      <c r="T100" s="29" t="s">
        <v>151</v>
      </c>
      <c r="U100" s="19" t="s">
        <v>326</v>
      </c>
      <c r="V100" s="30" t="s">
        <v>326</v>
      </c>
      <c r="W100" s="31">
        <v>1</v>
      </c>
      <c r="X100" s="27">
        <v>5284171200</v>
      </c>
      <c r="Y100" s="16">
        <v>8200.7778381314511</v>
      </c>
      <c r="Z100" s="16">
        <v>5740.5444866920152</v>
      </c>
      <c r="AA100" s="1388" t="str">
        <f>+IF(Z100="","",IF(Z100&gt;=[2]PARAMETROS!$M$5,"CUMPLE","NO CUMPLE"))</f>
        <v>CUMPLE</v>
      </c>
      <c r="AB100" s="1547"/>
      <c r="AC100" s="97"/>
      <c r="AD100" s="67"/>
    </row>
    <row r="101" spans="1:30" s="33" customFormat="1" ht="104.25" customHeight="1">
      <c r="A101" s="1510"/>
      <c r="B101" s="19" t="s">
        <v>482</v>
      </c>
      <c r="C101" s="782">
        <v>10</v>
      </c>
      <c r="D101" s="21" t="str">
        <f>+IFERROR(INDEX(DESEMPATE!$D$3:$D$83,MATCH('EXP ESPECIFICA '!B101,DESEMPATE!$C$3:$C$83,0)),"")</f>
        <v>HORACIO FRANCISCO MENDOZA MARTINEZ</v>
      </c>
      <c r="E101" s="37" t="s">
        <v>442</v>
      </c>
      <c r="F101" s="490" t="s">
        <v>148</v>
      </c>
      <c r="G101" s="490" t="s">
        <v>483</v>
      </c>
      <c r="H101" s="23" t="s">
        <v>484</v>
      </c>
      <c r="I101" s="1388" t="s">
        <v>22</v>
      </c>
      <c r="J101" s="1388" t="s">
        <v>22</v>
      </c>
      <c r="K101" s="1388" t="s">
        <v>22</v>
      </c>
      <c r="L101" s="1388" t="s">
        <v>22</v>
      </c>
      <c r="M101" s="1388" t="s">
        <v>129</v>
      </c>
      <c r="N101" s="38">
        <v>0.1</v>
      </c>
      <c r="O101" s="25">
        <v>37229</v>
      </c>
      <c r="P101" s="25">
        <v>40168</v>
      </c>
      <c r="Q101" s="26">
        <v>2009</v>
      </c>
      <c r="R101" s="27">
        <v>496900</v>
      </c>
      <c r="S101" s="895">
        <v>30754650877.91</v>
      </c>
      <c r="T101" s="29" t="s">
        <v>151</v>
      </c>
      <c r="U101" s="19" t="s">
        <v>326</v>
      </c>
      <c r="V101" s="30" t="s">
        <v>326</v>
      </c>
      <c r="W101" s="31">
        <v>1</v>
      </c>
      <c r="X101" s="27">
        <v>30754650877.91</v>
      </c>
      <c r="Y101" s="16">
        <v>61893.038595109683</v>
      </c>
      <c r="Z101" s="16">
        <v>6189.3038595109683</v>
      </c>
      <c r="AA101" s="1388" t="str">
        <f>+IF(Z101="","",IF(Z101&gt;=[2]PARAMETROS!$M$5,"CUMPLE","NO CUMPLE"))</f>
        <v>CUMPLE</v>
      </c>
      <c r="AB101" s="1547"/>
      <c r="AC101" s="1427" t="s">
        <v>757</v>
      </c>
      <c r="AD101" s="67"/>
    </row>
    <row r="102" spans="1:30" s="43" customFormat="1" ht="47.25">
      <c r="A102" s="1511"/>
      <c r="B102" s="19" t="s">
        <v>485</v>
      </c>
      <c r="C102" s="782">
        <v>17</v>
      </c>
      <c r="D102" s="101" t="str">
        <f>+IFERROR(INDEX(DESEMPATE!$D$3:$D$83,MATCH('EXP ESPECIFICA '!B102,DESEMPATE!$C$3:$C$83,0)),"")</f>
        <v>PROYECTOS TECNICOS DE COLOMBIA S.A.S.</v>
      </c>
      <c r="E102" s="22" t="s">
        <v>448</v>
      </c>
      <c r="F102" s="32" t="s">
        <v>148</v>
      </c>
      <c r="G102" s="32" t="s">
        <v>486</v>
      </c>
      <c r="H102" s="23" t="s">
        <v>487</v>
      </c>
      <c r="I102" s="1388" t="s">
        <v>22</v>
      </c>
      <c r="J102" s="1388" t="s">
        <v>129</v>
      </c>
      <c r="K102" s="1388" t="s">
        <v>129</v>
      </c>
      <c r="L102" s="1388" t="s">
        <v>22</v>
      </c>
      <c r="M102" s="1388" t="s">
        <v>129</v>
      </c>
      <c r="N102" s="39">
        <v>0.5</v>
      </c>
      <c r="O102" s="40">
        <v>39862</v>
      </c>
      <c r="P102" s="41">
        <v>40878</v>
      </c>
      <c r="Q102" s="26">
        <v>2011</v>
      </c>
      <c r="R102" s="27">
        <v>535600</v>
      </c>
      <c r="S102" s="898">
        <v>8675772032</v>
      </c>
      <c r="T102" s="29" t="s">
        <v>151</v>
      </c>
      <c r="U102" s="29" t="s">
        <v>326</v>
      </c>
      <c r="V102" s="29" t="s">
        <v>326</v>
      </c>
      <c r="W102" s="31">
        <v>1</v>
      </c>
      <c r="X102" s="27">
        <v>8675772032</v>
      </c>
      <c r="Y102" s="16">
        <v>16198.23008215086</v>
      </c>
      <c r="Z102" s="16">
        <v>8099.1150410754299</v>
      </c>
      <c r="AA102" s="1401" t="str">
        <f>+IF(Z102="","",IF(Z102&gt;=[2]PARAMETROS!$M$5,"CUMPLE","NO CUMPLE"))</f>
        <v>CUMPLE</v>
      </c>
      <c r="AB102" s="1548"/>
      <c r="AC102" s="97"/>
      <c r="AD102" s="115"/>
    </row>
    <row r="103" spans="1:30" s="33" customFormat="1" ht="47.25">
      <c r="A103" s="1509" t="s">
        <v>49</v>
      </c>
      <c r="B103" s="81" t="s">
        <v>488</v>
      </c>
      <c r="C103" s="783">
        <v>4</v>
      </c>
      <c r="D103" s="83" t="str">
        <f>+IFERROR(INDEX(DESEMPATE!$D$3:$D$83,MATCH('EXP ESPECIFICA '!B103,DESEMPATE!$C$3:$C$83,0)),"")</f>
        <v>AYESA DE COLOMBIA INGENIERIA Y ARQUITECTURA S.A.S.</v>
      </c>
      <c r="E103" s="84" t="s">
        <v>182</v>
      </c>
      <c r="F103" s="95" t="s">
        <v>139</v>
      </c>
      <c r="G103" s="95" t="s">
        <v>311</v>
      </c>
      <c r="H103" s="85" t="s">
        <v>758</v>
      </c>
      <c r="I103" s="1393" t="s">
        <v>22</v>
      </c>
      <c r="J103" s="1393" t="s">
        <v>22</v>
      </c>
      <c r="K103" s="1393" t="s">
        <v>129</v>
      </c>
      <c r="L103" s="1393" t="s">
        <v>22</v>
      </c>
      <c r="M103" s="1393" t="s">
        <v>129</v>
      </c>
      <c r="N103" s="86">
        <v>0.6</v>
      </c>
      <c r="O103" s="87">
        <v>37382</v>
      </c>
      <c r="P103" s="87">
        <v>39850</v>
      </c>
      <c r="Q103" s="88">
        <v>2009</v>
      </c>
      <c r="R103" s="298">
        <v>496900</v>
      </c>
      <c r="S103" s="893">
        <v>7948628.4100000001</v>
      </c>
      <c r="T103" s="91" t="s">
        <v>142</v>
      </c>
      <c r="U103" s="81">
        <v>1.2837099999999999</v>
      </c>
      <c r="V103" s="92">
        <v>10203733.776201099</v>
      </c>
      <c r="W103" s="93">
        <v>2472.65</v>
      </c>
      <c r="X103" s="89">
        <v>25230262321.723648</v>
      </c>
      <c r="Y103" s="94">
        <v>50775.331699987219</v>
      </c>
      <c r="Z103" s="94">
        <v>30465.199019992331</v>
      </c>
      <c r="AA103" s="1400" t="str">
        <f>+IF(Z103="","",IF(Z103&gt;=[2]PARAMETROS!$M$5,"CUMPLE","NO CUMPLE"))</f>
        <v>CUMPLE</v>
      </c>
      <c r="AB103" s="1505">
        <v>900</v>
      </c>
      <c r="AC103" s="96"/>
      <c r="AD103" s="67"/>
    </row>
    <row r="104" spans="1:30" s="33" customFormat="1" ht="57">
      <c r="A104" s="1510"/>
      <c r="B104" s="19" t="s">
        <v>490</v>
      </c>
      <c r="C104" s="782">
        <v>12</v>
      </c>
      <c r="D104" s="21" t="str">
        <f>+IFERROR(INDEX(DESEMPATE!$D$3:$D$83,MATCH('EXP ESPECIFICA '!B104,DESEMPATE!$C$3:$C$83,0)),"")</f>
        <v>INTERSA S.A.</v>
      </c>
      <c r="E104" s="22" t="s">
        <v>461</v>
      </c>
      <c r="F104" s="32" t="s">
        <v>148</v>
      </c>
      <c r="G104" s="32" t="s">
        <v>491</v>
      </c>
      <c r="H104" s="23" t="s">
        <v>492</v>
      </c>
      <c r="I104" s="1388" t="s">
        <v>22</v>
      </c>
      <c r="J104" s="1388" t="s">
        <v>129</v>
      </c>
      <c r="K104" s="1388" t="s">
        <v>22</v>
      </c>
      <c r="L104" s="1388" t="s">
        <v>22</v>
      </c>
      <c r="M104" s="1388" t="s">
        <v>129</v>
      </c>
      <c r="N104" s="24">
        <v>0.5</v>
      </c>
      <c r="O104" s="25">
        <v>38772</v>
      </c>
      <c r="P104" s="25">
        <v>40656</v>
      </c>
      <c r="Q104" s="26">
        <v>2011</v>
      </c>
      <c r="R104" s="27">
        <v>535600</v>
      </c>
      <c r="S104" s="895">
        <v>4793832856</v>
      </c>
      <c r="T104" s="29" t="s">
        <v>151</v>
      </c>
      <c r="U104" s="19" t="s">
        <v>326</v>
      </c>
      <c r="V104" s="30" t="s">
        <v>326</v>
      </c>
      <c r="W104" s="31">
        <v>1</v>
      </c>
      <c r="X104" s="27">
        <v>4793832856</v>
      </c>
      <c r="Y104" s="16">
        <v>8950.3974159820755</v>
      </c>
      <c r="Z104" s="16">
        <v>4475.1987079910377</v>
      </c>
      <c r="AA104" s="1388" t="str">
        <f>+IF(Z104="","",IF(Z104&gt;=[2]PARAMETROS!$M$5,"CUMPLE","NO CUMPLE"))</f>
        <v>CUMPLE</v>
      </c>
      <c r="AB104" s="1506"/>
      <c r="AC104" s="97"/>
      <c r="AD104" s="67"/>
    </row>
    <row r="105" spans="1:30" s="33" customFormat="1" ht="42.75">
      <c r="A105" s="1510"/>
      <c r="B105" s="19" t="s">
        <v>490</v>
      </c>
      <c r="C105" s="782">
        <v>17</v>
      </c>
      <c r="D105" s="21" t="str">
        <f>+IFERROR(INDEX(DESEMPATE!$D$3:$D$83,MATCH('EXP ESPECIFICA '!B105,DESEMPATE!$C$3:$C$83,0)),"")</f>
        <v>INTERSA S.A.</v>
      </c>
      <c r="E105" s="22" t="s">
        <v>493</v>
      </c>
      <c r="F105" s="32" t="s">
        <v>148</v>
      </c>
      <c r="G105" s="32" t="s">
        <v>494</v>
      </c>
      <c r="H105" s="23" t="s">
        <v>495</v>
      </c>
      <c r="I105" s="1388" t="s">
        <v>22</v>
      </c>
      <c r="J105" s="1388" t="s">
        <v>129</v>
      </c>
      <c r="K105" s="1388" t="s">
        <v>129</v>
      </c>
      <c r="L105" s="1388" t="s">
        <v>22</v>
      </c>
      <c r="M105" s="1388" t="s">
        <v>129</v>
      </c>
      <c r="N105" s="24">
        <v>0.75</v>
      </c>
      <c r="O105" s="25">
        <v>37308</v>
      </c>
      <c r="P105" s="25">
        <v>37986</v>
      </c>
      <c r="Q105" s="26">
        <v>2003</v>
      </c>
      <c r="R105" s="27">
        <v>332000</v>
      </c>
      <c r="S105" s="895">
        <v>1335742580</v>
      </c>
      <c r="T105" s="29" t="s">
        <v>151</v>
      </c>
      <c r="U105" s="19" t="s">
        <v>326</v>
      </c>
      <c r="V105" s="30" t="s">
        <v>326</v>
      </c>
      <c r="W105" s="31">
        <v>1</v>
      </c>
      <c r="X105" s="27">
        <v>1335742580</v>
      </c>
      <c r="Y105" s="16">
        <v>4023.3210240963854</v>
      </c>
      <c r="Z105" s="16">
        <v>3017.490768072289</v>
      </c>
      <c r="AA105" s="1388" t="str">
        <f>+IF(Z105="","",IF(Z105&gt;=[2]PARAMETROS!$M$5,"CUMPLE","NO CUMPLE"))</f>
        <v>CUMPLE</v>
      </c>
      <c r="AB105" s="1506"/>
      <c r="AC105" s="97"/>
      <c r="AD105" s="67"/>
    </row>
    <row r="106" spans="1:30" s="179" customFormat="1" ht="42.75">
      <c r="A106" s="1511"/>
      <c r="B106" s="99" t="s">
        <v>490</v>
      </c>
      <c r="C106" s="784">
        <v>22</v>
      </c>
      <c r="D106" s="101" t="str">
        <f>+IFERROR(INDEX(DESEMPATE!$D$3:$D$83,MATCH('EXP ESPECIFICA '!B106,DESEMPATE!$C$3:$C$83,0)),"")</f>
        <v>INTERSA S.A.</v>
      </c>
      <c r="E106" s="102" t="s">
        <v>493</v>
      </c>
      <c r="F106" s="225" t="s">
        <v>148</v>
      </c>
      <c r="G106" s="225" t="s">
        <v>496</v>
      </c>
      <c r="H106" s="103" t="s">
        <v>497</v>
      </c>
      <c r="I106" s="1392" t="s">
        <v>22</v>
      </c>
      <c r="J106" s="1392" t="s">
        <v>129</v>
      </c>
      <c r="K106" s="1392" t="s">
        <v>129</v>
      </c>
      <c r="L106" s="1392" t="s">
        <v>22</v>
      </c>
      <c r="M106" s="1392" t="s">
        <v>129</v>
      </c>
      <c r="N106" s="24">
        <v>1</v>
      </c>
      <c r="O106" s="25">
        <v>36992</v>
      </c>
      <c r="P106" s="25">
        <v>37539</v>
      </c>
      <c r="Q106" s="26">
        <v>2002</v>
      </c>
      <c r="R106" s="27">
        <v>309000</v>
      </c>
      <c r="S106" s="895">
        <v>999929000</v>
      </c>
      <c r="T106" s="109" t="s">
        <v>151</v>
      </c>
      <c r="U106" s="99" t="s">
        <v>326</v>
      </c>
      <c r="V106" s="110" t="s">
        <v>326</v>
      </c>
      <c r="W106" s="111">
        <v>1</v>
      </c>
      <c r="X106" s="107">
        <v>999929000</v>
      </c>
      <c r="Y106" s="112">
        <v>3236.0161812297733</v>
      </c>
      <c r="Z106" s="112">
        <v>3236.0161812297733</v>
      </c>
      <c r="AA106" s="1402" t="str">
        <f>+IF(Z106="","",IF(Z106&gt;=[2]PARAMETROS!$M$5,"CUMPLE","NO CUMPLE"))</f>
        <v>CUMPLE</v>
      </c>
      <c r="AB106" s="1507"/>
      <c r="AC106" s="113"/>
      <c r="AD106" s="903"/>
    </row>
    <row r="107" spans="1:30" s="180" customFormat="1" ht="54.75" customHeight="1">
      <c r="A107" s="1549" t="s">
        <v>50</v>
      </c>
      <c r="B107" s="932" t="s">
        <v>503</v>
      </c>
      <c r="C107" s="933">
        <v>4</v>
      </c>
      <c r="D107" s="70" t="str">
        <f>+IFERROR(INDEX(DESEMPATE!$D$3:$D$83,MATCH('EXP ESPECIFICA '!B107,DESEMPATE!$C$3:$C$83,0)),"")</f>
        <v>SERINCO COLOMBIA</v>
      </c>
      <c r="E107" s="934" t="s">
        <v>214</v>
      </c>
      <c r="F107" s="934" t="s">
        <v>139</v>
      </c>
      <c r="G107" s="934"/>
      <c r="H107" s="935" t="s">
        <v>500</v>
      </c>
      <c r="I107" s="936" t="s">
        <v>22</v>
      </c>
      <c r="J107" s="936" t="s">
        <v>22</v>
      </c>
      <c r="K107" s="936" t="s">
        <v>129</v>
      </c>
      <c r="L107" s="936" t="s">
        <v>22</v>
      </c>
      <c r="M107" s="936" t="s">
        <v>129</v>
      </c>
      <c r="N107" s="937">
        <v>0.5</v>
      </c>
      <c r="O107" s="938">
        <v>36746</v>
      </c>
      <c r="P107" s="938">
        <v>38175</v>
      </c>
      <c r="Q107" s="939">
        <v>2004</v>
      </c>
      <c r="R107" s="940">
        <v>358000</v>
      </c>
      <c r="S107" s="941">
        <v>1913345.14</v>
      </c>
      <c r="T107" s="942" t="s">
        <v>142</v>
      </c>
      <c r="U107" s="932">
        <v>1.3592299999999999</v>
      </c>
      <c r="V107" s="943">
        <v>2600676.1146421996</v>
      </c>
      <c r="W107" s="1046">
        <v>1848.91</v>
      </c>
      <c r="X107" s="944">
        <v>4808416075.1231098</v>
      </c>
      <c r="Y107" s="945">
        <v>13431.329818779637</v>
      </c>
      <c r="Z107" s="945">
        <v>6715.6649093898186</v>
      </c>
      <c r="AA107" s="1408" t="s">
        <v>245</v>
      </c>
      <c r="AB107" s="1537">
        <v>900</v>
      </c>
      <c r="AC107" s="946"/>
    </row>
    <row r="108" spans="1:30" s="58" customFormat="1" ht="45" customHeight="1">
      <c r="A108" s="1550"/>
      <c r="B108" s="947" t="s">
        <v>503</v>
      </c>
      <c r="C108" s="948">
        <v>8</v>
      </c>
      <c r="D108" s="21" t="str">
        <f>+IFERROR(INDEX(DESEMPATE!$D$3:$D$83,MATCH('EXP ESPECIFICA '!B108,DESEMPATE!$C$3:$C$83,0)),"")</f>
        <v>SERINCO COLOMBIA</v>
      </c>
      <c r="E108" s="934" t="s">
        <v>214</v>
      </c>
      <c r="F108" s="44" t="s">
        <v>139</v>
      </c>
      <c r="G108" s="44"/>
      <c r="H108" s="45" t="s">
        <v>506</v>
      </c>
      <c r="I108" s="949" t="s">
        <v>22</v>
      </c>
      <c r="J108" s="949" t="s">
        <v>22</v>
      </c>
      <c r="K108" s="949" t="s">
        <v>129</v>
      </c>
      <c r="L108" s="949" t="s">
        <v>22</v>
      </c>
      <c r="M108" s="949" t="s">
        <v>129</v>
      </c>
      <c r="N108" s="950">
        <v>0.5</v>
      </c>
      <c r="O108" s="47">
        <v>37576</v>
      </c>
      <c r="P108" s="47">
        <v>38763</v>
      </c>
      <c r="Q108" s="951">
        <v>2006</v>
      </c>
      <c r="R108" s="952">
        <v>408000</v>
      </c>
      <c r="S108" s="953">
        <v>2212803.58</v>
      </c>
      <c r="T108" s="49" t="s">
        <v>142</v>
      </c>
      <c r="U108" s="947">
        <v>1.19011</v>
      </c>
      <c r="V108" s="943">
        <v>2633479.6685938002</v>
      </c>
      <c r="W108" s="1047">
        <v>2254.98</v>
      </c>
      <c r="X108" s="952">
        <v>5938443983.0856476</v>
      </c>
      <c r="Y108" s="954">
        <v>14555.009762464822</v>
      </c>
      <c r="Z108" s="954">
        <v>7277.5048812324112</v>
      </c>
      <c r="AA108" s="949" t="s">
        <v>245</v>
      </c>
      <c r="AB108" s="1538"/>
      <c r="AC108" s="946"/>
    </row>
    <row r="109" spans="1:30" s="58" customFormat="1" ht="95.25" customHeight="1">
      <c r="A109" s="1550"/>
      <c r="B109" s="947" t="s">
        <v>498</v>
      </c>
      <c r="C109" s="948">
        <v>13</v>
      </c>
      <c r="D109" s="21" t="str">
        <f>+IFERROR(INDEX(DESEMPATE!$D$3:$D$83,MATCH('EXP ESPECIFICA '!B109,DESEMPATE!$C$3:$C$83,0)),"")</f>
        <v>PEYCO COLOMBIA</v>
      </c>
      <c r="E109" s="44" t="s">
        <v>759</v>
      </c>
      <c r="F109" s="44" t="s">
        <v>148</v>
      </c>
      <c r="G109" s="44" t="s">
        <v>760</v>
      </c>
      <c r="H109" s="45" t="s">
        <v>761</v>
      </c>
      <c r="I109" s="949" t="s">
        <v>22</v>
      </c>
      <c r="J109" s="949" t="s">
        <v>129</v>
      </c>
      <c r="K109" s="949" t="s">
        <v>22</v>
      </c>
      <c r="L109" s="949" t="s">
        <v>22</v>
      </c>
      <c r="M109" s="949" t="s">
        <v>129</v>
      </c>
      <c r="N109" s="950">
        <v>0.51</v>
      </c>
      <c r="O109" s="47">
        <v>41992</v>
      </c>
      <c r="P109" s="47">
        <v>42338</v>
      </c>
      <c r="Q109" s="951">
        <v>2015</v>
      </c>
      <c r="R109" s="952">
        <v>644350</v>
      </c>
      <c r="S109" s="953">
        <v>2653207726</v>
      </c>
      <c r="T109" s="49" t="s">
        <v>151</v>
      </c>
      <c r="U109" s="947" t="s">
        <v>140</v>
      </c>
      <c r="V109" s="955" t="s">
        <v>140</v>
      </c>
      <c r="W109" s="1047">
        <v>1</v>
      </c>
      <c r="X109" s="952">
        <v>2653207726</v>
      </c>
      <c r="Y109" s="954">
        <v>4117.6499200744938</v>
      </c>
      <c r="Z109" s="954">
        <v>2100.0014592379921</v>
      </c>
      <c r="AA109" s="949" t="s">
        <v>245</v>
      </c>
      <c r="AB109" s="1538"/>
      <c r="AC109" s="956"/>
    </row>
    <row r="110" spans="1:30" s="58" customFormat="1" ht="65.099999999999994" customHeight="1" thickBot="1">
      <c r="A110" s="1551"/>
      <c r="B110" s="947" t="s">
        <v>498</v>
      </c>
      <c r="C110" s="948">
        <v>16</v>
      </c>
      <c r="D110" s="101" t="str">
        <f>+IFERROR(INDEX(DESEMPATE!$D$3:$D$83,MATCH('EXP ESPECIFICA '!B110,DESEMPATE!$C$3:$C$83,0)),"")</f>
        <v>PEYCO COLOMBIA</v>
      </c>
      <c r="E110" s="44" t="s">
        <v>214</v>
      </c>
      <c r="F110" s="44" t="s">
        <v>139</v>
      </c>
      <c r="G110" s="44"/>
      <c r="H110" s="45" t="s">
        <v>762</v>
      </c>
      <c r="I110" s="949" t="s">
        <v>22</v>
      </c>
      <c r="J110" s="949" t="s">
        <v>129</v>
      </c>
      <c r="K110" s="949" t="s">
        <v>129</v>
      </c>
      <c r="L110" s="949" t="s">
        <v>22</v>
      </c>
      <c r="M110" s="949" t="s">
        <v>129</v>
      </c>
      <c r="N110" s="950">
        <v>0.5</v>
      </c>
      <c r="O110" s="47">
        <v>38596</v>
      </c>
      <c r="P110" s="47">
        <v>39629</v>
      </c>
      <c r="Q110" s="951">
        <v>2008</v>
      </c>
      <c r="R110" s="944">
        <v>461500</v>
      </c>
      <c r="S110" s="953">
        <v>728780.80000000005</v>
      </c>
      <c r="T110" s="49" t="s">
        <v>142</v>
      </c>
      <c r="U110" s="947">
        <v>1.1588799999999999</v>
      </c>
      <c r="V110" s="955">
        <v>844569.49350400001</v>
      </c>
      <c r="W110" s="1047">
        <v>1923.02</v>
      </c>
      <c r="X110" s="952">
        <v>1624124027.398062</v>
      </c>
      <c r="Y110" s="954">
        <v>3519.2286617509467</v>
      </c>
      <c r="Z110" s="954">
        <v>1759.6143308754733</v>
      </c>
      <c r="AA110" s="1408" t="s">
        <v>245</v>
      </c>
      <c r="AB110" s="1539"/>
      <c r="AC110" s="956"/>
    </row>
    <row r="111" spans="1:30" s="58" customFormat="1" ht="92.25" customHeight="1">
      <c r="A111" s="1549" t="s">
        <v>51</v>
      </c>
      <c r="B111" s="957" t="s">
        <v>507</v>
      </c>
      <c r="C111" s="958">
        <v>6</v>
      </c>
      <c r="D111" s="70" t="str">
        <f>+IFERROR(INDEX(DESEMPATE!$D$3:$D$83,MATCH('EXP ESPECIFICA '!B111,DESEMPATE!$C$3:$C$83,0)),"")</f>
        <v>GIC GERENCIA INTERVENTORIA Y CONSULTORIA S.A.S.</v>
      </c>
      <c r="E111" s="627" t="s">
        <v>509</v>
      </c>
      <c r="F111" s="627" t="s">
        <v>139</v>
      </c>
      <c r="G111" s="627"/>
      <c r="H111" s="628" t="s">
        <v>510</v>
      </c>
      <c r="I111" s="959" t="s">
        <v>22</v>
      </c>
      <c r="J111" s="959" t="s">
        <v>129</v>
      </c>
      <c r="K111" s="959" t="s">
        <v>129</v>
      </c>
      <c r="L111" s="959" t="s">
        <v>22</v>
      </c>
      <c r="M111" s="959" t="s">
        <v>129</v>
      </c>
      <c r="N111" s="960">
        <v>1</v>
      </c>
      <c r="O111" s="630">
        <v>37572</v>
      </c>
      <c r="P111" s="630">
        <v>38330</v>
      </c>
      <c r="Q111" s="961">
        <v>2004</v>
      </c>
      <c r="R111" s="962">
        <v>358000</v>
      </c>
      <c r="S111" s="963">
        <v>610050.4</v>
      </c>
      <c r="T111" s="632" t="s">
        <v>142</v>
      </c>
      <c r="U111" s="957">
        <v>1.3329</v>
      </c>
      <c r="V111" s="964">
        <v>813136.17816000001</v>
      </c>
      <c r="W111" s="1048">
        <v>2455.12</v>
      </c>
      <c r="X111" s="965">
        <v>1996346893.724179</v>
      </c>
      <c r="Y111" s="966">
        <v>5576.3879712965891</v>
      </c>
      <c r="Z111" s="966">
        <v>5576.3879712965891</v>
      </c>
      <c r="AA111" s="1407" t="s">
        <v>245</v>
      </c>
      <c r="AB111" s="1537">
        <v>900</v>
      </c>
      <c r="AC111" s="967"/>
    </row>
    <row r="112" spans="1:30" s="58" customFormat="1" ht="89.25" customHeight="1" thickBot="1">
      <c r="A112" s="1550"/>
      <c r="B112" s="947" t="s">
        <v>507</v>
      </c>
      <c r="C112" s="948">
        <v>12</v>
      </c>
      <c r="D112" s="21" t="str">
        <f>+IFERROR(INDEX(DESEMPATE!$D$3:$D$83,MATCH('EXP ESPECIFICA '!B112,DESEMPATE!$C$3:$C$83,0)),"")</f>
        <v>GIC GERENCIA INTERVENTORIA Y CONSULTORIA S.A.S.</v>
      </c>
      <c r="E112" s="44" t="s">
        <v>509</v>
      </c>
      <c r="F112" s="44" t="s">
        <v>139</v>
      </c>
      <c r="G112" s="44"/>
      <c r="H112" s="44" t="s">
        <v>511</v>
      </c>
      <c r="I112" s="949" t="s">
        <v>22</v>
      </c>
      <c r="J112" s="949" t="s">
        <v>129</v>
      </c>
      <c r="K112" s="949" t="s">
        <v>129</v>
      </c>
      <c r="L112" s="949" t="s">
        <v>22</v>
      </c>
      <c r="M112" s="949" t="s">
        <v>129</v>
      </c>
      <c r="N112" s="968">
        <v>1</v>
      </c>
      <c r="O112" s="47">
        <v>39839</v>
      </c>
      <c r="P112" s="47">
        <v>40339</v>
      </c>
      <c r="Q112" s="951">
        <v>2010</v>
      </c>
      <c r="R112" s="952">
        <v>515000</v>
      </c>
      <c r="S112" s="969">
        <v>864969.84</v>
      </c>
      <c r="T112" s="952" t="s">
        <v>142</v>
      </c>
      <c r="U112" s="947">
        <v>1.1988799999999999</v>
      </c>
      <c r="V112" s="955">
        <v>1036995.0417792</v>
      </c>
      <c r="W112" s="1047">
        <v>1943.41</v>
      </c>
      <c r="X112" s="952">
        <v>2015306534.144115</v>
      </c>
      <c r="Y112" s="954">
        <v>3913.2165711536213</v>
      </c>
      <c r="Z112" s="954">
        <v>3913.2165711536213</v>
      </c>
      <c r="AA112" s="949" t="s">
        <v>245</v>
      </c>
      <c r="AB112" s="1538"/>
      <c r="AC112" s="956"/>
    </row>
    <row r="113" spans="1:29" s="58" customFormat="1" ht="65.099999999999994" customHeight="1">
      <c r="A113" s="1550"/>
      <c r="B113" s="947" t="s">
        <v>512</v>
      </c>
      <c r="C113" s="948">
        <v>21</v>
      </c>
      <c r="D113" s="21" t="str">
        <f>+IFERROR(INDEX(DESEMPATE!$D$3:$D$83,MATCH('EXP ESPECIFICA '!B113,DESEMPATE!$C$3:$C$83,0)),"")</f>
        <v>GINPROSA COLOMBIA S.A.S.</v>
      </c>
      <c r="E113" s="44" t="s">
        <v>182</v>
      </c>
      <c r="F113" s="44" t="s">
        <v>139</v>
      </c>
      <c r="G113" s="44"/>
      <c r="H113" s="45" t="s">
        <v>514</v>
      </c>
      <c r="I113" s="949" t="s">
        <v>22</v>
      </c>
      <c r="J113" s="949" t="s">
        <v>22</v>
      </c>
      <c r="K113" s="949" t="s">
        <v>129</v>
      </c>
      <c r="L113" s="949" t="s">
        <v>22</v>
      </c>
      <c r="M113" s="949" t="s">
        <v>129</v>
      </c>
      <c r="N113" s="950">
        <v>1</v>
      </c>
      <c r="O113" s="47">
        <v>39051</v>
      </c>
      <c r="P113" s="47">
        <v>40178</v>
      </c>
      <c r="Q113" s="951">
        <v>2009</v>
      </c>
      <c r="R113" s="952">
        <v>496900</v>
      </c>
      <c r="S113" s="953">
        <v>1487633.36</v>
      </c>
      <c r="T113" s="49" t="s">
        <v>142</v>
      </c>
      <c r="U113" s="947">
        <v>1.4581599999999999</v>
      </c>
      <c r="V113" s="955">
        <v>2169207.4602176002</v>
      </c>
      <c r="W113" s="1047">
        <v>2017.05</v>
      </c>
      <c r="X113" s="952">
        <v>4375399907.6319103</v>
      </c>
      <c r="Y113" s="954">
        <v>8805.3932534351188</v>
      </c>
      <c r="Z113" s="954">
        <v>8805.3932534351188</v>
      </c>
      <c r="AA113" s="949" t="s">
        <v>245</v>
      </c>
      <c r="AB113" s="1538"/>
      <c r="AC113" s="967"/>
    </row>
    <row r="114" spans="1:29" s="58" customFormat="1" ht="270.75" customHeight="1" thickBot="1">
      <c r="A114" s="1551"/>
      <c r="B114" s="947" t="s">
        <v>515</v>
      </c>
      <c r="C114" s="948">
        <v>24</v>
      </c>
      <c r="D114" s="101" t="str">
        <f>+IFERROR(INDEX(DESEMPATE!$D$3:$D$83,MATCH('EXP ESPECIFICA '!B114,DESEMPATE!$C$3:$C$83,0)),"")</f>
        <v>CARTAGENERA DE INGENIERÍA S.A.S. CARINSA</v>
      </c>
      <c r="E114" s="44" t="s">
        <v>517</v>
      </c>
      <c r="F114" s="44" t="s">
        <v>148</v>
      </c>
      <c r="G114" s="44" t="s">
        <v>348</v>
      </c>
      <c r="H114" s="23" t="s">
        <v>518</v>
      </c>
      <c r="I114" s="949" t="s">
        <v>22</v>
      </c>
      <c r="J114" s="949" t="s">
        <v>129</v>
      </c>
      <c r="K114" s="949" t="s">
        <v>22</v>
      </c>
      <c r="L114" s="949" t="s">
        <v>22</v>
      </c>
      <c r="M114" s="949" t="s">
        <v>129</v>
      </c>
      <c r="N114" s="950">
        <v>0.25</v>
      </c>
      <c r="O114" s="47">
        <v>40954</v>
      </c>
      <c r="P114" s="47">
        <v>42398</v>
      </c>
      <c r="Q114" s="951">
        <v>2016</v>
      </c>
      <c r="R114" s="944">
        <v>689554</v>
      </c>
      <c r="S114" s="953">
        <v>6977164104</v>
      </c>
      <c r="T114" s="49" t="s">
        <v>151</v>
      </c>
      <c r="U114" s="947" t="s">
        <v>140</v>
      </c>
      <c r="V114" s="955" t="s">
        <v>140</v>
      </c>
      <c r="W114" s="1047">
        <v>1</v>
      </c>
      <c r="X114" s="952">
        <v>6977164104</v>
      </c>
      <c r="Y114" s="954">
        <v>10118.37231601876</v>
      </c>
      <c r="Z114" s="954">
        <v>2529.59307900469</v>
      </c>
      <c r="AA114" s="1408" t="s">
        <v>245</v>
      </c>
      <c r="AB114" s="1539"/>
      <c r="AC114" s="1119"/>
    </row>
    <row r="115" spans="1:29" s="58" customFormat="1" ht="100.5" customHeight="1">
      <c r="A115" s="1549" t="s">
        <v>52</v>
      </c>
      <c r="B115" s="957" t="s">
        <v>519</v>
      </c>
      <c r="C115" s="958">
        <v>7</v>
      </c>
      <c r="D115" s="70" t="str">
        <f>+IFERROR(INDEX(DESEMPATE!$D$3:$D$83,MATCH('EXP ESPECIFICA '!B115,DESEMPATE!$C$3:$C$83,0)),"")</f>
        <v>SUPERVISIÓN E INGENIERÍA DE PROYECTOS S.A.S. - SUPERING S.A.S.</v>
      </c>
      <c r="E115" s="627" t="s">
        <v>517</v>
      </c>
      <c r="F115" s="627" t="s">
        <v>523</v>
      </c>
      <c r="G115" s="627"/>
      <c r="H115" s="628" t="s">
        <v>521</v>
      </c>
      <c r="I115" s="959" t="s">
        <v>22</v>
      </c>
      <c r="J115" s="959" t="s">
        <v>129</v>
      </c>
      <c r="K115" s="959" t="s">
        <v>129</v>
      </c>
      <c r="L115" s="959" t="s">
        <v>22</v>
      </c>
      <c r="M115" s="959" t="s">
        <v>129</v>
      </c>
      <c r="N115" s="960">
        <v>1</v>
      </c>
      <c r="O115" s="630">
        <v>38807</v>
      </c>
      <c r="P115" s="630">
        <v>39813</v>
      </c>
      <c r="Q115" s="961">
        <v>2008</v>
      </c>
      <c r="R115" s="962">
        <v>461500</v>
      </c>
      <c r="S115" s="963">
        <v>47481903.439999998</v>
      </c>
      <c r="T115" s="632" t="s">
        <v>525</v>
      </c>
      <c r="U115" s="957">
        <v>7.2569999999999996E-2</v>
      </c>
      <c r="V115" s="964">
        <v>3445761.7326407996</v>
      </c>
      <c r="W115" s="1048">
        <v>2243.59</v>
      </c>
      <c r="X115" s="965">
        <v>7730876565.7355719</v>
      </c>
      <c r="Y115" s="966">
        <v>16751.62852813775</v>
      </c>
      <c r="Z115" s="966">
        <v>16751.62852813775</v>
      </c>
      <c r="AA115" s="1407" t="s">
        <v>245</v>
      </c>
      <c r="AB115" s="1537">
        <v>900</v>
      </c>
      <c r="AC115" s="946"/>
    </row>
    <row r="116" spans="1:29" s="58" customFormat="1" ht="65.099999999999994" customHeight="1">
      <c r="A116" s="1550"/>
      <c r="B116" s="947" t="s">
        <v>519</v>
      </c>
      <c r="C116" s="948">
        <v>11</v>
      </c>
      <c r="D116" s="21" t="str">
        <f>+IFERROR(INDEX(DESEMPATE!$D$3:$D$83,MATCH('EXP ESPECIFICA '!B116,DESEMPATE!$C$3:$C$83,0)),"")</f>
        <v>SUPERVISIÓN E INGENIERÍA DE PROYECTOS S.A.S. - SUPERING S.A.S.</v>
      </c>
      <c r="E116" s="44" t="s">
        <v>763</v>
      </c>
      <c r="F116" s="44" t="s">
        <v>523</v>
      </c>
      <c r="G116" s="44"/>
      <c r="H116" s="45" t="s">
        <v>764</v>
      </c>
      <c r="I116" s="949" t="s">
        <v>22</v>
      </c>
      <c r="J116" s="949" t="s">
        <v>129</v>
      </c>
      <c r="K116" s="949" t="s">
        <v>129</v>
      </c>
      <c r="L116" s="949" t="s">
        <v>22</v>
      </c>
      <c r="M116" s="949" t="s">
        <v>129</v>
      </c>
      <c r="N116" s="950">
        <v>1</v>
      </c>
      <c r="O116" s="47">
        <v>39692</v>
      </c>
      <c r="P116" s="47">
        <v>40724</v>
      </c>
      <c r="Q116" s="951">
        <v>2011</v>
      </c>
      <c r="R116" s="952">
        <v>535600</v>
      </c>
      <c r="S116" s="953">
        <v>38398960</v>
      </c>
      <c r="T116" s="49" t="s">
        <v>525</v>
      </c>
      <c r="U116" s="947">
        <v>8.4720000000000004E-2</v>
      </c>
      <c r="V116" s="955">
        <v>3253159.8912</v>
      </c>
      <c r="W116" s="1047">
        <v>1780.16</v>
      </c>
      <c r="X116" s="952">
        <v>5791145111.9185925</v>
      </c>
      <c r="Y116" s="954">
        <v>10812.444197010069</v>
      </c>
      <c r="Z116" s="954">
        <v>10812.444197010069</v>
      </c>
      <c r="AA116" s="949" t="s">
        <v>245</v>
      </c>
      <c r="AB116" s="1538"/>
      <c r="AC116" s="956"/>
    </row>
    <row r="117" spans="1:29" s="58" customFormat="1" ht="65.099999999999994" customHeight="1">
      <c r="A117" s="1550"/>
      <c r="B117" s="947" t="s">
        <v>519</v>
      </c>
      <c r="C117" s="948">
        <v>14</v>
      </c>
      <c r="D117" s="21" t="str">
        <f>+IFERROR(INDEX(DESEMPATE!$D$3:$D$83,MATCH('EXP ESPECIFICA '!B117,DESEMPATE!$C$3:$C$83,0)),"")</f>
        <v>SUPERVISIÓN E INGENIERÍA DE PROYECTOS S.A.S. - SUPERING S.A.S.</v>
      </c>
      <c r="E117" s="44" t="s">
        <v>517</v>
      </c>
      <c r="F117" s="44" t="s">
        <v>148</v>
      </c>
      <c r="G117" s="44" t="s">
        <v>765</v>
      </c>
      <c r="H117" s="45" t="s">
        <v>766</v>
      </c>
      <c r="I117" s="949" t="s">
        <v>22</v>
      </c>
      <c r="J117" s="949" t="s">
        <v>129</v>
      </c>
      <c r="K117" s="949" t="s">
        <v>22</v>
      </c>
      <c r="L117" s="949" t="s">
        <v>22</v>
      </c>
      <c r="M117" s="949" t="s">
        <v>129</v>
      </c>
      <c r="N117" s="950">
        <v>0.75</v>
      </c>
      <c r="O117" s="47">
        <v>37790</v>
      </c>
      <c r="P117" s="47">
        <v>38612</v>
      </c>
      <c r="Q117" s="951">
        <v>2005</v>
      </c>
      <c r="R117" s="952">
        <v>381500</v>
      </c>
      <c r="S117" s="972">
        <v>2363195725</v>
      </c>
      <c r="T117" s="49" t="s">
        <v>151</v>
      </c>
      <c r="U117" s="947" t="s">
        <v>140</v>
      </c>
      <c r="V117" s="955" t="s">
        <v>140</v>
      </c>
      <c r="W117" s="1047">
        <v>1</v>
      </c>
      <c r="X117" s="952">
        <v>2363195725</v>
      </c>
      <c r="Y117" s="954">
        <v>6194.4842070773266</v>
      </c>
      <c r="Z117" s="954">
        <v>4645.8631553079949</v>
      </c>
      <c r="AA117" s="949" t="s">
        <v>245</v>
      </c>
      <c r="AB117" s="1538"/>
      <c r="AC117" s="956"/>
    </row>
    <row r="118" spans="1:29" s="58" customFormat="1" ht="65.099999999999994" customHeight="1" thickBot="1">
      <c r="A118" s="1551"/>
      <c r="B118" s="947" t="s">
        <v>519</v>
      </c>
      <c r="C118" s="948">
        <v>16</v>
      </c>
      <c r="D118" s="101" t="str">
        <f>+IFERROR(INDEX(DESEMPATE!$D$3:$D$83,MATCH('EXP ESPECIFICA '!B118,DESEMPATE!$C$3:$C$83,0)),"")</f>
        <v>SUPERVISIÓN E INGENIERÍA DE PROYECTOS S.A.S. - SUPERING S.A.S.</v>
      </c>
      <c r="E118" s="44" t="s">
        <v>517</v>
      </c>
      <c r="F118" s="44" t="s">
        <v>148</v>
      </c>
      <c r="G118" s="973" t="s">
        <v>767</v>
      </c>
      <c r="H118" s="45" t="s">
        <v>521</v>
      </c>
      <c r="I118" s="949" t="s">
        <v>22</v>
      </c>
      <c r="J118" s="949" t="s">
        <v>22</v>
      </c>
      <c r="K118" s="949" t="s">
        <v>22</v>
      </c>
      <c r="L118" s="949" t="s">
        <v>22</v>
      </c>
      <c r="M118" s="949" t="s">
        <v>129</v>
      </c>
      <c r="N118" s="950">
        <v>0.3</v>
      </c>
      <c r="O118" s="47">
        <v>37229</v>
      </c>
      <c r="P118" s="47">
        <v>40168</v>
      </c>
      <c r="Q118" s="951">
        <v>2009</v>
      </c>
      <c r="R118" s="944">
        <v>496900</v>
      </c>
      <c r="S118" s="974">
        <v>23197769047.380001</v>
      </c>
      <c r="T118" s="49" t="s">
        <v>151</v>
      </c>
      <c r="U118" s="947" t="s">
        <v>140</v>
      </c>
      <c r="V118" s="955" t="s">
        <v>140</v>
      </c>
      <c r="W118" s="1049">
        <v>1</v>
      </c>
      <c r="X118" s="952">
        <v>23197769047.380001</v>
      </c>
      <c r="Y118" s="954">
        <v>46684.985001770983</v>
      </c>
      <c r="Z118" s="954">
        <v>14005.495500531295</v>
      </c>
      <c r="AA118" s="1408" t="s">
        <v>245</v>
      </c>
      <c r="AB118" s="1539"/>
      <c r="AC118" s="971"/>
    </row>
    <row r="119" spans="1:29" s="58" customFormat="1" ht="65.099999999999994" customHeight="1">
      <c r="A119" s="1549" t="s">
        <v>53</v>
      </c>
      <c r="B119" s="957" t="s">
        <v>526</v>
      </c>
      <c r="C119" s="958">
        <v>5</v>
      </c>
      <c r="D119" s="70" t="str">
        <f>+IFERROR(INDEX(DESEMPATE!$D$3:$D$83,MATCH('EXP ESPECIFICA '!B119,DESEMPATE!$C$3:$C$83,0)),"")</f>
        <v>JOYCO S.A.S.</v>
      </c>
      <c r="E119" s="627" t="s">
        <v>528</v>
      </c>
      <c r="F119" s="627" t="s">
        <v>148</v>
      </c>
      <c r="G119" s="627" t="s">
        <v>529</v>
      </c>
      <c r="H119" s="628" t="s">
        <v>530</v>
      </c>
      <c r="I119" s="959" t="s">
        <v>22</v>
      </c>
      <c r="J119" s="959" t="s">
        <v>129</v>
      </c>
      <c r="K119" s="959" t="s">
        <v>22</v>
      </c>
      <c r="L119" s="959" t="s">
        <v>22</v>
      </c>
      <c r="M119" s="959" t="s">
        <v>129</v>
      </c>
      <c r="N119" s="960">
        <v>1</v>
      </c>
      <c r="O119" s="630">
        <v>38321</v>
      </c>
      <c r="P119" s="630">
        <v>39901</v>
      </c>
      <c r="Q119" s="961">
        <v>2009</v>
      </c>
      <c r="R119" s="962">
        <v>496900</v>
      </c>
      <c r="S119" s="963">
        <v>1676200327</v>
      </c>
      <c r="T119" s="632" t="s">
        <v>151</v>
      </c>
      <c r="U119" s="957" t="s">
        <v>140</v>
      </c>
      <c r="V119" s="964" t="s">
        <v>140</v>
      </c>
      <c r="W119" s="1048">
        <v>1</v>
      </c>
      <c r="X119" s="965">
        <v>1676200327</v>
      </c>
      <c r="Y119" s="966">
        <v>3373.3152082914066</v>
      </c>
      <c r="Z119" s="966">
        <v>3373.3152082914066</v>
      </c>
      <c r="AA119" s="1407" t="s">
        <v>245</v>
      </c>
      <c r="AB119" s="1537">
        <v>900</v>
      </c>
      <c r="AC119" s="967"/>
    </row>
    <row r="120" spans="1:29" s="58" customFormat="1" ht="99.75" customHeight="1">
      <c r="A120" s="1550"/>
      <c r="B120" s="947" t="s">
        <v>526</v>
      </c>
      <c r="C120" s="948">
        <v>15</v>
      </c>
      <c r="D120" s="21" t="str">
        <f>+IFERROR(INDEX(DESEMPATE!$D$3:$D$83,MATCH('EXP ESPECIFICA '!B120,DESEMPATE!$C$3:$C$83,0)),"")</f>
        <v>JOYCO S.A.S.</v>
      </c>
      <c r="E120" s="44" t="s">
        <v>155</v>
      </c>
      <c r="F120" s="44" t="s">
        <v>148</v>
      </c>
      <c r="G120" s="44" t="s">
        <v>531</v>
      </c>
      <c r="H120" s="45" t="s">
        <v>532</v>
      </c>
      <c r="I120" s="949" t="s">
        <v>22</v>
      </c>
      <c r="J120" s="949" t="s">
        <v>129</v>
      </c>
      <c r="K120" s="949" t="s">
        <v>129</v>
      </c>
      <c r="L120" s="949" t="s">
        <v>22</v>
      </c>
      <c r="M120" s="949" t="s">
        <v>129</v>
      </c>
      <c r="N120" s="950">
        <v>1</v>
      </c>
      <c r="O120" s="47">
        <v>38658</v>
      </c>
      <c r="P120" s="47">
        <v>39813</v>
      </c>
      <c r="Q120" s="951">
        <v>2008</v>
      </c>
      <c r="R120" s="952">
        <v>461500</v>
      </c>
      <c r="S120" s="953">
        <v>2904906735</v>
      </c>
      <c r="T120" s="49" t="s">
        <v>151</v>
      </c>
      <c r="U120" s="947" t="s">
        <v>140</v>
      </c>
      <c r="V120" s="955" t="s">
        <v>140</v>
      </c>
      <c r="W120" s="1047">
        <v>1</v>
      </c>
      <c r="X120" s="952">
        <v>2904906735</v>
      </c>
      <c r="Y120" s="954">
        <v>6294.4891332611051</v>
      </c>
      <c r="Z120" s="954">
        <v>6294.4891332611051</v>
      </c>
      <c r="AA120" s="949" t="s">
        <v>245</v>
      </c>
      <c r="AB120" s="1538"/>
      <c r="AC120" s="956"/>
    </row>
    <row r="121" spans="1:29" s="58" customFormat="1" ht="111" customHeight="1">
      <c r="A121" s="1550"/>
      <c r="B121" s="947" t="s">
        <v>526</v>
      </c>
      <c r="C121" s="948">
        <v>26</v>
      </c>
      <c r="D121" s="21" t="str">
        <f>+IFERROR(INDEX(DESEMPATE!$D$3:$D$83,MATCH('EXP ESPECIFICA '!B121,DESEMPATE!$C$3:$C$83,0)),"")</f>
        <v>JOYCO S.A.S.</v>
      </c>
      <c r="E121" s="970" t="s">
        <v>533</v>
      </c>
      <c r="F121" s="970" t="s">
        <v>148</v>
      </c>
      <c r="G121" s="970" t="s">
        <v>768</v>
      </c>
      <c r="H121" s="23" t="s">
        <v>769</v>
      </c>
      <c r="I121" s="949" t="s">
        <v>22</v>
      </c>
      <c r="J121" s="949" t="s">
        <v>129</v>
      </c>
      <c r="K121" s="949" t="s">
        <v>129</v>
      </c>
      <c r="L121" s="949" t="s">
        <v>22</v>
      </c>
      <c r="M121" s="949" t="s">
        <v>129</v>
      </c>
      <c r="N121" s="975">
        <v>0.5</v>
      </c>
      <c r="O121" s="47">
        <v>39778</v>
      </c>
      <c r="P121" s="47">
        <v>41496</v>
      </c>
      <c r="Q121" s="951">
        <v>2013</v>
      </c>
      <c r="R121" s="952">
        <v>589500</v>
      </c>
      <c r="S121" s="953">
        <v>5413567912</v>
      </c>
      <c r="T121" s="49" t="s">
        <v>151</v>
      </c>
      <c r="U121" s="947" t="s">
        <v>140</v>
      </c>
      <c r="V121" s="955" t="s">
        <v>140</v>
      </c>
      <c r="W121" s="1047">
        <v>1</v>
      </c>
      <c r="X121" s="952">
        <v>5413567912</v>
      </c>
      <c r="Y121" s="954">
        <v>9183.321309584393</v>
      </c>
      <c r="Z121" s="954">
        <v>4591.6606547921965</v>
      </c>
      <c r="AA121" s="949" t="s">
        <v>245</v>
      </c>
      <c r="AB121" s="1538"/>
      <c r="AC121" s="976"/>
    </row>
    <row r="122" spans="1:29" s="58" customFormat="1" ht="65.099999999999994" customHeight="1" thickBot="1">
      <c r="A122" s="1551"/>
      <c r="B122" s="947" t="s">
        <v>536</v>
      </c>
      <c r="C122" s="948">
        <v>41</v>
      </c>
      <c r="D122" s="101" t="str">
        <f>+IFERROR(INDEX(DESEMPATE!$D$3:$D$83,MATCH('EXP ESPECIFICA '!B122,DESEMPATE!$C$3:$C$83,0)),"")</f>
        <v>SAITEC S.A. SUCURSAL EN COLOMBIA</v>
      </c>
      <c r="E122" s="44" t="s">
        <v>770</v>
      </c>
      <c r="F122" s="44" t="s">
        <v>139</v>
      </c>
      <c r="G122" s="44"/>
      <c r="H122" s="45" t="s">
        <v>771</v>
      </c>
      <c r="I122" s="949" t="s">
        <v>22</v>
      </c>
      <c r="J122" s="949" t="s">
        <v>22</v>
      </c>
      <c r="K122" s="949" t="s">
        <v>129</v>
      </c>
      <c r="L122" s="949" t="s">
        <v>22</v>
      </c>
      <c r="M122" s="949" t="s">
        <v>129</v>
      </c>
      <c r="N122" s="977">
        <v>1</v>
      </c>
      <c r="O122" s="978">
        <v>38701</v>
      </c>
      <c r="P122" s="979">
        <v>40085</v>
      </c>
      <c r="Q122" s="951">
        <v>2009</v>
      </c>
      <c r="R122" s="944">
        <v>496900</v>
      </c>
      <c r="S122" s="980">
        <v>1020058.28</v>
      </c>
      <c r="T122" s="49" t="s">
        <v>142</v>
      </c>
      <c r="U122" s="981">
        <v>1.46326</v>
      </c>
      <c r="V122" s="49">
        <v>1492610.4787928001</v>
      </c>
      <c r="W122" s="1050">
        <v>1921.64</v>
      </c>
      <c r="X122" s="952">
        <v>2868260000.4673967</v>
      </c>
      <c r="Y122" s="954">
        <v>5772.3083124721206</v>
      </c>
      <c r="Z122" s="954">
        <v>5772.3083124721206</v>
      </c>
      <c r="AA122" s="1408" t="s">
        <v>245</v>
      </c>
      <c r="AB122" s="1539"/>
      <c r="AC122" s="956"/>
    </row>
    <row r="123" spans="1:29" s="58" customFormat="1" ht="65.099999999999994" customHeight="1">
      <c r="A123" s="1549" t="s">
        <v>54</v>
      </c>
      <c r="B123" s="957" t="s">
        <v>540</v>
      </c>
      <c r="C123" s="958">
        <v>1</v>
      </c>
      <c r="D123" s="70" t="str">
        <f>+IFERROR(INDEX(DESEMPATE!$D$3:$D$83,MATCH('EXP ESPECIFICA '!B123,DESEMPATE!$C$3:$C$83,0)),"")</f>
        <v>GPO COLOMBIA S.A.S.</v>
      </c>
      <c r="E123" s="627" t="s">
        <v>214</v>
      </c>
      <c r="F123" s="627" t="s">
        <v>139</v>
      </c>
      <c r="G123" s="627"/>
      <c r="H123" s="628" t="s">
        <v>542</v>
      </c>
      <c r="I123" s="959" t="s">
        <v>22</v>
      </c>
      <c r="J123" s="959" t="s">
        <v>22</v>
      </c>
      <c r="K123" s="959" t="s">
        <v>129</v>
      </c>
      <c r="L123" s="959" t="s">
        <v>22</v>
      </c>
      <c r="M123" s="959" t="s">
        <v>129</v>
      </c>
      <c r="N123" s="960">
        <v>1</v>
      </c>
      <c r="O123" s="630">
        <v>40378</v>
      </c>
      <c r="P123" s="630">
        <v>40578</v>
      </c>
      <c r="Q123" s="961">
        <v>2011</v>
      </c>
      <c r="R123" s="962">
        <v>535600</v>
      </c>
      <c r="S123" s="963">
        <v>3169556.78</v>
      </c>
      <c r="T123" s="632" t="s">
        <v>142</v>
      </c>
      <c r="U123" s="957">
        <v>1.3747400000000001</v>
      </c>
      <c r="V123" s="964">
        <v>4357316.4877372002</v>
      </c>
      <c r="W123" s="1048">
        <v>1863.03</v>
      </c>
      <c r="X123" s="965">
        <v>8117811336.1490364</v>
      </c>
      <c r="Y123" s="966">
        <v>15156.481210136364</v>
      </c>
      <c r="Z123" s="966">
        <v>15156.481210136364</v>
      </c>
      <c r="AA123" s="1407" t="s">
        <v>245</v>
      </c>
      <c r="AB123" s="1537">
        <v>900</v>
      </c>
      <c r="AC123" s="967"/>
    </row>
    <row r="124" spans="1:29" s="58" customFormat="1" ht="81.75" customHeight="1">
      <c r="A124" s="1550"/>
      <c r="B124" s="947" t="s">
        <v>544</v>
      </c>
      <c r="C124" s="948">
        <v>12</v>
      </c>
      <c r="D124" s="21" t="str">
        <f>+IFERROR(INDEX(DESEMPATE!$D$3:$D$83,MATCH('EXP ESPECIFICA '!B124,DESEMPATE!$C$3:$C$83,0)),"")</f>
        <v>PROYECTOS CONSTRUCCIONES CIVILES Y VIALES LIMITADA</v>
      </c>
      <c r="E124" s="44" t="s">
        <v>155</v>
      </c>
      <c r="F124" s="44" t="s">
        <v>148</v>
      </c>
      <c r="G124" s="44" t="s">
        <v>546</v>
      </c>
      <c r="H124" s="45" t="s">
        <v>547</v>
      </c>
      <c r="I124" s="949" t="s">
        <v>22</v>
      </c>
      <c r="J124" s="949" t="s">
        <v>129</v>
      </c>
      <c r="K124" s="949" t="s">
        <v>22</v>
      </c>
      <c r="L124" s="949" t="s">
        <v>22</v>
      </c>
      <c r="M124" s="949" t="s">
        <v>129</v>
      </c>
      <c r="N124" s="950">
        <v>0.5</v>
      </c>
      <c r="O124" s="47">
        <v>35076</v>
      </c>
      <c r="P124" s="47">
        <v>35881</v>
      </c>
      <c r="Q124" s="951">
        <v>1998</v>
      </c>
      <c r="R124" s="952">
        <v>203826</v>
      </c>
      <c r="S124" s="953">
        <v>1603996630</v>
      </c>
      <c r="T124" s="49" t="s">
        <v>151</v>
      </c>
      <c r="U124" s="947" t="s">
        <v>140</v>
      </c>
      <c r="V124" s="955" t="s">
        <v>140</v>
      </c>
      <c r="W124" s="1047">
        <v>1</v>
      </c>
      <c r="X124" s="952">
        <v>1603996630</v>
      </c>
      <c r="Y124" s="954">
        <v>7869.4407484815483</v>
      </c>
      <c r="Z124" s="954">
        <v>3934.7203742407742</v>
      </c>
      <c r="AA124" s="949" t="s">
        <v>245</v>
      </c>
      <c r="AB124" s="1538"/>
      <c r="AC124" s="956"/>
    </row>
    <row r="125" spans="1:29" s="58" customFormat="1" ht="65.099999999999994" customHeight="1">
      <c r="A125" s="1550"/>
      <c r="B125" s="947" t="s">
        <v>544</v>
      </c>
      <c r="C125" s="948">
        <v>14</v>
      </c>
      <c r="D125" s="21" t="str">
        <f>+IFERROR(INDEX(DESEMPATE!$D$3:$D$83,MATCH('EXP ESPECIFICA '!B125,DESEMPATE!$C$3:$C$83,0)),"")</f>
        <v>PROYECTOS CONSTRUCCIONES CIVILES Y VIALES LIMITADA</v>
      </c>
      <c r="E125" s="44" t="s">
        <v>155</v>
      </c>
      <c r="F125" s="44" t="s">
        <v>148</v>
      </c>
      <c r="G125" s="44"/>
      <c r="H125" s="45" t="s">
        <v>548</v>
      </c>
      <c r="I125" s="949" t="s">
        <v>22</v>
      </c>
      <c r="J125" s="949" t="s">
        <v>129</v>
      </c>
      <c r="K125" s="949" t="s">
        <v>129</v>
      </c>
      <c r="L125" s="949" t="s">
        <v>22</v>
      </c>
      <c r="M125" s="949" t="s">
        <v>129</v>
      </c>
      <c r="N125" s="950">
        <v>0.75</v>
      </c>
      <c r="O125" s="47">
        <v>37411</v>
      </c>
      <c r="P125" s="47">
        <v>38518</v>
      </c>
      <c r="Q125" s="951">
        <v>2005</v>
      </c>
      <c r="R125" s="952">
        <v>381500</v>
      </c>
      <c r="S125" s="953">
        <v>2982660825.3299999</v>
      </c>
      <c r="T125" s="49" t="s">
        <v>151</v>
      </c>
      <c r="U125" s="947" t="s">
        <v>140</v>
      </c>
      <c r="V125" s="955" t="s">
        <v>140</v>
      </c>
      <c r="W125" s="1047">
        <v>1</v>
      </c>
      <c r="X125" s="952">
        <v>2982660825.3299999</v>
      </c>
      <c r="Y125" s="954">
        <v>7818.2459379554384</v>
      </c>
      <c r="Z125" s="954">
        <v>5863.6844534665788</v>
      </c>
      <c r="AA125" s="949" t="s">
        <v>245</v>
      </c>
      <c r="AB125" s="1538"/>
      <c r="AC125" s="956"/>
    </row>
    <row r="126" spans="1:29" s="58" customFormat="1" ht="117" customHeight="1" thickBot="1">
      <c r="A126" s="1551"/>
      <c r="B126" s="947" t="s">
        <v>549</v>
      </c>
      <c r="C126" s="948">
        <v>16</v>
      </c>
      <c r="D126" s="101" t="str">
        <f>+IFERROR(INDEX(DESEMPATE!$D$3:$D$83,MATCH('EXP ESPECIFICA '!B126,DESEMPATE!$C$3:$C$83,0)),"")</f>
        <v>CAYCO S.A.S.</v>
      </c>
      <c r="E126" s="44" t="s">
        <v>207</v>
      </c>
      <c r="F126" s="44" t="s">
        <v>148</v>
      </c>
      <c r="G126" s="44"/>
      <c r="H126" s="45" t="s">
        <v>551</v>
      </c>
      <c r="I126" s="949" t="s">
        <v>22</v>
      </c>
      <c r="J126" s="949" t="s">
        <v>129</v>
      </c>
      <c r="K126" s="949" t="s">
        <v>129</v>
      </c>
      <c r="L126" s="949" t="s">
        <v>22</v>
      </c>
      <c r="M126" s="949" t="s">
        <v>129</v>
      </c>
      <c r="N126" s="950">
        <v>0.1</v>
      </c>
      <c r="O126" s="47">
        <v>39615</v>
      </c>
      <c r="P126" s="47">
        <v>41152</v>
      </c>
      <c r="Q126" s="951">
        <v>2012</v>
      </c>
      <c r="R126" s="944">
        <v>566700</v>
      </c>
      <c r="S126" s="953">
        <v>19784751256</v>
      </c>
      <c r="T126" s="49" t="s">
        <v>151</v>
      </c>
      <c r="U126" s="947" t="s">
        <v>140</v>
      </c>
      <c r="V126" s="955" t="s">
        <v>140</v>
      </c>
      <c r="W126" s="1047">
        <v>1</v>
      </c>
      <c r="X126" s="952">
        <v>19784751256</v>
      </c>
      <c r="Y126" s="954">
        <v>34912.213262749246</v>
      </c>
      <c r="Z126" s="954">
        <v>3491.2213262749246</v>
      </c>
      <c r="AA126" s="1408" t="s">
        <v>245</v>
      </c>
      <c r="AB126" s="1539"/>
      <c r="AC126" s="1353"/>
    </row>
    <row r="127" spans="1:29" s="58" customFormat="1" ht="65.099999999999994" customHeight="1">
      <c r="A127" s="1549" t="s">
        <v>55</v>
      </c>
      <c r="B127" s="957" t="s">
        <v>552</v>
      </c>
      <c r="C127" s="958">
        <v>55</v>
      </c>
      <c r="D127" s="70" t="str">
        <f>+IFERROR(INDEX(DESEMPATE!$D$3:$D$83,MATCH('EXP ESPECIFICA '!B127,DESEMPATE!$C$3:$C$83,0)),"")</f>
        <v>INGENIERIA Y CONSULTORIA INGECON S.A.S.</v>
      </c>
      <c r="E127" s="627" t="s">
        <v>155</v>
      </c>
      <c r="F127" s="627" t="s">
        <v>148</v>
      </c>
      <c r="G127" s="627" t="s">
        <v>772</v>
      </c>
      <c r="H127" s="628" t="s">
        <v>773</v>
      </c>
      <c r="I127" s="959" t="s">
        <v>22</v>
      </c>
      <c r="J127" s="959" t="s">
        <v>129</v>
      </c>
      <c r="K127" s="959" t="s">
        <v>129</v>
      </c>
      <c r="L127" s="959" t="s">
        <v>22</v>
      </c>
      <c r="M127" s="959" t="s">
        <v>129</v>
      </c>
      <c r="N127" s="960">
        <v>1</v>
      </c>
      <c r="O127" s="630">
        <v>39083</v>
      </c>
      <c r="P127" s="630">
        <v>40147</v>
      </c>
      <c r="Q127" s="961">
        <v>2009</v>
      </c>
      <c r="R127" s="962">
        <v>496900</v>
      </c>
      <c r="S127" s="963">
        <v>2052203069.46</v>
      </c>
      <c r="T127" s="632" t="s">
        <v>151</v>
      </c>
      <c r="U127" s="957" t="s">
        <v>140</v>
      </c>
      <c r="V127" s="964" t="s">
        <v>140</v>
      </c>
      <c r="W127" s="1048">
        <v>1</v>
      </c>
      <c r="X127" s="965">
        <v>2052203069.46</v>
      </c>
      <c r="Y127" s="966">
        <v>4130.0122146508356</v>
      </c>
      <c r="Z127" s="966">
        <v>4130.0122146508356</v>
      </c>
      <c r="AA127" s="1423" t="s">
        <v>245</v>
      </c>
      <c r="AB127" s="1537" t="s">
        <v>774</v>
      </c>
      <c r="AC127" s="967"/>
    </row>
    <row r="128" spans="1:29" s="58" customFormat="1" ht="65.099999999999994" customHeight="1">
      <c r="A128" s="1550"/>
      <c r="B128" s="947" t="s">
        <v>552</v>
      </c>
      <c r="C128" s="948">
        <v>6</v>
      </c>
      <c r="D128" s="21" t="str">
        <f>+IFERROR(INDEX(DESEMPATE!$D$3:$D$83,MATCH('EXP ESPECIFICA '!B128,DESEMPATE!$C$3:$C$83,0)),"")</f>
        <v>INGENIERIA Y CONSULTORIA INGECON S.A.S.</v>
      </c>
      <c r="E128" s="44" t="s">
        <v>207</v>
      </c>
      <c r="F128" s="44" t="s">
        <v>148</v>
      </c>
      <c r="G128" s="44"/>
      <c r="H128" s="45" t="s">
        <v>775</v>
      </c>
      <c r="I128" s="949" t="s">
        <v>22</v>
      </c>
      <c r="J128" s="949" t="s">
        <v>22</v>
      </c>
      <c r="K128" s="949" t="s">
        <v>22</v>
      </c>
      <c r="L128" s="949" t="s">
        <v>22</v>
      </c>
      <c r="M128" s="949" t="s">
        <v>129</v>
      </c>
      <c r="N128" s="950">
        <v>0.65</v>
      </c>
      <c r="O128" s="47">
        <v>37839</v>
      </c>
      <c r="P128" s="47">
        <v>38612</v>
      </c>
      <c r="Q128" s="951">
        <v>2005</v>
      </c>
      <c r="R128" s="952">
        <v>381500</v>
      </c>
      <c r="S128" s="953">
        <v>6190975758</v>
      </c>
      <c r="T128" s="49" t="s">
        <v>151</v>
      </c>
      <c r="U128" s="947" t="s">
        <v>140</v>
      </c>
      <c r="V128" s="955" t="s">
        <v>140</v>
      </c>
      <c r="W128" s="1047">
        <v>1</v>
      </c>
      <c r="X128" s="952">
        <v>6190975758</v>
      </c>
      <c r="Y128" s="954">
        <v>16227.983638269987</v>
      </c>
      <c r="Z128" s="954">
        <v>10548.189364875492</v>
      </c>
      <c r="AA128" s="949" t="s">
        <v>245</v>
      </c>
      <c r="AB128" s="1538"/>
      <c r="AC128" s="982"/>
    </row>
    <row r="129" spans="1:29" s="58" customFormat="1" ht="126.75" customHeight="1">
      <c r="A129" s="1550"/>
      <c r="B129" s="947" t="s">
        <v>560</v>
      </c>
      <c r="C129" s="948">
        <v>79</v>
      </c>
      <c r="D129" s="21" t="str">
        <f>+IFERROR(INDEX(DESEMPATE!$D$3:$D$83,MATCH('EXP ESPECIFICA '!B129,DESEMPATE!$C$3:$C$83,0)),"")</f>
        <v>CONSULTORIA INTEGRAL EN INGENIERIA S.A. DE CV</v>
      </c>
      <c r="E129" s="44" t="s">
        <v>776</v>
      </c>
      <c r="F129" s="44" t="s">
        <v>523</v>
      </c>
      <c r="G129" s="44"/>
      <c r="H129" s="45" t="s">
        <v>777</v>
      </c>
      <c r="I129" s="949" t="s">
        <v>22</v>
      </c>
      <c r="J129" s="949" t="s">
        <v>22</v>
      </c>
      <c r="K129" s="949" t="s">
        <v>129</v>
      </c>
      <c r="L129" s="949" t="s">
        <v>22</v>
      </c>
      <c r="M129" s="949" t="s">
        <v>129</v>
      </c>
      <c r="N129" s="950">
        <v>0.4</v>
      </c>
      <c r="O129" s="47">
        <v>38693</v>
      </c>
      <c r="P129" s="47">
        <v>39300</v>
      </c>
      <c r="Q129" s="951">
        <v>2007</v>
      </c>
      <c r="R129" s="952">
        <v>433700</v>
      </c>
      <c r="S129" s="953">
        <v>22616744.609999999</v>
      </c>
      <c r="T129" s="49" t="s">
        <v>525</v>
      </c>
      <c r="U129" s="947">
        <v>9.0719999999999995E-2</v>
      </c>
      <c r="V129" s="955">
        <v>2051791.0710191999</v>
      </c>
      <c r="W129" s="1047">
        <v>1963.69</v>
      </c>
      <c r="X129" s="952">
        <v>4029081608.2496929</v>
      </c>
      <c r="Y129" s="954">
        <v>9290.0198483968015</v>
      </c>
      <c r="Z129" s="954">
        <v>3716.0079393587207</v>
      </c>
      <c r="AA129" s="949" t="s">
        <v>245</v>
      </c>
      <c r="AB129" s="1538"/>
      <c r="AC129" s="956"/>
    </row>
    <row r="130" spans="1:29" s="58" customFormat="1" ht="65.099999999999994" customHeight="1" thickBot="1">
      <c r="A130" s="1551"/>
      <c r="B130" s="983" t="s">
        <v>564</v>
      </c>
      <c r="C130" s="984">
        <v>168</v>
      </c>
      <c r="D130" s="101" t="str">
        <f>+IFERROR(INDEX(DESEMPATE!$D$3:$D$83,MATCH('EXP ESPECIFICA '!B130,DESEMPATE!$C$3:$C$83,0)),"")</f>
        <v>EGIS COLOMBIA S.A.S.</v>
      </c>
      <c r="E130" s="366" t="s">
        <v>566</v>
      </c>
      <c r="F130" s="366" t="s">
        <v>567</v>
      </c>
      <c r="G130" s="366"/>
      <c r="H130" s="367" t="s">
        <v>568</v>
      </c>
      <c r="I130" s="985" t="s">
        <v>22</v>
      </c>
      <c r="J130" s="985" t="s">
        <v>129</v>
      </c>
      <c r="K130" s="985" t="s">
        <v>129</v>
      </c>
      <c r="L130" s="985" t="s">
        <v>22</v>
      </c>
      <c r="M130" s="985" t="s">
        <v>129</v>
      </c>
      <c r="N130" s="368">
        <v>1</v>
      </c>
      <c r="O130" s="576">
        <v>39539</v>
      </c>
      <c r="P130" s="576">
        <v>41061</v>
      </c>
      <c r="Q130" s="986">
        <v>2012</v>
      </c>
      <c r="R130" s="987">
        <v>566700</v>
      </c>
      <c r="S130" s="988">
        <v>12427664</v>
      </c>
      <c r="T130" s="371" t="s">
        <v>142</v>
      </c>
      <c r="U130" s="983">
        <v>1.2543</v>
      </c>
      <c r="V130" s="989">
        <v>15588018.9552</v>
      </c>
      <c r="W130" s="1051">
        <v>1792.63</v>
      </c>
      <c r="X130" s="990">
        <v>27943550419.660175</v>
      </c>
      <c r="Y130" s="991">
        <v>49309.247255444105</v>
      </c>
      <c r="Z130" s="991">
        <v>49309.247255444105</v>
      </c>
      <c r="AA130" s="1424" t="s">
        <v>245</v>
      </c>
      <c r="AB130" s="1539"/>
      <c r="AC130" s="124"/>
    </row>
    <row r="131" spans="1:29" s="58" customFormat="1" ht="65.099999999999994" customHeight="1">
      <c r="A131" s="1509" t="s">
        <v>57</v>
      </c>
      <c r="B131" s="50" t="s">
        <v>569</v>
      </c>
      <c r="C131" s="785">
        <v>6</v>
      </c>
      <c r="D131" s="51" t="s">
        <v>571</v>
      </c>
      <c r="E131" s="52" t="s">
        <v>281</v>
      </c>
      <c r="F131" s="52" t="s">
        <v>148</v>
      </c>
      <c r="G131" s="84" t="s">
        <v>778</v>
      </c>
      <c r="H131" s="85" t="s">
        <v>779</v>
      </c>
      <c r="I131" s="1393" t="s">
        <v>22</v>
      </c>
      <c r="J131" s="1393" t="s">
        <v>22</v>
      </c>
      <c r="K131" s="1393" t="s">
        <v>22</v>
      </c>
      <c r="L131" s="1393" t="s">
        <v>22</v>
      </c>
      <c r="M131" s="1393" t="s">
        <v>129</v>
      </c>
      <c r="N131" s="86">
        <v>0.5</v>
      </c>
      <c r="O131" s="87">
        <v>36333</v>
      </c>
      <c r="P131" s="87">
        <v>38915</v>
      </c>
      <c r="Q131" s="88">
        <v>2006</v>
      </c>
      <c r="R131" s="298">
        <v>408000</v>
      </c>
      <c r="S131" s="1026">
        <v>19941780178.779999</v>
      </c>
      <c r="T131" s="91" t="s">
        <v>151</v>
      </c>
      <c r="U131" s="81" t="s">
        <v>140</v>
      </c>
      <c r="V131" s="92" t="s">
        <v>140</v>
      </c>
      <c r="W131" s="1042">
        <v>1</v>
      </c>
      <c r="X131" s="89">
        <v>19941780178.779999</v>
      </c>
      <c r="Y131" s="16">
        <v>48876.912202892156</v>
      </c>
      <c r="Z131" s="1362">
        <v>24438.456101446078</v>
      </c>
      <c r="AA131" s="1425" t="s">
        <v>245</v>
      </c>
      <c r="AB131" s="1484">
        <v>900</v>
      </c>
      <c r="AC131" s="1363"/>
    </row>
    <row r="132" spans="1:29" s="58" customFormat="1" ht="111" customHeight="1">
      <c r="A132" s="1510"/>
      <c r="B132" s="687" t="s">
        <v>579</v>
      </c>
      <c r="C132" s="910">
        <v>14</v>
      </c>
      <c r="D132" s="489" t="s">
        <v>571</v>
      </c>
      <c r="E132" s="716" t="s">
        <v>281</v>
      </c>
      <c r="F132" s="716" t="s">
        <v>148</v>
      </c>
      <c r="G132" s="22" t="s">
        <v>780</v>
      </c>
      <c r="H132" s="22" t="s">
        <v>781</v>
      </c>
      <c r="I132" s="1388" t="s">
        <v>22</v>
      </c>
      <c r="J132" s="1388" t="s">
        <v>22</v>
      </c>
      <c r="K132" s="1388" t="s">
        <v>22</v>
      </c>
      <c r="L132" s="1388" t="s">
        <v>22</v>
      </c>
      <c r="M132" s="1388" t="s">
        <v>129</v>
      </c>
      <c r="N132" s="34">
        <v>0.5</v>
      </c>
      <c r="O132" s="25">
        <v>38916</v>
      </c>
      <c r="P132" s="25">
        <v>40267</v>
      </c>
      <c r="Q132" s="26">
        <v>2010</v>
      </c>
      <c r="R132" s="27">
        <v>515000</v>
      </c>
      <c r="S132" s="1027">
        <v>7564702533</v>
      </c>
      <c r="T132" s="27" t="s">
        <v>151</v>
      </c>
      <c r="U132" s="19" t="s">
        <v>140</v>
      </c>
      <c r="V132" s="30" t="s">
        <v>140</v>
      </c>
      <c r="W132" s="1039">
        <v>1</v>
      </c>
      <c r="X132" s="27">
        <v>7564702533</v>
      </c>
      <c r="Y132" s="16">
        <v>14688.742782524272</v>
      </c>
      <c r="Z132" s="16">
        <v>7344.3713912621361</v>
      </c>
      <c r="AA132" s="1420" t="s">
        <v>245</v>
      </c>
      <c r="AB132" s="1485"/>
      <c r="AC132" s="1363"/>
    </row>
    <row r="133" spans="1:29" s="58" customFormat="1" ht="65.099999999999994" customHeight="1">
      <c r="A133" s="1510"/>
      <c r="B133" s="687" t="s">
        <v>782</v>
      </c>
      <c r="C133" s="910">
        <v>18</v>
      </c>
      <c r="D133" s="489" t="s">
        <v>571</v>
      </c>
      <c r="E133" s="716" t="s">
        <v>147</v>
      </c>
      <c r="F133" s="716" t="s">
        <v>148</v>
      </c>
      <c r="G133" s="22" t="s">
        <v>783</v>
      </c>
      <c r="H133" s="23" t="s">
        <v>784</v>
      </c>
      <c r="I133" s="1388" t="s">
        <v>22</v>
      </c>
      <c r="J133" s="1388" t="s">
        <v>129</v>
      </c>
      <c r="K133" s="1388" t="s">
        <v>22</v>
      </c>
      <c r="L133" s="1388" t="s">
        <v>22</v>
      </c>
      <c r="M133" s="1388" t="s">
        <v>129</v>
      </c>
      <c r="N133" s="24">
        <v>0.3</v>
      </c>
      <c r="O133" s="25">
        <v>39934</v>
      </c>
      <c r="P133" s="25">
        <v>41029</v>
      </c>
      <c r="Q133" s="26">
        <v>2012</v>
      </c>
      <c r="R133" s="27">
        <v>566700</v>
      </c>
      <c r="S133" s="1028">
        <v>9410306932</v>
      </c>
      <c r="T133" s="29" t="s">
        <v>151</v>
      </c>
      <c r="U133" s="19" t="s">
        <v>140</v>
      </c>
      <c r="V133" s="30" t="s">
        <v>140</v>
      </c>
      <c r="W133" s="1039">
        <v>1</v>
      </c>
      <c r="X133" s="27">
        <v>9410306932</v>
      </c>
      <c r="Y133" s="16">
        <v>16605.447206634904</v>
      </c>
      <c r="Z133" s="16">
        <v>4981.6341619904715</v>
      </c>
      <c r="AA133" s="1395" t="s">
        <v>245</v>
      </c>
      <c r="AB133" s="1485"/>
      <c r="AC133" s="1363"/>
    </row>
    <row r="134" spans="1:29" s="1015" customFormat="1" ht="129.75" customHeight="1" thickBot="1">
      <c r="A134" s="1511"/>
      <c r="B134" s="476" t="s">
        <v>785</v>
      </c>
      <c r="C134" s="1075">
        <v>22</v>
      </c>
      <c r="D134" s="493" t="s">
        <v>581</v>
      </c>
      <c r="E134" s="718" t="s">
        <v>207</v>
      </c>
      <c r="F134" s="718" t="s">
        <v>148</v>
      </c>
      <c r="G134" s="102" t="s">
        <v>449</v>
      </c>
      <c r="H134" s="103" t="s">
        <v>587</v>
      </c>
      <c r="I134" s="1392" t="s">
        <v>22</v>
      </c>
      <c r="J134" s="1392" t="s">
        <v>129</v>
      </c>
      <c r="K134" s="1392" t="s">
        <v>129</v>
      </c>
      <c r="L134" s="1392" t="s">
        <v>22</v>
      </c>
      <c r="M134" s="1392" t="s">
        <v>129</v>
      </c>
      <c r="N134" s="104">
        <v>0.4</v>
      </c>
      <c r="O134" s="105">
        <v>40143</v>
      </c>
      <c r="P134" s="105">
        <v>41183</v>
      </c>
      <c r="Q134" s="106">
        <v>2012</v>
      </c>
      <c r="R134" s="328">
        <v>566700</v>
      </c>
      <c r="S134" s="1029">
        <v>4331349652</v>
      </c>
      <c r="T134" s="109" t="s">
        <v>151</v>
      </c>
      <c r="U134" s="99" t="s">
        <v>140</v>
      </c>
      <c r="V134" s="110" t="s">
        <v>140</v>
      </c>
      <c r="W134" s="1045">
        <v>1</v>
      </c>
      <c r="X134" s="107">
        <v>4331349652</v>
      </c>
      <c r="Y134" s="112">
        <v>7643.1086147873657</v>
      </c>
      <c r="Z134" s="112">
        <v>3057.2434459149463</v>
      </c>
      <c r="AA134" s="1403" t="s">
        <v>245</v>
      </c>
      <c r="AB134" s="1486"/>
      <c r="AC134" s="1364"/>
    </row>
    <row r="135" spans="1:29" s="180" customFormat="1" ht="65.099999999999994" customHeight="1">
      <c r="A135" s="1509" t="s">
        <v>58</v>
      </c>
      <c r="B135" s="1307" t="s">
        <v>589</v>
      </c>
      <c r="C135" s="1308">
        <v>5</v>
      </c>
      <c r="D135" s="488" t="s">
        <v>590</v>
      </c>
      <c r="E135" s="1309" t="s">
        <v>214</v>
      </c>
      <c r="F135" s="1309" t="s">
        <v>139</v>
      </c>
      <c r="G135" s="71" t="s">
        <v>326</v>
      </c>
      <c r="H135" s="85" t="s">
        <v>591</v>
      </c>
      <c r="I135" s="1394" t="s">
        <v>22</v>
      </c>
      <c r="J135" s="1394" t="s">
        <v>129</v>
      </c>
      <c r="K135" s="1394" t="s">
        <v>129</v>
      </c>
      <c r="L135" s="1394" t="s">
        <v>22</v>
      </c>
      <c r="M135" s="1394" t="s">
        <v>129</v>
      </c>
      <c r="N135" s="73">
        <v>1</v>
      </c>
      <c r="O135" s="74">
        <v>37201</v>
      </c>
      <c r="P135" s="74">
        <v>38173</v>
      </c>
      <c r="Q135" s="116">
        <v>2004</v>
      </c>
      <c r="R135" s="787">
        <v>358000</v>
      </c>
      <c r="S135" s="1026">
        <v>1561333.21</v>
      </c>
      <c r="T135" s="77" t="s">
        <v>142</v>
      </c>
      <c r="U135" s="81">
        <v>1.2318</v>
      </c>
      <c r="V135" s="297">
        <v>1923250.248078</v>
      </c>
      <c r="W135" s="1052">
        <v>2674.1</v>
      </c>
      <c r="X135" s="159">
        <v>5142963488.3853798</v>
      </c>
      <c r="Y135" s="80">
        <v>14365.819799959161</v>
      </c>
      <c r="Z135" s="80">
        <v>14365.819799959161</v>
      </c>
      <c r="AA135" s="1420" t="s">
        <v>245</v>
      </c>
      <c r="AB135" s="1552" t="s">
        <v>2490</v>
      </c>
      <c r="AC135" s="790"/>
    </row>
    <row r="136" spans="1:29" s="58" customFormat="1" ht="65.099999999999994" customHeight="1">
      <c r="A136" s="1510"/>
      <c r="B136" s="687" t="s">
        <v>589</v>
      </c>
      <c r="C136" s="910">
        <v>16</v>
      </c>
      <c r="D136" s="489" t="s">
        <v>590</v>
      </c>
      <c r="E136" s="716" t="s">
        <v>182</v>
      </c>
      <c r="F136" s="716" t="s">
        <v>139</v>
      </c>
      <c r="G136" s="22" t="s">
        <v>326</v>
      </c>
      <c r="H136" s="22" t="s">
        <v>595</v>
      </c>
      <c r="I136" s="1388" t="s">
        <v>22</v>
      </c>
      <c r="J136" s="1388" t="s">
        <v>22</v>
      </c>
      <c r="K136" s="1388" t="s">
        <v>129</v>
      </c>
      <c r="L136" s="1388" t="s">
        <v>22</v>
      </c>
      <c r="M136" s="1388" t="s">
        <v>129</v>
      </c>
      <c r="N136" s="24">
        <v>0.5</v>
      </c>
      <c r="O136" s="25">
        <v>37294</v>
      </c>
      <c r="P136" s="25">
        <v>39120</v>
      </c>
      <c r="Q136" s="26">
        <v>2007</v>
      </c>
      <c r="R136" s="27">
        <v>433700</v>
      </c>
      <c r="S136" s="1027">
        <v>3592883.42</v>
      </c>
      <c r="T136" s="27" t="s">
        <v>142</v>
      </c>
      <c r="U136" s="19">
        <v>1.2939000000000001</v>
      </c>
      <c r="V136" s="30">
        <v>4648831.8571380004</v>
      </c>
      <c r="W136" s="1053">
        <v>2232.37</v>
      </c>
      <c r="X136" s="27">
        <v>10377912772.919157</v>
      </c>
      <c r="Y136" s="16">
        <v>23928.782045006126</v>
      </c>
      <c r="Z136" s="16">
        <v>11964.391022503063</v>
      </c>
      <c r="AA136" s="1395" t="s">
        <v>245</v>
      </c>
      <c r="AB136" s="1506"/>
      <c r="AC136" s="52"/>
    </row>
    <row r="137" spans="1:29" s="58" customFormat="1" ht="65.099999999999994" customHeight="1">
      <c r="A137" s="1510"/>
      <c r="B137" s="687" t="s">
        <v>593</v>
      </c>
      <c r="C137" s="910">
        <v>24</v>
      </c>
      <c r="D137" s="489" t="s">
        <v>594</v>
      </c>
      <c r="E137" s="716" t="s">
        <v>214</v>
      </c>
      <c r="F137" s="716" t="s">
        <v>139</v>
      </c>
      <c r="G137" s="22" t="s">
        <v>326</v>
      </c>
      <c r="H137" s="23" t="s">
        <v>597</v>
      </c>
      <c r="I137" s="1388" t="s">
        <v>22</v>
      </c>
      <c r="J137" s="1388" t="s">
        <v>129</v>
      </c>
      <c r="K137" s="1388" t="s">
        <v>129</v>
      </c>
      <c r="L137" s="1388" t="s">
        <v>22</v>
      </c>
      <c r="M137" s="1388" t="s">
        <v>129</v>
      </c>
      <c r="N137" s="24">
        <v>0.5</v>
      </c>
      <c r="O137" s="25">
        <v>35586</v>
      </c>
      <c r="P137" s="25">
        <v>37053</v>
      </c>
      <c r="Q137" s="26">
        <v>2001</v>
      </c>
      <c r="R137" s="27">
        <v>286000</v>
      </c>
      <c r="S137" s="1028">
        <v>2678981.19</v>
      </c>
      <c r="T137" s="29" t="s">
        <v>142</v>
      </c>
      <c r="U137" s="19">
        <v>0.84975000000000001</v>
      </c>
      <c r="V137" s="30">
        <v>2276464.2662025001</v>
      </c>
      <c r="W137" s="1054">
        <v>2296.31</v>
      </c>
      <c r="X137" s="27">
        <v>5227467659.1234627</v>
      </c>
      <c r="Y137" s="16">
        <v>18277.858947984136</v>
      </c>
      <c r="Z137" s="16">
        <v>9138.9294739920679</v>
      </c>
      <c r="AA137" s="1395" t="s">
        <v>245</v>
      </c>
      <c r="AB137" s="1506"/>
      <c r="AC137" s="52"/>
    </row>
    <row r="138" spans="1:29" s="1015" customFormat="1" ht="97.5" customHeight="1" thickBot="1">
      <c r="A138" s="1511"/>
      <c r="B138" s="476" t="s">
        <v>593</v>
      </c>
      <c r="C138" s="1075">
        <v>31</v>
      </c>
      <c r="D138" s="493" t="s">
        <v>594</v>
      </c>
      <c r="E138" s="718" t="s">
        <v>147</v>
      </c>
      <c r="F138" s="718" t="s">
        <v>148</v>
      </c>
      <c r="G138" s="102" t="s">
        <v>786</v>
      </c>
      <c r="H138" s="103" t="s">
        <v>787</v>
      </c>
      <c r="I138" s="1392" t="s">
        <v>22</v>
      </c>
      <c r="J138" s="1392" t="s">
        <v>129</v>
      </c>
      <c r="K138" s="1392" t="s">
        <v>22</v>
      </c>
      <c r="L138" s="1392" t="s">
        <v>22</v>
      </c>
      <c r="M138" s="1392" t="s">
        <v>129</v>
      </c>
      <c r="N138" s="104">
        <v>0.49</v>
      </c>
      <c r="O138" s="105">
        <v>41901</v>
      </c>
      <c r="P138" s="105">
        <v>42490</v>
      </c>
      <c r="Q138" s="106">
        <v>2016</v>
      </c>
      <c r="R138" s="328">
        <v>689554</v>
      </c>
      <c r="S138" s="1029">
        <v>5527311050</v>
      </c>
      <c r="T138" s="109" t="s">
        <v>151</v>
      </c>
      <c r="U138" s="99" t="s">
        <v>140</v>
      </c>
      <c r="V138" s="110" t="s">
        <v>140</v>
      </c>
      <c r="W138" s="1045">
        <v>1</v>
      </c>
      <c r="X138" s="107">
        <v>5527311050</v>
      </c>
      <c r="Y138" s="112">
        <v>8015.7769369766547</v>
      </c>
      <c r="Z138" s="112">
        <v>3927.7306991185606</v>
      </c>
      <c r="AA138" s="1403" t="s">
        <v>245</v>
      </c>
      <c r="AB138" s="1507"/>
      <c r="AC138" s="800"/>
    </row>
    <row r="139" spans="1:29" s="180" customFormat="1" ht="65.099999999999994" customHeight="1">
      <c r="A139" s="1509" t="s">
        <v>59</v>
      </c>
      <c r="B139" s="1307" t="s">
        <v>599</v>
      </c>
      <c r="C139" s="1308">
        <v>4</v>
      </c>
      <c r="D139" s="488" t="s">
        <v>600</v>
      </c>
      <c r="E139" s="1309" t="s">
        <v>155</v>
      </c>
      <c r="F139" s="1309" t="s">
        <v>148</v>
      </c>
      <c r="G139" s="71" t="s">
        <v>788</v>
      </c>
      <c r="H139" s="679" t="s">
        <v>602</v>
      </c>
      <c r="I139" s="1394" t="s">
        <v>22</v>
      </c>
      <c r="J139" s="1394" t="s">
        <v>129</v>
      </c>
      <c r="K139" s="1394" t="s">
        <v>129</v>
      </c>
      <c r="L139" s="1394" t="s">
        <v>22</v>
      </c>
      <c r="M139" s="1394" t="s">
        <v>129</v>
      </c>
      <c r="N139" s="73">
        <v>1</v>
      </c>
      <c r="O139" s="74">
        <v>38323</v>
      </c>
      <c r="P139" s="74">
        <v>40694</v>
      </c>
      <c r="Q139" s="116">
        <v>2011</v>
      </c>
      <c r="R139" s="787">
        <v>535600</v>
      </c>
      <c r="S139" s="1030">
        <v>8415351165</v>
      </c>
      <c r="T139" s="77" t="s">
        <v>151</v>
      </c>
      <c r="U139" s="68" t="s">
        <v>140</v>
      </c>
      <c r="V139" s="78" t="s">
        <v>140</v>
      </c>
      <c r="W139" s="1041">
        <v>1</v>
      </c>
      <c r="X139" s="75">
        <v>8415351165</v>
      </c>
      <c r="Y139" s="80">
        <v>15712.007402912621</v>
      </c>
      <c r="Z139" s="80">
        <v>15712.007402912621</v>
      </c>
      <c r="AA139" s="1394" t="s">
        <v>245</v>
      </c>
      <c r="AB139" s="1505">
        <v>900</v>
      </c>
      <c r="AC139" s="790"/>
    </row>
    <row r="140" spans="1:29" s="58" customFormat="1" ht="65.099999999999994" customHeight="1">
      <c r="A140" s="1510"/>
      <c r="B140" s="687" t="s">
        <v>599</v>
      </c>
      <c r="C140" s="910">
        <v>11</v>
      </c>
      <c r="D140" s="489" t="s">
        <v>600</v>
      </c>
      <c r="E140" s="716" t="s">
        <v>155</v>
      </c>
      <c r="F140" s="716" t="s">
        <v>148</v>
      </c>
      <c r="G140" s="22" t="s">
        <v>604</v>
      </c>
      <c r="H140" s="658" t="s">
        <v>605</v>
      </c>
      <c r="I140" s="1388" t="s">
        <v>22</v>
      </c>
      <c r="J140" s="1388" t="s">
        <v>129</v>
      </c>
      <c r="K140" s="1388" t="s">
        <v>129</v>
      </c>
      <c r="L140" s="1388" t="s">
        <v>22</v>
      </c>
      <c r="M140" s="1388" t="s">
        <v>129</v>
      </c>
      <c r="N140" s="34">
        <v>0.5</v>
      </c>
      <c r="O140" s="25">
        <v>36312</v>
      </c>
      <c r="P140" s="25">
        <v>37833</v>
      </c>
      <c r="Q140" s="26">
        <v>2003</v>
      </c>
      <c r="R140" s="27">
        <v>332000</v>
      </c>
      <c r="S140" s="1028">
        <v>5331439397</v>
      </c>
      <c r="T140" s="29" t="s">
        <v>151</v>
      </c>
      <c r="U140" s="19" t="s">
        <v>140</v>
      </c>
      <c r="V140" s="30" t="s">
        <v>140</v>
      </c>
      <c r="W140" s="1039">
        <v>1</v>
      </c>
      <c r="X140" s="27">
        <v>5331439397</v>
      </c>
      <c r="Y140" s="16">
        <v>16058.55240060241</v>
      </c>
      <c r="Z140" s="16">
        <v>8029.2762003012049</v>
      </c>
      <c r="AA140" s="1388" t="s">
        <v>245</v>
      </c>
      <c r="AB140" s="1506"/>
      <c r="AC140" s="52"/>
    </row>
    <row r="141" spans="1:29" s="58" customFormat="1" ht="65.099999999999994" customHeight="1">
      <c r="A141" s="1510"/>
      <c r="B141" s="687" t="s">
        <v>599</v>
      </c>
      <c r="C141" s="910">
        <v>13</v>
      </c>
      <c r="D141" s="489" t="s">
        <v>600</v>
      </c>
      <c r="E141" s="716" t="s">
        <v>281</v>
      </c>
      <c r="F141" s="716" t="s">
        <v>148</v>
      </c>
      <c r="G141" s="22" t="s">
        <v>789</v>
      </c>
      <c r="H141" s="658" t="s">
        <v>790</v>
      </c>
      <c r="I141" s="1388" t="s">
        <v>22</v>
      </c>
      <c r="J141" s="1388" t="s">
        <v>129</v>
      </c>
      <c r="K141" s="1388" t="s">
        <v>22</v>
      </c>
      <c r="L141" s="1388" t="s">
        <v>22</v>
      </c>
      <c r="M141" s="1388" t="s">
        <v>129</v>
      </c>
      <c r="N141" s="24">
        <v>1</v>
      </c>
      <c r="O141" s="25">
        <v>37204</v>
      </c>
      <c r="P141" s="25">
        <v>38299</v>
      </c>
      <c r="Q141" s="26">
        <v>2004</v>
      </c>
      <c r="R141" s="27">
        <v>358000</v>
      </c>
      <c r="S141" s="1028">
        <v>1278307085</v>
      </c>
      <c r="T141" s="29" t="s">
        <v>151</v>
      </c>
      <c r="U141" s="19" t="s">
        <v>140</v>
      </c>
      <c r="V141" s="30" t="s">
        <v>140</v>
      </c>
      <c r="W141" s="1039">
        <v>1</v>
      </c>
      <c r="X141" s="27">
        <v>1278307085</v>
      </c>
      <c r="Y141" s="16">
        <v>3570.6901815642459</v>
      </c>
      <c r="Z141" s="16">
        <v>3570.6901815642459</v>
      </c>
      <c r="AA141" s="1388" t="s">
        <v>245</v>
      </c>
      <c r="AB141" s="1506"/>
      <c r="AC141" s="52"/>
    </row>
    <row r="142" spans="1:29" s="1015" customFormat="1" ht="42.75" customHeight="1" thickBot="1">
      <c r="A142" s="1511"/>
      <c r="B142" s="476" t="s">
        <v>599</v>
      </c>
      <c r="C142" s="1075">
        <v>19</v>
      </c>
      <c r="D142" s="493" t="s">
        <v>600</v>
      </c>
      <c r="E142" s="718" t="s">
        <v>791</v>
      </c>
      <c r="F142" s="718" t="s">
        <v>148</v>
      </c>
      <c r="G142" s="102">
        <v>21422013</v>
      </c>
      <c r="H142" s="668" t="s">
        <v>792</v>
      </c>
      <c r="I142" s="1392" t="s">
        <v>22</v>
      </c>
      <c r="J142" s="1392" t="s">
        <v>22</v>
      </c>
      <c r="K142" s="1392" t="s">
        <v>129</v>
      </c>
      <c r="L142" s="1392" t="s">
        <v>22</v>
      </c>
      <c r="M142" s="1392" t="s">
        <v>129</v>
      </c>
      <c r="N142" s="104">
        <v>1</v>
      </c>
      <c r="O142" s="105">
        <v>41617</v>
      </c>
      <c r="P142" s="105">
        <v>42356</v>
      </c>
      <c r="Q142" s="106">
        <v>2015</v>
      </c>
      <c r="R142" s="107">
        <v>644350</v>
      </c>
      <c r="S142" s="1029">
        <v>7438642463.46</v>
      </c>
      <c r="T142" s="109" t="s">
        <v>151</v>
      </c>
      <c r="U142" s="99" t="s">
        <v>140</v>
      </c>
      <c r="V142" s="110" t="s">
        <v>140</v>
      </c>
      <c r="W142" s="1045">
        <v>1</v>
      </c>
      <c r="X142" s="107">
        <v>7438642463.46</v>
      </c>
      <c r="Y142" s="112">
        <v>11544.412917606891</v>
      </c>
      <c r="Z142" s="112">
        <v>11544.412917606891</v>
      </c>
      <c r="AA142" s="1392" t="s">
        <v>245</v>
      </c>
      <c r="AB142" s="1507"/>
      <c r="AC142" s="800"/>
    </row>
    <row r="143" spans="1:29" s="180" customFormat="1" ht="65.099999999999994" customHeight="1">
      <c r="A143" s="1509" t="s">
        <v>61</v>
      </c>
      <c r="B143" s="1307" t="s">
        <v>626</v>
      </c>
      <c r="C143" s="1308">
        <v>14</v>
      </c>
      <c r="D143" s="488" t="s">
        <v>627</v>
      </c>
      <c r="E143" s="1309" t="s">
        <v>793</v>
      </c>
      <c r="F143" s="1309" t="s">
        <v>139</v>
      </c>
      <c r="G143" s="633" t="s">
        <v>326</v>
      </c>
      <c r="H143" s="269" t="s">
        <v>629</v>
      </c>
      <c r="I143" s="1394" t="s">
        <v>22</v>
      </c>
      <c r="J143" s="1394" t="s">
        <v>22</v>
      </c>
      <c r="K143" s="1394" t="s">
        <v>129</v>
      </c>
      <c r="L143" s="1394" t="s">
        <v>22</v>
      </c>
      <c r="M143" s="1394" t="s">
        <v>129</v>
      </c>
      <c r="N143" s="73">
        <v>1</v>
      </c>
      <c r="O143" s="1032">
        <v>38549</v>
      </c>
      <c r="P143" s="1033">
        <v>39287</v>
      </c>
      <c r="Q143" s="1390">
        <v>2007</v>
      </c>
      <c r="R143" s="787">
        <v>433700</v>
      </c>
      <c r="S143" s="1034">
        <v>1153657.47</v>
      </c>
      <c r="T143" s="1035" t="s">
        <v>142</v>
      </c>
      <c r="U143" s="1036">
        <v>1.3821699999999999</v>
      </c>
      <c r="V143" s="889">
        <v>1594550.7453098998</v>
      </c>
      <c r="W143" s="1055">
        <v>1912.9</v>
      </c>
      <c r="X143" s="787">
        <v>3050216120.7033076</v>
      </c>
      <c r="Y143" s="80">
        <v>7033.0092707016547</v>
      </c>
      <c r="Z143" s="80">
        <v>7033.0092707016547</v>
      </c>
      <c r="AA143" s="1394" t="s">
        <v>245</v>
      </c>
      <c r="AB143" s="1505">
        <v>900</v>
      </c>
      <c r="AC143" s="790"/>
    </row>
    <row r="144" spans="1:29" s="58" customFormat="1" ht="65.099999999999994" customHeight="1">
      <c r="A144" s="1510"/>
      <c r="B144" s="687" t="s">
        <v>614</v>
      </c>
      <c r="C144" s="910">
        <v>4</v>
      </c>
      <c r="D144" s="489" t="s">
        <v>615</v>
      </c>
      <c r="E144" s="716" t="s">
        <v>155</v>
      </c>
      <c r="F144" s="716" t="s">
        <v>148</v>
      </c>
      <c r="G144" s="22" t="s">
        <v>616</v>
      </c>
      <c r="H144" s="23" t="s">
        <v>617</v>
      </c>
      <c r="I144" s="1388" t="s">
        <v>22</v>
      </c>
      <c r="J144" s="1388" t="s">
        <v>129</v>
      </c>
      <c r="K144" s="1388" t="s">
        <v>129</v>
      </c>
      <c r="L144" s="1388" t="s">
        <v>22</v>
      </c>
      <c r="M144" s="1388" t="s">
        <v>129</v>
      </c>
      <c r="N144" s="24">
        <v>0.2</v>
      </c>
      <c r="O144" s="25">
        <v>40079</v>
      </c>
      <c r="P144" s="25">
        <v>42094</v>
      </c>
      <c r="Q144" s="26">
        <v>2015</v>
      </c>
      <c r="R144" s="27">
        <v>644350</v>
      </c>
      <c r="S144" s="1028">
        <v>14008976863</v>
      </c>
      <c r="T144" s="29" t="s">
        <v>151</v>
      </c>
      <c r="U144" s="19" t="s">
        <v>140</v>
      </c>
      <c r="V144" s="30" t="s">
        <v>140</v>
      </c>
      <c r="W144" s="1039">
        <v>1</v>
      </c>
      <c r="X144" s="27">
        <v>14008976863</v>
      </c>
      <c r="Y144" s="16">
        <v>21741.253764258556</v>
      </c>
      <c r="Z144" s="16">
        <v>4348.2507528517117</v>
      </c>
      <c r="AA144" s="1388" t="s">
        <v>245</v>
      </c>
      <c r="AB144" s="1506"/>
      <c r="AC144" s="52"/>
    </row>
    <row r="145" spans="1:29" s="58" customFormat="1" ht="89.25" customHeight="1">
      <c r="A145" s="1510"/>
      <c r="B145" s="687" t="s">
        <v>614</v>
      </c>
      <c r="C145" s="910">
        <v>8</v>
      </c>
      <c r="D145" s="489" t="s">
        <v>615</v>
      </c>
      <c r="E145" s="716" t="s">
        <v>207</v>
      </c>
      <c r="F145" s="716" t="s">
        <v>148</v>
      </c>
      <c r="G145" s="22" t="s">
        <v>619</v>
      </c>
      <c r="H145" s="23" t="s">
        <v>620</v>
      </c>
      <c r="I145" s="1388" t="s">
        <v>22</v>
      </c>
      <c r="J145" s="1388" t="s">
        <v>129</v>
      </c>
      <c r="K145" s="1388" t="s">
        <v>129</v>
      </c>
      <c r="L145" s="1388" t="s">
        <v>22</v>
      </c>
      <c r="M145" s="1388" t="s">
        <v>129</v>
      </c>
      <c r="N145" s="24">
        <v>1</v>
      </c>
      <c r="O145" s="25">
        <v>35177</v>
      </c>
      <c r="P145" s="25">
        <v>35563</v>
      </c>
      <c r="Q145" s="26">
        <v>1997</v>
      </c>
      <c r="R145" s="27">
        <v>172005</v>
      </c>
      <c r="S145" s="1028">
        <v>384734738</v>
      </c>
      <c r="T145" s="29" t="s">
        <v>151</v>
      </c>
      <c r="U145" s="19" t="s">
        <v>326</v>
      </c>
      <c r="V145" s="30" t="s">
        <v>140</v>
      </c>
      <c r="W145" s="1039">
        <v>1</v>
      </c>
      <c r="X145" s="27">
        <v>384734738</v>
      </c>
      <c r="Y145" s="16">
        <v>2236.7648498590156</v>
      </c>
      <c r="Z145" s="16">
        <v>2236.7648498590156</v>
      </c>
      <c r="AA145" s="1388" t="s">
        <v>245</v>
      </c>
      <c r="AB145" s="1506"/>
      <c r="AC145" s="52"/>
    </row>
    <row r="146" spans="1:29" s="1015" customFormat="1" ht="65.099999999999994" customHeight="1" thickBot="1">
      <c r="A146" s="1511"/>
      <c r="B146" s="476" t="s">
        <v>614</v>
      </c>
      <c r="C146" s="1075">
        <v>10</v>
      </c>
      <c r="D146" s="493" t="s">
        <v>615</v>
      </c>
      <c r="E146" s="718" t="s">
        <v>794</v>
      </c>
      <c r="F146" s="718" t="s">
        <v>148</v>
      </c>
      <c r="G146" s="191" t="s">
        <v>623</v>
      </c>
      <c r="H146" s="103" t="s">
        <v>624</v>
      </c>
      <c r="I146" s="1392" t="s">
        <v>22</v>
      </c>
      <c r="J146" s="1392" t="s">
        <v>129</v>
      </c>
      <c r="K146" s="1392" t="s">
        <v>22</v>
      </c>
      <c r="L146" s="1392" t="s">
        <v>22</v>
      </c>
      <c r="M146" s="1392" t="s">
        <v>129</v>
      </c>
      <c r="N146" s="104">
        <v>0.25</v>
      </c>
      <c r="O146" s="105">
        <v>39534</v>
      </c>
      <c r="P146" s="105">
        <v>40628</v>
      </c>
      <c r="Q146" s="106">
        <v>2011</v>
      </c>
      <c r="R146" s="107">
        <v>535600</v>
      </c>
      <c r="S146" s="1029">
        <v>3753633746</v>
      </c>
      <c r="T146" s="109" t="s">
        <v>151</v>
      </c>
      <c r="U146" s="99" t="s">
        <v>326</v>
      </c>
      <c r="V146" s="110" t="s">
        <v>140</v>
      </c>
      <c r="W146" s="1045">
        <v>1</v>
      </c>
      <c r="X146" s="107">
        <v>3753633746</v>
      </c>
      <c r="Y146" s="112">
        <v>7008.2780918595963</v>
      </c>
      <c r="Z146" s="112">
        <v>1752.0695229648991</v>
      </c>
      <c r="AA146" s="1392" t="s">
        <v>245</v>
      </c>
      <c r="AB146" s="1507"/>
      <c r="AC146" s="800"/>
    </row>
    <row r="147" spans="1:29" s="180" customFormat="1" ht="84.75" customHeight="1">
      <c r="A147" s="1509" t="s">
        <v>62</v>
      </c>
      <c r="B147" s="1307" t="s">
        <v>631</v>
      </c>
      <c r="C147" s="1308">
        <v>7</v>
      </c>
      <c r="D147" s="488" t="s">
        <v>632</v>
      </c>
      <c r="E147" s="1309" t="s">
        <v>214</v>
      </c>
      <c r="F147" s="1309" t="s">
        <v>139</v>
      </c>
      <c r="G147" s="633" t="s">
        <v>326</v>
      </c>
      <c r="H147" s="269" t="s">
        <v>795</v>
      </c>
      <c r="I147" s="1401" t="s">
        <v>22</v>
      </c>
      <c r="J147" s="1394" t="s">
        <v>22</v>
      </c>
      <c r="K147" s="1394" t="s">
        <v>129</v>
      </c>
      <c r="L147" s="1394" t="s">
        <v>22</v>
      </c>
      <c r="M147" s="1394" t="s">
        <v>129</v>
      </c>
      <c r="N147" s="73">
        <v>0.5</v>
      </c>
      <c r="O147" s="1037">
        <v>37939</v>
      </c>
      <c r="P147" s="1037">
        <v>39339</v>
      </c>
      <c r="Q147" s="1390">
        <v>2007</v>
      </c>
      <c r="R147" s="787">
        <v>433700</v>
      </c>
      <c r="S147" s="1034">
        <v>2523923.36</v>
      </c>
      <c r="T147" s="1035" t="s">
        <v>142</v>
      </c>
      <c r="U147" s="1020">
        <v>1.3893800000000001</v>
      </c>
      <c r="V147" s="889">
        <v>3506688.6379168001</v>
      </c>
      <c r="W147" s="1056">
        <v>2157.75</v>
      </c>
      <c r="X147" s="787">
        <v>7566557408.4649754</v>
      </c>
      <c r="Y147" s="80">
        <v>17446.523883940456</v>
      </c>
      <c r="Z147" s="80">
        <v>8723.2619419702278</v>
      </c>
      <c r="AA147" s="1394" t="s">
        <v>245</v>
      </c>
      <c r="AB147" s="1505">
        <v>900</v>
      </c>
      <c r="AC147" s="790"/>
    </row>
    <row r="148" spans="1:29" s="58" customFormat="1" ht="65.099999999999994" customHeight="1">
      <c r="A148" s="1510"/>
      <c r="B148" s="687" t="s">
        <v>631</v>
      </c>
      <c r="C148" s="910">
        <v>24</v>
      </c>
      <c r="D148" s="489" t="s">
        <v>632</v>
      </c>
      <c r="E148" s="716" t="s">
        <v>633</v>
      </c>
      <c r="F148" s="716" t="s">
        <v>139</v>
      </c>
      <c r="G148" s="22" t="s">
        <v>326</v>
      </c>
      <c r="H148" s="23" t="s">
        <v>634</v>
      </c>
      <c r="I148" s="1388" t="s">
        <v>22</v>
      </c>
      <c r="J148" s="1388" t="s">
        <v>129</v>
      </c>
      <c r="K148" s="1388" t="s">
        <v>129</v>
      </c>
      <c r="L148" s="1388" t="s">
        <v>22</v>
      </c>
      <c r="M148" s="1388" t="s">
        <v>129</v>
      </c>
      <c r="N148" s="24">
        <v>0.23</v>
      </c>
      <c r="O148" s="25">
        <v>35473</v>
      </c>
      <c r="P148" s="25">
        <v>36189</v>
      </c>
      <c r="Q148" s="26">
        <v>1999</v>
      </c>
      <c r="R148" s="27">
        <v>236460</v>
      </c>
      <c r="S148" s="1028">
        <v>7035211.1399999997</v>
      </c>
      <c r="T148" s="29" t="s">
        <v>142</v>
      </c>
      <c r="U148" s="19">
        <v>1.1385000000000001</v>
      </c>
      <c r="V148" s="30">
        <v>8009587.88289</v>
      </c>
      <c r="W148" s="1054">
        <v>1580.72</v>
      </c>
      <c r="X148" s="27">
        <v>12660915758.24188</v>
      </c>
      <c r="Y148" s="16">
        <v>53543.583516205195</v>
      </c>
      <c r="Z148" s="16">
        <v>12315.024208727196</v>
      </c>
      <c r="AA148" s="1388" t="s">
        <v>245</v>
      </c>
      <c r="AB148" s="1506"/>
      <c r="AC148" s="52"/>
    </row>
    <row r="149" spans="1:29" s="58" customFormat="1" ht="65.099999999999994" customHeight="1">
      <c r="A149" s="1510"/>
      <c r="B149" s="687" t="s">
        <v>638</v>
      </c>
      <c r="C149" s="910">
        <v>45</v>
      </c>
      <c r="D149" s="489" t="s">
        <v>639</v>
      </c>
      <c r="E149" s="716" t="s">
        <v>147</v>
      </c>
      <c r="F149" s="716" t="s">
        <v>148</v>
      </c>
      <c r="G149" s="22" t="s">
        <v>640</v>
      </c>
      <c r="H149" s="23" t="s">
        <v>641</v>
      </c>
      <c r="I149" s="1388" t="s">
        <v>22</v>
      </c>
      <c r="J149" s="1388" t="s">
        <v>129</v>
      </c>
      <c r="K149" s="1388" t="s">
        <v>129</v>
      </c>
      <c r="L149" s="1388" t="s">
        <v>22</v>
      </c>
      <c r="M149" s="1388" t="s">
        <v>129</v>
      </c>
      <c r="N149" s="38">
        <v>0.6</v>
      </c>
      <c r="O149" s="25">
        <v>39997</v>
      </c>
      <c r="P149" s="25">
        <v>42388</v>
      </c>
      <c r="Q149" s="26">
        <v>2016</v>
      </c>
      <c r="R149" s="27">
        <v>689554</v>
      </c>
      <c r="S149" s="1028">
        <v>6787423570</v>
      </c>
      <c r="T149" s="29" t="s">
        <v>151</v>
      </c>
      <c r="U149" s="19" t="s">
        <v>140</v>
      </c>
      <c r="V149" s="30" t="s">
        <v>140</v>
      </c>
      <c r="W149" s="1039">
        <v>1</v>
      </c>
      <c r="X149" s="27">
        <v>6787423570</v>
      </c>
      <c r="Y149" s="16">
        <v>9843.2081751392925</v>
      </c>
      <c r="Z149" s="16">
        <v>5905.9249050835751</v>
      </c>
      <c r="AA149" s="1388" t="s">
        <v>245</v>
      </c>
      <c r="AB149" s="1506"/>
      <c r="AC149" s="52"/>
    </row>
    <row r="150" spans="1:29" s="1025" customFormat="1" ht="65.099999999999994" customHeight="1" thickBot="1">
      <c r="A150" s="1511"/>
      <c r="B150" s="1345" t="s">
        <v>638</v>
      </c>
      <c r="C150" s="1346">
        <v>39</v>
      </c>
      <c r="D150" s="1347" t="s">
        <v>639</v>
      </c>
      <c r="E150" s="1348" t="s">
        <v>147</v>
      </c>
      <c r="F150" s="1348" t="s">
        <v>148</v>
      </c>
      <c r="G150" s="22" t="s">
        <v>642</v>
      </c>
      <c r="H150" s="23" t="s">
        <v>643</v>
      </c>
      <c r="I150" s="1388" t="s">
        <v>22</v>
      </c>
      <c r="J150" s="1388" t="s">
        <v>129</v>
      </c>
      <c r="K150" s="1388" t="s">
        <v>22</v>
      </c>
      <c r="L150" s="1388" t="s">
        <v>22</v>
      </c>
      <c r="M150" s="1388" t="s">
        <v>129</v>
      </c>
      <c r="N150" s="39">
        <v>0.45</v>
      </c>
      <c r="O150" s="74">
        <v>40954</v>
      </c>
      <c r="P150" s="74">
        <v>42331</v>
      </c>
      <c r="Q150" s="116">
        <v>2015</v>
      </c>
      <c r="R150" s="75">
        <v>644350</v>
      </c>
      <c r="S150" s="1030">
        <v>6670475572</v>
      </c>
      <c r="T150" s="77" t="s">
        <v>151</v>
      </c>
      <c r="U150" s="68" t="s">
        <v>140</v>
      </c>
      <c r="V150" s="78" t="s">
        <v>140</v>
      </c>
      <c r="W150" s="1045">
        <v>1</v>
      </c>
      <c r="X150" s="75">
        <v>6670475572</v>
      </c>
      <c r="Y150" s="1023">
        <v>10352.255097384961</v>
      </c>
      <c r="Z150" s="1023">
        <v>4658.514793823233</v>
      </c>
      <c r="AA150" s="1024" t="s">
        <v>245</v>
      </c>
      <c r="AB150" s="1507"/>
      <c r="AC150" s="1022"/>
    </row>
    <row r="151" spans="1:29" s="180" customFormat="1" ht="85.5" customHeight="1">
      <c r="A151" s="1509" t="s">
        <v>63</v>
      </c>
      <c r="B151" s="1307" t="s">
        <v>644</v>
      </c>
      <c r="C151" s="1308">
        <v>5</v>
      </c>
      <c r="D151" s="488" t="s">
        <v>645</v>
      </c>
      <c r="E151" s="1309" t="s">
        <v>646</v>
      </c>
      <c r="F151" s="1309" t="s">
        <v>523</v>
      </c>
      <c r="G151" s="84" t="s">
        <v>647</v>
      </c>
      <c r="H151" s="85" t="s">
        <v>648</v>
      </c>
      <c r="I151" s="1393" t="s">
        <v>22</v>
      </c>
      <c r="J151" s="1393" t="s">
        <v>129</v>
      </c>
      <c r="K151" s="1393" t="s">
        <v>129</v>
      </c>
      <c r="L151" s="1393" t="s">
        <v>22</v>
      </c>
      <c r="M151" s="1393" t="s">
        <v>129</v>
      </c>
      <c r="N151" s="86">
        <v>1</v>
      </c>
      <c r="O151" s="87">
        <v>39406</v>
      </c>
      <c r="P151" s="87">
        <v>40954</v>
      </c>
      <c r="Q151" s="1389">
        <v>2012</v>
      </c>
      <c r="R151" s="298">
        <v>566700</v>
      </c>
      <c r="S151" s="1026">
        <v>53898155.810000002</v>
      </c>
      <c r="T151" s="91" t="s">
        <v>525</v>
      </c>
      <c r="U151" s="81">
        <v>7.8399999999999997E-2</v>
      </c>
      <c r="V151" s="92">
        <v>4225615.4155040001</v>
      </c>
      <c r="W151" s="1057">
        <v>1785.24</v>
      </c>
      <c r="X151" s="89">
        <v>7543737664.374361</v>
      </c>
      <c r="Y151" s="80">
        <v>13311.695190355322</v>
      </c>
      <c r="Z151" s="80">
        <v>13311.695190355322</v>
      </c>
      <c r="AA151" s="1394" t="s">
        <v>245</v>
      </c>
      <c r="AB151" s="1540" t="s">
        <v>2490</v>
      </c>
      <c r="AC151" s="790"/>
    </row>
    <row r="152" spans="1:29" s="58" customFormat="1" ht="88.5" customHeight="1">
      <c r="A152" s="1510"/>
      <c r="B152" s="687" t="s">
        <v>658</v>
      </c>
      <c r="C152" s="910">
        <v>10</v>
      </c>
      <c r="D152" s="489" t="s">
        <v>659</v>
      </c>
      <c r="E152" s="716" t="s">
        <v>147</v>
      </c>
      <c r="F152" s="716" t="s">
        <v>148</v>
      </c>
      <c r="G152" s="44" t="s">
        <v>660</v>
      </c>
      <c r="H152" s="45" t="s">
        <v>661</v>
      </c>
      <c r="I152" s="1388" t="s">
        <v>22</v>
      </c>
      <c r="J152" s="1388" t="s">
        <v>129</v>
      </c>
      <c r="K152" s="1388" t="s">
        <v>22</v>
      </c>
      <c r="L152" s="1388" t="s">
        <v>22</v>
      </c>
      <c r="M152" s="1388" t="s">
        <v>129</v>
      </c>
      <c r="N152" s="24">
        <v>0.51</v>
      </c>
      <c r="O152" s="47">
        <v>41907</v>
      </c>
      <c r="P152" s="25">
        <v>42362</v>
      </c>
      <c r="Q152" s="26">
        <v>2015</v>
      </c>
      <c r="R152" s="27">
        <v>644350</v>
      </c>
      <c r="S152" s="1031">
        <v>3102329760</v>
      </c>
      <c r="T152" s="49" t="s">
        <v>151</v>
      </c>
      <c r="U152" s="19" t="s">
        <v>326</v>
      </c>
      <c r="V152" s="30" t="s">
        <v>326</v>
      </c>
      <c r="W152" s="1039">
        <v>1</v>
      </c>
      <c r="X152" s="27">
        <v>3102329760</v>
      </c>
      <c r="Y152" s="16">
        <v>4814.6655699542171</v>
      </c>
      <c r="Z152" s="16">
        <v>2455.4794406766509</v>
      </c>
      <c r="AA152" s="1388" t="s">
        <v>245</v>
      </c>
      <c r="AB152" s="1506"/>
      <c r="AC152" s="52"/>
    </row>
    <row r="153" spans="1:29" s="58" customFormat="1" ht="65.099999999999994" customHeight="1">
      <c r="A153" s="1510"/>
      <c r="B153" s="687" t="s">
        <v>653</v>
      </c>
      <c r="C153" s="910">
        <v>15</v>
      </c>
      <c r="D153" s="489" t="s">
        <v>654</v>
      </c>
      <c r="E153" s="716" t="s">
        <v>207</v>
      </c>
      <c r="F153" s="716" t="s">
        <v>148</v>
      </c>
      <c r="G153" s="22" t="s">
        <v>655</v>
      </c>
      <c r="H153" s="23" t="s">
        <v>656</v>
      </c>
      <c r="I153" s="1388" t="s">
        <v>22</v>
      </c>
      <c r="J153" s="1388" t="s">
        <v>129</v>
      </c>
      <c r="K153" s="1388" t="s">
        <v>129</v>
      </c>
      <c r="L153" s="1388" t="s">
        <v>22</v>
      </c>
      <c r="M153" s="1388" t="s">
        <v>129</v>
      </c>
      <c r="N153" s="24">
        <v>0.8</v>
      </c>
      <c r="O153" s="25">
        <v>39204</v>
      </c>
      <c r="P153" s="25">
        <v>39906</v>
      </c>
      <c r="Q153" s="26">
        <v>2009</v>
      </c>
      <c r="R153" s="27">
        <v>496900</v>
      </c>
      <c r="S153" s="1028">
        <v>1592082109</v>
      </c>
      <c r="T153" s="29" t="s">
        <v>151</v>
      </c>
      <c r="U153" s="19" t="s">
        <v>326</v>
      </c>
      <c r="V153" s="30" t="s">
        <v>326</v>
      </c>
      <c r="W153" s="1039">
        <v>1</v>
      </c>
      <c r="X153" s="27">
        <v>1592082109</v>
      </c>
      <c r="Y153" s="16">
        <v>3204.0291990340111</v>
      </c>
      <c r="Z153" s="16">
        <v>2563.2233592272091</v>
      </c>
      <c r="AA153" s="1388" t="s">
        <v>245</v>
      </c>
      <c r="AB153" s="1506"/>
      <c r="AC153" s="52"/>
    </row>
    <row r="154" spans="1:29" s="1015" customFormat="1" ht="78.75" customHeight="1" thickBot="1">
      <c r="A154" s="1511"/>
      <c r="B154" s="476" t="s">
        <v>644</v>
      </c>
      <c r="C154" s="1075" t="s">
        <v>796</v>
      </c>
      <c r="D154" s="493" t="s">
        <v>645</v>
      </c>
      <c r="E154" s="718" t="s">
        <v>797</v>
      </c>
      <c r="F154" s="718" t="s">
        <v>523</v>
      </c>
      <c r="G154" s="102" t="s">
        <v>798</v>
      </c>
      <c r="H154" s="103" t="s">
        <v>799</v>
      </c>
      <c r="I154" s="1392" t="s">
        <v>22</v>
      </c>
      <c r="J154" s="1392" t="s">
        <v>22</v>
      </c>
      <c r="K154" s="1392" t="s">
        <v>129</v>
      </c>
      <c r="L154" s="1392" t="s">
        <v>22</v>
      </c>
      <c r="M154" s="1392" t="s">
        <v>22</v>
      </c>
      <c r="N154" s="104">
        <v>1</v>
      </c>
      <c r="O154" s="105">
        <v>41877</v>
      </c>
      <c r="P154" s="105">
        <v>42465</v>
      </c>
      <c r="Q154" s="106">
        <v>2016</v>
      </c>
      <c r="R154" s="107">
        <v>689554</v>
      </c>
      <c r="S154" s="1029">
        <v>108674704.34999999</v>
      </c>
      <c r="T154" s="109" t="s">
        <v>525</v>
      </c>
      <c r="U154" s="99">
        <v>5.7529999999999998E-2</v>
      </c>
      <c r="V154" s="110">
        <v>6252055.7412554994</v>
      </c>
      <c r="W154" s="1058">
        <v>3066.94</v>
      </c>
      <c r="X154" s="107">
        <v>19174679835.086143</v>
      </c>
      <c r="Y154" s="112">
        <v>27807.365101335276</v>
      </c>
      <c r="Z154" s="112">
        <v>27807.365101335276</v>
      </c>
      <c r="AA154" s="1392" t="s">
        <v>245</v>
      </c>
      <c r="AB154" s="1507"/>
      <c r="AC154" s="102"/>
    </row>
    <row r="155" spans="1:29" s="180" customFormat="1" ht="65.099999999999994" customHeight="1">
      <c r="A155" s="788"/>
      <c r="B155" s="788"/>
      <c r="C155" s="789"/>
      <c r="D155" s="1009"/>
      <c r="E155" s="790"/>
      <c r="F155" s="790"/>
      <c r="G155" s="790"/>
      <c r="H155" s="790"/>
      <c r="I155" s="790"/>
      <c r="J155" s="790"/>
      <c r="K155" s="790"/>
      <c r="L155" s="790"/>
      <c r="M155" s="790"/>
      <c r="N155" s="1010"/>
      <c r="O155" s="1011"/>
      <c r="P155" s="1011"/>
      <c r="Q155" s="1012"/>
      <c r="R155" s="75"/>
      <c r="S155" s="1013"/>
      <c r="T155" s="1014"/>
      <c r="U155" s="68"/>
      <c r="V155" s="78"/>
      <c r="W155" s="1041"/>
      <c r="X155" s="75"/>
      <c r="Y155" s="80"/>
      <c r="Z155" s="80"/>
      <c r="AA155" s="1394"/>
      <c r="AB155" s="1394"/>
      <c r="AC155" s="790"/>
    </row>
    <row r="156" spans="1:29" s="58" customFormat="1" ht="65.099999999999994" customHeight="1">
      <c r="A156" s="50"/>
      <c r="B156" s="50"/>
      <c r="C156" s="785"/>
      <c r="D156" s="51"/>
      <c r="E156" s="52"/>
      <c r="F156" s="52"/>
      <c r="G156" s="52"/>
      <c r="H156" s="52"/>
      <c r="I156" s="52"/>
      <c r="J156" s="52"/>
      <c r="K156" s="52"/>
      <c r="L156" s="52"/>
      <c r="M156" s="52"/>
      <c r="N156" s="53"/>
      <c r="O156" s="54"/>
      <c r="P156" s="54"/>
      <c r="Q156" s="55"/>
      <c r="R156" s="27"/>
      <c r="S156" s="56"/>
      <c r="T156" s="57"/>
      <c r="U156" s="19"/>
      <c r="V156" s="30"/>
      <c r="W156" s="1039"/>
      <c r="X156" s="27"/>
      <c r="Y156" s="16"/>
      <c r="Z156" s="16"/>
      <c r="AA156" s="1388"/>
      <c r="AB156" s="1388"/>
      <c r="AC156" s="52"/>
    </row>
    <row r="157" spans="1:29" s="58" customFormat="1" ht="65.099999999999994" customHeight="1">
      <c r="A157" s="50"/>
      <c r="B157" s="50"/>
      <c r="C157" s="785"/>
      <c r="D157" s="51"/>
      <c r="E157" s="52"/>
      <c r="F157" s="52"/>
      <c r="G157" s="52"/>
      <c r="H157" s="52"/>
      <c r="I157" s="52"/>
      <c r="J157" s="52"/>
      <c r="K157" s="52"/>
      <c r="L157" s="52"/>
      <c r="M157" s="52"/>
      <c r="N157" s="53"/>
      <c r="O157" s="54"/>
      <c r="P157" s="54"/>
      <c r="Q157" s="55"/>
      <c r="R157" s="27"/>
      <c r="S157" s="56"/>
      <c r="T157" s="57"/>
      <c r="U157" s="19"/>
      <c r="V157" s="30"/>
      <c r="W157" s="1039"/>
      <c r="X157" s="27"/>
      <c r="Y157" s="16"/>
      <c r="Z157" s="16"/>
      <c r="AA157" s="1388"/>
      <c r="AB157" s="1388"/>
      <c r="AC157" s="52"/>
    </row>
    <row r="158" spans="1:29" s="58" customFormat="1" ht="65.099999999999994" customHeight="1" thickBot="1">
      <c r="A158" s="50"/>
      <c r="B158" s="50"/>
      <c r="C158" s="785"/>
      <c r="D158" s="51"/>
      <c r="E158" s="52"/>
      <c r="F158" s="52"/>
      <c r="G158" s="52"/>
      <c r="H158" s="52"/>
      <c r="I158" s="800"/>
      <c r="J158" s="52"/>
      <c r="K158" s="52"/>
      <c r="L158" s="52"/>
      <c r="M158" s="52"/>
      <c r="N158" s="53"/>
      <c r="O158" s="54"/>
      <c r="P158" s="54"/>
      <c r="Q158" s="55"/>
      <c r="R158" s="27"/>
      <c r="S158" s="56"/>
      <c r="T158" s="57"/>
      <c r="U158" s="19"/>
      <c r="V158" s="30"/>
      <c r="W158" s="1039"/>
      <c r="X158" s="27"/>
      <c r="Y158" s="16"/>
      <c r="Z158" s="16"/>
      <c r="AA158" s="1388"/>
      <c r="AB158" s="1388"/>
      <c r="AC158" s="52"/>
    </row>
    <row r="159" spans="1:29" s="58" customFormat="1" ht="65.099999999999994" customHeight="1">
      <c r="A159" s="50"/>
      <c r="B159" s="50"/>
      <c r="C159" s="785"/>
      <c r="D159" s="51"/>
      <c r="E159" s="52"/>
      <c r="F159" s="52"/>
      <c r="G159" s="52"/>
      <c r="H159" s="52"/>
      <c r="I159" s="794"/>
      <c r="J159" s="52"/>
      <c r="K159" s="52"/>
      <c r="L159" s="52"/>
      <c r="M159" s="52"/>
      <c r="N159" s="53"/>
      <c r="O159" s="54"/>
      <c r="P159" s="54"/>
      <c r="Q159" s="55"/>
      <c r="R159" s="27"/>
      <c r="S159" s="56"/>
      <c r="T159" s="57"/>
      <c r="U159" s="19"/>
      <c r="V159" s="30"/>
      <c r="W159" s="1039"/>
      <c r="X159" s="27"/>
      <c r="Y159" s="16"/>
      <c r="Z159" s="16"/>
      <c r="AA159" s="1388"/>
      <c r="AB159" s="1388"/>
      <c r="AC159" s="52"/>
    </row>
    <row r="160" spans="1:29" s="58" customFormat="1" ht="65.099999999999994" customHeight="1">
      <c r="A160" s="50"/>
      <c r="B160" s="50"/>
      <c r="C160" s="785"/>
      <c r="D160" s="51"/>
      <c r="E160" s="52"/>
      <c r="F160" s="52"/>
      <c r="G160" s="52"/>
      <c r="H160" s="52"/>
      <c r="I160" s="52"/>
      <c r="J160" s="52"/>
      <c r="K160" s="52"/>
      <c r="L160" s="52"/>
      <c r="M160" s="52"/>
      <c r="N160" s="53"/>
      <c r="O160" s="54"/>
      <c r="P160" s="54"/>
      <c r="Q160" s="55"/>
      <c r="R160" s="27"/>
      <c r="S160" s="56"/>
      <c r="T160" s="57"/>
      <c r="U160" s="19"/>
      <c r="V160" s="30"/>
      <c r="W160" s="1039"/>
      <c r="X160" s="27"/>
      <c r="Y160" s="16"/>
      <c r="Z160" s="16"/>
      <c r="AA160" s="1388"/>
      <c r="AB160" s="1388"/>
      <c r="AC160" s="52"/>
    </row>
    <row r="161" spans="1:29" s="58" customFormat="1" ht="65.099999999999994" customHeight="1">
      <c r="A161" s="50"/>
      <c r="B161" s="50"/>
      <c r="C161" s="785"/>
      <c r="D161" s="51"/>
      <c r="E161" s="52"/>
      <c r="F161" s="52"/>
      <c r="G161" s="52"/>
      <c r="H161" s="52"/>
      <c r="I161" s="52"/>
      <c r="J161" s="52"/>
      <c r="K161" s="52"/>
      <c r="L161" s="52"/>
      <c r="M161" s="52"/>
      <c r="N161" s="53"/>
      <c r="O161" s="54"/>
      <c r="P161" s="54"/>
      <c r="Q161" s="55"/>
      <c r="R161" s="27"/>
      <c r="S161" s="56"/>
      <c r="T161" s="57"/>
      <c r="U161" s="19"/>
      <c r="V161" s="30"/>
      <c r="W161" s="1039"/>
      <c r="X161" s="27"/>
      <c r="Y161" s="16"/>
      <c r="Z161" s="16"/>
      <c r="AA161" s="1388"/>
      <c r="AB161" s="1388"/>
      <c r="AC161" s="52"/>
    </row>
    <row r="162" spans="1:29" s="58" customFormat="1" ht="65.099999999999994" customHeight="1">
      <c r="A162" s="50"/>
      <c r="B162" s="50"/>
      <c r="C162" s="785"/>
      <c r="D162" s="51"/>
      <c r="E162" s="52"/>
      <c r="F162" s="52"/>
      <c r="G162" s="52"/>
      <c r="H162" s="52"/>
      <c r="I162" s="52"/>
      <c r="J162" s="52"/>
      <c r="K162" s="52"/>
      <c r="L162" s="52"/>
      <c r="M162" s="52"/>
      <c r="N162" s="53"/>
      <c r="O162" s="54"/>
      <c r="P162" s="54"/>
      <c r="Q162" s="55"/>
      <c r="R162" s="27"/>
      <c r="S162" s="56"/>
      <c r="T162" s="57"/>
      <c r="U162" s="19"/>
      <c r="V162" s="30"/>
      <c r="W162" s="1039"/>
      <c r="X162" s="27"/>
      <c r="Y162" s="16"/>
      <c r="Z162" s="16"/>
      <c r="AA162" s="1388"/>
      <c r="AB162" s="1388"/>
      <c r="AC162" s="52"/>
    </row>
    <row r="163" spans="1:29" s="58" customFormat="1" ht="65.099999999999994" customHeight="1">
      <c r="A163" s="50"/>
      <c r="B163" s="50"/>
      <c r="C163" s="785"/>
      <c r="D163" s="51"/>
      <c r="E163" s="52"/>
      <c r="F163" s="52"/>
      <c r="G163" s="52"/>
      <c r="H163" s="52"/>
      <c r="I163" s="52"/>
      <c r="J163" s="52"/>
      <c r="K163" s="52"/>
      <c r="L163" s="52"/>
      <c r="M163" s="52"/>
      <c r="N163" s="53"/>
      <c r="O163" s="54"/>
      <c r="P163" s="54"/>
      <c r="Q163" s="55"/>
      <c r="R163" s="27"/>
      <c r="S163" s="56"/>
      <c r="T163" s="57"/>
      <c r="U163" s="19"/>
      <c r="V163" s="30"/>
      <c r="W163" s="1039"/>
      <c r="X163" s="27"/>
      <c r="Y163" s="16"/>
      <c r="Z163" s="16"/>
      <c r="AA163" s="1388"/>
      <c r="AB163" s="1388"/>
      <c r="AC163" s="52"/>
    </row>
    <row r="164" spans="1:29" s="58" customFormat="1" ht="65.099999999999994" customHeight="1" thickBot="1">
      <c r="A164" s="50"/>
      <c r="B164" s="50"/>
      <c r="C164" s="785"/>
      <c r="D164" s="51"/>
      <c r="E164" s="52"/>
      <c r="F164" s="52"/>
      <c r="G164" s="52"/>
      <c r="H164" s="52"/>
      <c r="I164" s="800"/>
      <c r="J164" s="52"/>
      <c r="K164" s="52"/>
      <c r="L164" s="52"/>
      <c r="M164" s="52"/>
      <c r="N164" s="53"/>
      <c r="O164" s="54"/>
      <c r="P164" s="54"/>
      <c r="Q164" s="55"/>
      <c r="R164" s="27"/>
      <c r="S164" s="56"/>
      <c r="T164" s="57"/>
      <c r="U164" s="19"/>
      <c r="V164" s="30"/>
      <c r="W164" s="1039"/>
      <c r="X164" s="27"/>
      <c r="Y164" s="16"/>
      <c r="Z164" s="16"/>
      <c r="AA164" s="1388"/>
      <c r="AB164" s="1388"/>
      <c r="AC164" s="52"/>
    </row>
    <row r="165" spans="1:29" s="58" customFormat="1" ht="65.099999999999994" customHeight="1">
      <c r="A165" s="50"/>
      <c r="B165" s="50"/>
      <c r="C165" s="785"/>
      <c r="D165" s="51"/>
      <c r="E165" s="52"/>
      <c r="F165" s="52"/>
      <c r="G165" s="52"/>
      <c r="H165" s="52"/>
      <c r="I165" s="794"/>
      <c r="J165" s="52"/>
      <c r="K165" s="52"/>
      <c r="L165" s="52"/>
      <c r="M165" s="52"/>
      <c r="N165" s="53"/>
      <c r="O165" s="54"/>
      <c r="P165" s="54"/>
      <c r="Q165" s="55"/>
      <c r="R165" s="27"/>
      <c r="S165" s="56"/>
      <c r="T165" s="57"/>
      <c r="U165" s="19"/>
      <c r="V165" s="30"/>
      <c r="W165" s="1039"/>
      <c r="X165" s="27"/>
      <c r="Y165" s="16"/>
      <c r="Z165" s="16"/>
      <c r="AA165" s="1388"/>
      <c r="AB165" s="1388"/>
      <c r="AC165" s="52"/>
    </row>
    <row r="166" spans="1:29" s="58" customFormat="1" ht="65.099999999999994" customHeight="1">
      <c r="A166" s="50"/>
      <c r="B166" s="50"/>
      <c r="C166" s="785"/>
      <c r="D166" s="51"/>
      <c r="E166" s="52"/>
      <c r="F166" s="52"/>
      <c r="G166" s="52"/>
      <c r="H166" s="52"/>
      <c r="I166" s="52"/>
      <c r="J166" s="52"/>
      <c r="K166" s="52"/>
      <c r="L166" s="52"/>
      <c r="M166" s="52"/>
      <c r="N166" s="53"/>
      <c r="O166" s="54"/>
      <c r="P166" s="54"/>
      <c r="Q166" s="55"/>
      <c r="R166" s="27"/>
      <c r="S166" s="56"/>
      <c r="T166" s="57"/>
      <c r="U166" s="19"/>
      <c r="V166" s="30"/>
      <c r="W166" s="1039"/>
      <c r="X166" s="27"/>
      <c r="Y166" s="16"/>
      <c r="Z166" s="16"/>
      <c r="AA166" s="1388"/>
      <c r="AB166" s="1388"/>
      <c r="AC166" s="52"/>
    </row>
    <row r="167" spans="1:29" s="58" customFormat="1" ht="65.099999999999994" customHeight="1">
      <c r="A167" s="50"/>
      <c r="B167" s="50"/>
      <c r="C167" s="785"/>
      <c r="D167" s="51"/>
      <c r="E167" s="52"/>
      <c r="F167" s="52"/>
      <c r="G167" s="52"/>
      <c r="H167" s="52"/>
      <c r="I167" s="52"/>
      <c r="J167" s="52"/>
      <c r="K167" s="52"/>
      <c r="L167" s="52"/>
      <c r="M167" s="52"/>
      <c r="N167" s="53"/>
      <c r="O167" s="54"/>
      <c r="P167" s="54"/>
      <c r="Q167" s="55"/>
      <c r="R167" s="27"/>
      <c r="S167" s="56"/>
      <c r="T167" s="57"/>
      <c r="U167" s="19"/>
      <c r="V167" s="30"/>
      <c r="W167" s="1039"/>
      <c r="X167" s="27"/>
      <c r="Y167" s="16"/>
      <c r="Z167" s="16"/>
      <c r="AA167" s="1388"/>
      <c r="AB167" s="1388"/>
      <c r="AC167" s="52"/>
    </row>
    <row r="168" spans="1:29" s="58" customFormat="1" ht="65.099999999999994" customHeight="1">
      <c r="A168" s="50"/>
      <c r="B168" s="50"/>
      <c r="C168" s="785"/>
      <c r="D168" s="51"/>
      <c r="E168" s="52"/>
      <c r="F168" s="52"/>
      <c r="G168" s="52"/>
      <c r="H168" s="52"/>
      <c r="I168" s="52"/>
      <c r="J168" s="52"/>
      <c r="K168" s="52"/>
      <c r="L168" s="52"/>
      <c r="M168" s="52"/>
      <c r="N168" s="53"/>
      <c r="O168" s="54"/>
      <c r="P168" s="54"/>
      <c r="Q168" s="55"/>
      <c r="R168" s="27"/>
      <c r="S168" s="56"/>
      <c r="T168" s="57"/>
      <c r="U168" s="19"/>
      <c r="V168" s="30"/>
      <c r="W168" s="1039"/>
      <c r="X168" s="27"/>
      <c r="Y168" s="16"/>
      <c r="Z168" s="16"/>
      <c r="AA168" s="1388"/>
      <c r="AB168" s="1388"/>
      <c r="AC168" s="52"/>
    </row>
    <row r="169" spans="1:29" s="58" customFormat="1" ht="65.099999999999994" customHeight="1">
      <c r="A169" s="50"/>
      <c r="B169" s="50"/>
      <c r="C169" s="785"/>
      <c r="D169" s="51"/>
      <c r="E169" s="52"/>
      <c r="F169" s="52"/>
      <c r="G169" s="52"/>
      <c r="H169" s="52"/>
      <c r="I169" s="52"/>
      <c r="J169" s="52"/>
      <c r="K169" s="52"/>
      <c r="L169" s="52"/>
      <c r="M169" s="52"/>
      <c r="N169" s="53"/>
      <c r="O169" s="54"/>
      <c r="P169" s="54"/>
      <c r="Q169" s="55"/>
      <c r="R169" s="27"/>
      <c r="S169" s="56"/>
      <c r="T169" s="57"/>
      <c r="U169" s="19"/>
      <c r="V169" s="30"/>
      <c r="W169" s="1039"/>
      <c r="X169" s="27"/>
      <c r="Y169" s="16"/>
      <c r="Z169" s="16"/>
      <c r="AA169" s="1388"/>
      <c r="AB169" s="1388"/>
      <c r="AC169" s="52"/>
    </row>
    <row r="170" spans="1:29" s="58" customFormat="1" ht="65.099999999999994" customHeight="1" thickBot="1">
      <c r="A170" s="50"/>
      <c r="B170" s="50"/>
      <c r="C170" s="785"/>
      <c r="D170" s="51"/>
      <c r="E170" s="52"/>
      <c r="F170" s="52"/>
      <c r="G170" s="52"/>
      <c r="H170" s="52"/>
      <c r="I170" s="800"/>
      <c r="J170" s="52"/>
      <c r="K170" s="52"/>
      <c r="L170" s="52"/>
      <c r="M170" s="52"/>
      <c r="N170" s="53"/>
      <c r="O170" s="54"/>
      <c r="P170" s="54"/>
      <c r="Q170" s="55"/>
      <c r="R170" s="27"/>
      <c r="S170" s="56"/>
      <c r="T170" s="57"/>
      <c r="U170" s="19"/>
      <c r="V170" s="30"/>
      <c r="W170" s="1039"/>
      <c r="X170" s="27"/>
      <c r="Y170" s="16"/>
      <c r="Z170" s="16"/>
      <c r="AA170" s="1388"/>
      <c r="AB170" s="1388"/>
      <c r="AC170" s="52"/>
    </row>
    <row r="171" spans="1:29" s="58" customFormat="1" ht="65.099999999999994" customHeight="1">
      <c r="A171" s="50"/>
      <c r="B171" s="50"/>
      <c r="C171" s="785"/>
      <c r="D171" s="51"/>
      <c r="E171" s="52"/>
      <c r="F171" s="52"/>
      <c r="G171" s="52"/>
      <c r="H171" s="52"/>
      <c r="I171" s="794"/>
      <c r="J171" s="52"/>
      <c r="K171" s="52"/>
      <c r="L171" s="52"/>
      <c r="M171" s="52"/>
      <c r="N171" s="53"/>
      <c r="O171" s="54"/>
      <c r="P171" s="54"/>
      <c r="Q171" s="55"/>
      <c r="R171" s="27"/>
      <c r="S171" s="56"/>
      <c r="T171" s="57"/>
      <c r="U171" s="19"/>
      <c r="V171" s="30"/>
      <c r="W171" s="1039"/>
      <c r="X171" s="27"/>
      <c r="Y171" s="16"/>
      <c r="Z171" s="16"/>
      <c r="AA171" s="1388"/>
      <c r="AB171" s="1388"/>
      <c r="AC171" s="52"/>
    </row>
    <row r="172" spans="1:29" s="58" customFormat="1" ht="65.099999999999994" customHeight="1">
      <c r="A172" s="50"/>
      <c r="B172" s="50"/>
      <c r="C172" s="785"/>
      <c r="D172" s="51"/>
      <c r="E172" s="52"/>
      <c r="F172" s="52"/>
      <c r="G172" s="52"/>
      <c r="H172" s="52"/>
      <c r="I172" s="52"/>
      <c r="J172" s="52"/>
      <c r="K172" s="52"/>
      <c r="L172" s="52"/>
      <c r="M172" s="52"/>
      <c r="N172" s="53"/>
      <c r="O172" s="54"/>
      <c r="P172" s="54"/>
      <c r="Q172" s="55"/>
      <c r="R172" s="27"/>
      <c r="S172" s="56"/>
      <c r="T172" s="57"/>
      <c r="U172" s="19"/>
      <c r="V172" s="30"/>
      <c r="W172" s="1039"/>
      <c r="X172" s="27"/>
      <c r="Y172" s="16"/>
      <c r="Z172" s="16"/>
      <c r="AA172" s="1388"/>
      <c r="AB172" s="1388"/>
      <c r="AC172" s="52"/>
    </row>
    <row r="173" spans="1:29" s="58" customFormat="1" ht="65.099999999999994" customHeight="1">
      <c r="A173" s="50"/>
      <c r="B173" s="50"/>
      <c r="C173" s="785"/>
      <c r="D173" s="51"/>
      <c r="E173" s="52"/>
      <c r="F173" s="52"/>
      <c r="G173" s="52"/>
      <c r="H173" s="52"/>
      <c r="I173" s="52"/>
      <c r="J173" s="52"/>
      <c r="K173" s="52"/>
      <c r="L173" s="52"/>
      <c r="M173" s="52"/>
      <c r="N173" s="53"/>
      <c r="O173" s="54"/>
      <c r="P173" s="54"/>
      <c r="Q173" s="55"/>
      <c r="R173" s="27"/>
      <c r="S173" s="56"/>
      <c r="T173" s="57"/>
      <c r="U173" s="19"/>
      <c r="V173" s="30"/>
      <c r="W173" s="1039"/>
      <c r="X173" s="27"/>
      <c r="Y173" s="16"/>
      <c r="Z173" s="16"/>
      <c r="AA173" s="1388"/>
      <c r="AB173" s="1388"/>
      <c r="AC173" s="52"/>
    </row>
    <row r="174" spans="1:29" s="58" customFormat="1" ht="65.099999999999994" customHeight="1">
      <c r="A174" s="50"/>
      <c r="B174" s="50"/>
      <c r="C174" s="785"/>
      <c r="D174" s="51"/>
      <c r="E174" s="52"/>
      <c r="F174" s="52"/>
      <c r="G174" s="52"/>
      <c r="H174" s="52"/>
      <c r="I174" s="52"/>
      <c r="J174" s="52"/>
      <c r="K174" s="52"/>
      <c r="L174" s="52"/>
      <c r="M174" s="52"/>
      <c r="N174" s="53"/>
      <c r="O174" s="54"/>
      <c r="P174" s="54"/>
      <c r="Q174" s="55"/>
      <c r="R174" s="27"/>
      <c r="S174" s="56"/>
      <c r="T174" s="57"/>
      <c r="U174" s="19"/>
      <c r="V174" s="30"/>
      <c r="W174" s="1039"/>
      <c r="X174" s="27"/>
      <c r="Y174" s="16"/>
      <c r="Z174" s="16"/>
      <c r="AA174" s="1388"/>
      <c r="AB174" s="1388"/>
      <c r="AC174" s="52"/>
    </row>
    <row r="175" spans="1:29" s="58" customFormat="1" ht="65.099999999999994" customHeight="1">
      <c r="A175" s="50"/>
      <c r="B175" s="50"/>
      <c r="C175" s="785"/>
      <c r="D175" s="51"/>
      <c r="E175" s="52"/>
      <c r="F175" s="52"/>
      <c r="G175" s="52"/>
      <c r="H175" s="52"/>
      <c r="I175" s="52"/>
      <c r="J175" s="52"/>
      <c r="K175" s="52"/>
      <c r="L175" s="52"/>
      <c r="M175" s="52"/>
      <c r="N175" s="53"/>
      <c r="O175" s="54"/>
      <c r="P175" s="54"/>
      <c r="Q175" s="55"/>
      <c r="R175" s="27"/>
      <c r="S175" s="56"/>
      <c r="T175" s="57"/>
      <c r="U175" s="19"/>
      <c r="V175" s="30"/>
      <c r="W175" s="1039"/>
      <c r="X175" s="27"/>
      <c r="Y175" s="16"/>
      <c r="Z175" s="16"/>
      <c r="AA175" s="1388"/>
      <c r="AB175" s="1388"/>
      <c r="AC175" s="52"/>
    </row>
    <row r="176" spans="1:29" s="58" customFormat="1" ht="65.099999999999994" customHeight="1" thickBot="1">
      <c r="A176" s="50"/>
      <c r="B176" s="50"/>
      <c r="C176" s="785"/>
      <c r="D176" s="51"/>
      <c r="E176" s="52"/>
      <c r="F176" s="52"/>
      <c r="G176" s="52"/>
      <c r="H176" s="52"/>
      <c r="I176" s="800"/>
      <c r="J176" s="52"/>
      <c r="K176" s="52"/>
      <c r="L176" s="52"/>
      <c r="M176" s="52"/>
      <c r="N176" s="53"/>
      <c r="O176" s="54"/>
      <c r="P176" s="54"/>
      <c r="Q176" s="55"/>
      <c r="R176" s="27"/>
      <c r="S176" s="56"/>
      <c r="T176" s="57"/>
      <c r="U176" s="19"/>
      <c r="V176" s="30"/>
      <c r="W176" s="1039"/>
      <c r="X176" s="27"/>
      <c r="Y176" s="16"/>
      <c r="Z176" s="16"/>
      <c r="AA176" s="1388"/>
      <c r="AB176" s="1388"/>
      <c r="AC176" s="52"/>
    </row>
    <row r="177" spans="1:29" s="58" customFormat="1" ht="65.099999999999994" customHeight="1">
      <c r="A177" s="50"/>
      <c r="B177" s="50"/>
      <c r="C177" s="785"/>
      <c r="D177" s="51"/>
      <c r="E177" s="52"/>
      <c r="F177" s="52"/>
      <c r="G177" s="52"/>
      <c r="H177" s="52"/>
      <c r="I177" s="794"/>
      <c r="J177" s="52"/>
      <c r="K177" s="52"/>
      <c r="L177" s="52"/>
      <c r="M177" s="52"/>
      <c r="N177" s="53"/>
      <c r="O177" s="54"/>
      <c r="P177" s="54"/>
      <c r="Q177" s="55"/>
      <c r="R177" s="27"/>
      <c r="S177" s="56"/>
      <c r="T177" s="57"/>
      <c r="U177" s="19"/>
      <c r="V177" s="30"/>
      <c r="W177" s="1039"/>
      <c r="X177" s="27"/>
      <c r="Y177" s="16"/>
      <c r="Z177" s="16"/>
      <c r="AA177" s="1388"/>
      <c r="AB177" s="1388"/>
      <c r="AC177" s="52"/>
    </row>
    <row r="178" spans="1:29" s="58" customFormat="1" ht="65.099999999999994" customHeight="1">
      <c r="A178" s="50"/>
      <c r="B178" s="50"/>
      <c r="C178" s="785"/>
      <c r="D178" s="51"/>
      <c r="E178" s="52"/>
      <c r="F178" s="52"/>
      <c r="G178" s="52"/>
      <c r="H178" s="52"/>
      <c r="I178" s="52"/>
      <c r="J178" s="52"/>
      <c r="K178" s="52"/>
      <c r="L178" s="52"/>
      <c r="M178" s="52"/>
      <c r="N178" s="53"/>
      <c r="O178" s="54"/>
      <c r="P178" s="54"/>
      <c r="Q178" s="55"/>
      <c r="R178" s="27"/>
      <c r="S178" s="56"/>
      <c r="T178" s="57"/>
      <c r="U178" s="19"/>
      <c r="V178" s="30"/>
      <c r="W178" s="1039"/>
      <c r="X178" s="27"/>
      <c r="Y178" s="16"/>
      <c r="Z178" s="16"/>
      <c r="AA178" s="1388"/>
      <c r="AB178" s="1388"/>
      <c r="AC178" s="52"/>
    </row>
    <row r="179" spans="1:29" s="58" customFormat="1" ht="65.099999999999994" customHeight="1">
      <c r="A179" s="50"/>
      <c r="B179" s="50"/>
      <c r="C179" s="785"/>
      <c r="D179" s="51"/>
      <c r="E179" s="52"/>
      <c r="F179" s="52"/>
      <c r="G179" s="52"/>
      <c r="H179" s="52"/>
      <c r="I179" s="52"/>
      <c r="J179" s="52"/>
      <c r="K179" s="52"/>
      <c r="L179" s="52"/>
      <c r="M179" s="52"/>
      <c r="N179" s="53"/>
      <c r="O179" s="54"/>
      <c r="P179" s="54"/>
      <c r="Q179" s="55"/>
      <c r="R179" s="27"/>
      <c r="S179" s="56"/>
      <c r="T179" s="57"/>
      <c r="U179" s="19"/>
      <c r="V179" s="30"/>
      <c r="W179" s="1039"/>
      <c r="X179" s="27"/>
      <c r="Y179" s="16"/>
      <c r="Z179" s="16"/>
      <c r="AA179" s="1388"/>
      <c r="AB179" s="1388"/>
      <c r="AC179" s="52"/>
    </row>
    <row r="180" spans="1:29" s="58" customFormat="1" ht="65.099999999999994" customHeight="1">
      <c r="A180" s="50"/>
      <c r="B180" s="50"/>
      <c r="C180" s="785"/>
      <c r="D180" s="51"/>
      <c r="E180" s="52"/>
      <c r="F180" s="52"/>
      <c r="G180" s="52"/>
      <c r="H180" s="52"/>
      <c r="I180" s="52"/>
      <c r="J180" s="52"/>
      <c r="K180" s="52"/>
      <c r="L180" s="52"/>
      <c r="M180" s="52"/>
      <c r="N180" s="53"/>
      <c r="O180" s="54"/>
      <c r="P180" s="54"/>
      <c r="Q180" s="55"/>
      <c r="R180" s="27"/>
      <c r="S180" s="56"/>
      <c r="T180" s="57"/>
      <c r="U180" s="19"/>
      <c r="V180" s="30"/>
      <c r="W180" s="1039"/>
      <c r="X180" s="27"/>
      <c r="Y180" s="16"/>
      <c r="Z180" s="16"/>
      <c r="AA180" s="1388"/>
      <c r="AB180" s="1388"/>
      <c r="AC180" s="52"/>
    </row>
    <row r="181" spans="1:29" s="58" customFormat="1" ht="65.099999999999994" customHeight="1">
      <c r="A181" s="50"/>
      <c r="B181" s="50"/>
      <c r="C181" s="785"/>
      <c r="D181" s="51"/>
      <c r="E181" s="52"/>
      <c r="F181" s="52"/>
      <c r="G181" s="52"/>
      <c r="H181" s="52"/>
      <c r="I181" s="52"/>
      <c r="J181" s="52"/>
      <c r="K181" s="52"/>
      <c r="L181" s="52"/>
      <c r="M181" s="52"/>
      <c r="N181" s="53"/>
      <c r="O181" s="54"/>
      <c r="P181" s="54"/>
      <c r="Q181" s="55"/>
      <c r="R181" s="27"/>
      <c r="S181" s="56"/>
      <c r="T181" s="57"/>
      <c r="U181" s="19"/>
      <c r="V181" s="30"/>
      <c r="W181" s="1039"/>
      <c r="X181" s="27"/>
      <c r="Y181" s="16"/>
      <c r="Z181" s="16"/>
      <c r="AA181" s="1388"/>
      <c r="AB181" s="1388"/>
      <c r="AC181" s="52"/>
    </row>
    <row r="182" spans="1:29" s="58" customFormat="1" ht="65.099999999999994" customHeight="1" thickBot="1">
      <c r="A182" s="50"/>
      <c r="B182" s="50"/>
      <c r="C182" s="785"/>
      <c r="D182" s="51"/>
      <c r="E182" s="52"/>
      <c r="F182" s="52"/>
      <c r="G182" s="52"/>
      <c r="H182" s="52"/>
      <c r="I182" s="800"/>
      <c r="J182" s="52"/>
      <c r="K182" s="52"/>
      <c r="L182" s="52"/>
      <c r="M182" s="52"/>
      <c r="N182" s="53"/>
      <c r="O182" s="54"/>
      <c r="P182" s="54"/>
      <c r="Q182" s="55"/>
      <c r="R182" s="27"/>
      <c r="S182" s="56"/>
      <c r="T182" s="57"/>
      <c r="U182" s="19"/>
      <c r="V182" s="30"/>
      <c r="W182" s="1039"/>
      <c r="X182" s="27"/>
      <c r="Y182" s="16"/>
      <c r="Z182" s="16"/>
      <c r="AA182" s="1388"/>
      <c r="AB182" s="1388"/>
      <c r="AC182" s="52"/>
    </row>
    <row r="183" spans="1:29" s="58" customFormat="1" ht="65.099999999999994" customHeight="1">
      <c r="A183" s="50"/>
      <c r="B183" s="50"/>
      <c r="C183" s="785"/>
      <c r="D183" s="51"/>
      <c r="E183" s="52"/>
      <c r="F183" s="52"/>
      <c r="G183" s="52"/>
      <c r="H183" s="52"/>
      <c r="I183" s="794"/>
      <c r="J183" s="52"/>
      <c r="K183" s="52"/>
      <c r="L183" s="52"/>
      <c r="M183" s="52"/>
      <c r="N183" s="53"/>
      <c r="O183" s="54"/>
      <c r="P183" s="54"/>
      <c r="Q183" s="55"/>
      <c r="R183" s="27"/>
      <c r="S183" s="56"/>
      <c r="T183" s="57"/>
      <c r="U183" s="19"/>
      <c r="V183" s="30"/>
      <c r="W183" s="1039"/>
      <c r="X183" s="27"/>
      <c r="Y183" s="16"/>
      <c r="Z183" s="16"/>
      <c r="AA183" s="1388"/>
      <c r="AB183" s="1388"/>
      <c r="AC183" s="52"/>
    </row>
    <row r="184" spans="1:29" s="58" customFormat="1" ht="65.099999999999994" customHeight="1">
      <c r="A184" s="50"/>
      <c r="B184" s="50"/>
      <c r="C184" s="785"/>
      <c r="D184" s="51"/>
      <c r="E184" s="52"/>
      <c r="F184" s="52"/>
      <c r="G184" s="52"/>
      <c r="H184" s="52"/>
      <c r="I184" s="52"/>
      <c r="J184" s="52"/>
      <c r="K184" s="52"/>
      <c r="L184" s="52"/>
      <c r="M184" s="52"/>
      <c r="N184" s="53"/>
      <c r="O184" s="54"/>
      <c r="P184" s="54"/>
      <c r="Q184" s="55"/>
      <c r="R184" s="27"/>
      <c r="S184" s="56"/>
      <c r="T184" s="57"/>
      <c r="U184" s="19"/>
      <c r="V184" s="30"/>
      <c r="W184" s="1039"/>
      <c r="X184" s="27"/>
      <c r="Y184" s="16"/>
      <c r="Z184" s="16"/>
      <c r="AA184" s="1388"/>
      <c r="AB184" s="1388"/>
      <c r="AC184" s="52"/>
    </row>
    <row r="185" spans="1:29" s="58" customFormat="1" ht="65.099999999999994" customHeight="1">
      <c r="A185" s="50"/>
      <c r="B185" s="50"/>
      <c r="C185" s="785"/>
      <c r="D185" s="51"/>
      <c r="E185" s="52"/>
      <c r="F185" s="52"/>
      <c r="G185" s="52"/>
      <c r="H185" s="52"/>
      <c r="I185" s="52"/>
      <c r="J185" s="52"/>
      <c r="K185" s="52"/>
      <c r="L185" s="52"/>
      <c r="M185" s="52"/>
      <c r="N185" s="53"/>
      <c r="O185" s="54"/>
      <c r="P185" s="54"/>
      <c r="Q185" s="55"/>
      <c r="R185" s="27"/>
      <c r="S185" s="56"/>
      <c r="T185" s="57"/>
      <c r="U185" s="19"/>
      <c r="V185" s="30"/>
      <c r="W185" s="1039"/>
      <c r="X185" s="27"/>
      <c r="Y185" s="16"/>
      <c r="Z185" s="16"/>
      <c r="AA185" s="1388"/>
      <c r="AB185" s="1388"/>
      <c r="AC185" s="52"/>
    </row>
    <row r="186" spans="1:29" s="58" customFormat="1" ht="65.099999999999994" customHeight="1">
      <c r="A186" s="50"/>
      <c r="B186" s="50"/>
      <c r="C186" s="785"/>
      <c r="D186" s="51"/>
      <c r="E186" s="52"/>
      <c r="F186" s="52"/>
      <c r="G186" s="52"/>
      <c r="H186" s="52"/>
      <c r="I186" s="52"/>
      <c r="J186" s="52"/>
      <c r="K186" s="52"/>
      <c r="L186" s="52"/>
      <c r="M186" s="52"/>
      <c r="N186" s="53"/>
      <c r="O186" s="54"/>
      <c r="P186" s="54"/>
      <c r="Q186" s="55"/>
      <c r="R186" s="27"/>
      <c r="S186" s="56"/>
      <c r="T186" s="57"/>
      <c r="U186" s="19"/>
      <c r="V186" s="30"/>
      <c r="W186" s="1039"/>
      <c r="X186" s="27"/>
      <c r="Y186" s="16"/>
      <c r="Z186" s="16"/>
      <c r="AA186" s="1388"/>
      <c r="AB186" s="1388"/>
      <c r="AC186" s="52"/>
    </row>
    <row r="187" spans="1:29" s="58" customFormat="1" ht="65.099999999999994" customHeight="1">
      <c r="A187" s="50"/>
      <c r="B187" s="50"/>
      <c r="C187" s="785"/>
      <c r="D187" s="51"/>
      <c r="E187" s="52"/>
      <c r="F187" s="52"/>
      <c r="G187" s="52"/>
      <c r="H187" s="52"/>
      <c r="I187" s="52"/>
      <c r="J187" s="52"/>
      <c r="K187" s="52"/>
      <c r="L187" s="52"/>
      <c r="M187" s="52"/>
      <c r="N187" s="53"/>
      <c r="O187" s="54"/>
      <c r="P187" s="54"/>
      <c r="Q187" s="55"/>
      <c r="R187" s="27"/>
      <c r="S187" s="56"/>
      <c r="T187" s="57"/>
      <c r="U187" s="19"/>
      <c r="V187" s="30"/>
      <c r="W187" s="1039"/>
      <c r="X187" s="27"/>
      <c r="Y187" s="16"/>
      <c r="Z187" s="16"/>
      <c r="AA187" s="1388"/>
      <c r="AB187" s="1388"/>
      <c r="AC187" s="52"/>
    </row>
    <row r="188" spans="1:29" s="58" customFormat="1" ht="65.099999999999994" customHeight="1" thickBot="1">
      <c r="A188" s="50"/>
      <c r="B188" s="50"/>
      <c r="C188" s="785"/>
      <c r="D188" s="51"/>
      <c r="E188" s="52"/>
      <c r="F188" s="52"/>
      <c r="G188" s="52"/>
      <c r="H188" s="52"/>
      <c r="I188" s="800"/>
      <c r="J188" s="52"/>
      <c r="K188" s="52"/>
      <c r="L188" s="52"/>
      <c r="M188" s="52"/>
      <c r="N188" s="53"/>
      <c r="O188" s="54"/>
      <c r="P188" s="54"/>
      <c r="Q188" s="55"/>
      <c r="R188" s="27"/>
      <c r="S188" s="56"/>
      <c r="T188" s="57"/>
      <c r="U188" s="19"/>
      <c r="V188" s="30"/>
      <c r="W188" s="1039"/>
      <c r="X188" s="27"/>
      <c r="Y188" s="16"/>
      <c r="Z188" s="16"/>
      <c r="AA188" s="1388"/>
      <c r="AB188" s="1388"/>
      <c r="AC188" s="52"/>
    </row>
    <row r="189" spans="1:29" s="58" customFormat="1" ht="65.099999999999994" customHeight="1">
      <c r="A189" s="50"/>
      <c r="B189" s="50"/>
      <c r="C189" s="785"/>
      <c r="D189" s="51"/>
      <c r="E189" s="52"/>
      <c r="F189" s="52"/>
      <c r="G189" s="52"/>
      <c r="H189" s="52"/>
      <c r="I189" s="794"/>
      <c r="J189" s="52"/>
      <c r="K189" s="52"/>
      <c r="L189" s="52"/>
      <c r="M189" s="52"/>
      <c r="N189" s="53"/>
      <c r="O189" s="54"/>
      <c r="P189" s="54"/>
      <c r="Q189" s="55"/>
      <c r="R189" s="27"/>
      <c r="S189" s="56"/>
      <c r="T189" s="57"/>
      <c r="U189" s="19"/>
      <c r="V189" s="30"/>
      <c r="W189" s="1039"/>
      <c r="X189" s="27"/>
      <c r="Y189" s="16"/>
      <c r="Z189" s="16"/>
      <c r="AA189" s="1388"/>
      <c r="AB189" s="1388"/>
      <c r="AC189" s="52"/>
    </row>
    <row r="190" spans="1:29" s="58" customFormat="1" ht="65.099999999999994" customHeight="1">
      <c r="A190" s="50"/>
      <c r="B190" s="50"/>
      <c r="C190" s="785"/>
      <c r="D190" s="51"/>
      <c r="E190" s="52"/>
      <c r="F190" s="52"/>
      <c r="G190" s="52"/>
      <c r="H190" s="52"/>
      <c r="I190" s="52"/>
      <c r="J190" s="52"/>
      <c r="K190" s="52"/>
      <c r="L190" s="52"/>
      <c r="M190" s="52"/>
      <c r="N190" s="53"/>
      <c r="O190" s="54"/>
      <c r="P190" s="54"/>
      <c r="Q190" s="55"/>
      <c r="R190" s="27"/>
      <c r="S190" s="56"/>
      <c r="T190" s="57"/>
      <c r="U190" s="19"/>
      <c r="V190" s="30"/>
      <c r="W190" s="1039"/>
      <c r="X190" s="27"/>
      <c r="Y190" s="16"/>
      <c r="Z190" s="16"/>
      <c r="AA190" s="1388"/>
      <c r="AB190" s="1388"/>
      <c r="AC190" s="52"/>
    </row>
    <row r="191" spans="1:29" s="58" customFormat="1" ht="65.099999999999994" customHeight="1">
      <c r="A191" s="50"/>
      <c r="B191" s="50"/>
      <c r="C191" s="785"/>
      <c r="D191" s="51"/>
      <c r="E191" s="52"/>
      <c r="F191" s="52"/>
      <c r="G191" s="52"/>
      <c r="H191" s="52"/>
      <c r="I191" s="52"/>
      <c r="J191" s="52"/>
      <c r="K191" s="52"/>
      <c r="L191" s="52"/>
      <c r="M191" s="52"/>
      <c r="N191" s="53"/>
      <c r="O191" s="54"/>
      <c r="P191" s="54"/>
      <c r="Q191" s="55"/>
      <c r="R191" s="27"/>
      <c r="S191" s="56"/>
      <c r="T191" s="57"/>
      <c r="U191" s="19"/>
      <c r="V191" s="30"/>
      <c r="W191" s="1039"/>
      <c r="X191" s="27"/>
      <c r="Y191" s="16"/>
      <c r="Z191" s="16"/>
      <c r="AA191" s="1388"/>
      <c r="AB191" s="1388"/>
      <c r="AC191" s="52"/>
    </row>
    <row r="192" spans="1:29" s="58" customFormat="1" ht="65.099999999999994" customHeight="1">
      <c r="A192" s="50"/>
      <c r="B192" s="50"/>
      <c r="C192" s="785"/>
      <c r="D192" s="51"/>
      <c r="E192" s="52"/>
      <c r="F192" s="52"/>
      <c r="G192" s="52"/>
      <c r="H192" s="52"/>
      <c r="I192" s="52"/>
      <c r="J192" s="52"/>
      <c r="K192" s="52"/>
      <c r="L192" s="52"/>
      <c r="M192" s="52"/>
      <c r="N192" s="53"/>
      <c r="O192" s="54"/>
      <c r="P192" s="54"/>
      <c r="Q192" s="55"/>
      <c r="R192" s="27"/>
      <c r="S192" s="56"/>
      <c r="T192" s="57"/>
      <c r="U192" s="19"/>
      <c r="V192" s="30"/>
      <c r="W192" s="1039"/>
      <c r="X192" s="27"/>
      <c r="Y192" s="16"/>
      <c r="Z192" s="16"/>
      <c r="AA192" s="1388"/>
      <c r="AB192" s="1388"/>
      <c r="AC192" s="52"/>
    </row>
    <row r="193" spans="1:29" s="58" customFormat="1" ht="65.099999999999994" customHeight="1">
      <c r="A193" s="50"/>
      <c r="B193" s="50"/>
      <c r="C193" s="785"/>
      <c r="D193" s="51"/>
      <c r="E193" s="52"/>
      <c r="F193" s="52"/>
      <c r="G193" s="52"/>
      <c r="H193" s="52"/>
      <c r="I193" s="52"/>
      <c r="J193" s="52"/>
      <c r="K193" s="52"/>
      <c r="L193" s="52"/>
      <c r="M193" s="52"/>
      <c r="N193" s="53"/>
      <c r="O193" s="54"/>
      <c r="P193" s="54"/>
      <c r="Q193" s="55"/>
      <c r="R193" s="27"/>
      <c r="S193" s="56"/>
      <c r="T193" s="57"/>
      <c r="U193" s="19"/>
      <c r="V193" s="30"/>
      <c r="W193" s="1039"/>
      <c r="X193" s="27"/>
      <c r="Y193" s="16"/>
      <c r="Z193" s="16"/>
      <c r="AA193" s="1388"/>
      <c r="AB193" s="1388"/>
      <c r="AC193" s="52"/>
    </row>
    <row r="194" spans="1:29" s="58" customFormat="1" ht="65.099999999999994" customHeight="1" thickBot="1">
      <c r="A194" s="50"/>
      <c r="B194" s="50"/>
      <c r="C194" s="785"/>
      <c r="D194" s="51"/>
      <c r="E194" s="52"/>
      <c r="F194" s="52"/>
      <c r="G194" s="52"/>
      <c r="H194" s="52"/>
      <c r="I194" s="800"/>
      <c r="J194" s="52"/>
      <c r="K194" s="52"/>
      <c r="L194" s="52"/>
      <c r="M194" s="52"/>
      <c r="N194" s="53"/>
      <c r="O194" s="54"/>
      <c r="P194" s="54"/>
      <c r="Q194" s="55"/>
      <c r="R194" s="27"/>
      <c r="S194" s="56"/>
      <c r="T194" s="57"/>
      <c r="U194" s="19"/>
      <c r="V194" s="30"/>
      <c r="W194" s="1039"/>
      <c r="X194" s="27"/>
      <c r="Y194" s="16"/>
      <c r="Z194" s="16"/>
      <c r="AA194" s="1388"/>
      <c r="AB194" s="1388"/>
      <c r="AC194" s="52"/>
    </row>
    <row r="195" spans="1:29" s="58" customFormat="1" ht="65.099999999999994" customHeight="1">
      <c r="A195" s="50"/>
      <c r="B195" s="50"/>
      <c r="C195" s="785"/>
      <c r="D195" s="51"/>
      <c r="E195" s="52"/>
      <c r="F195" s="52"/>
      <c r="G195" s="52"/>
      <c r="H195" s="52"/>
      <c r="I195" s="794"/>
      <c r="J195" s="52"/>
      <c r="K195" s="52"/>
      <c r="L195" s="52"/>
      <c r="M195" s="52"/>
      <c r="N195" s="53"/>
      <c r="O195" s="54"/>
      <c r="P195" s="54"/>
      <c r="Q195" s="55"/>
      <c r="R195" s="27"/>
      <c r="S195" s="56"/>
      <c r="T195" s="57"/>
      <c r="U195" s="19"/>
      <c r="V195" s="30"/>
      <c r="W195" s="1039"/>
      <c r="X195" s="27"/>
      <c r="Y195" s="16"/>
      <c r="Z195" s="16"/>
      <c r="AA195" s="1388"/>
      <c r="AB195" s="1388"/>
      <c r="AC195" s="52"/>
    </row>
    <row r="196" spans="1:29" s="58" customFormat="1" ht="65.099999999999994" customHeight="1">
      <c r="A196" s="50"/>
      <c r="B196" s="50"/>
      <c r="C196" s="785"/>
      <c r="D196" s="51"/>
      <c r="E196" s="52"/>
      <c r="F196" s="52"/>
      <c r="G196" s="52"/>
      <c r="H196" s="52"/>
      <c r="I196" s="52"/>
      <c r="J196" s="52"/>
      <c r="K196" s="52"/>
      <c r="L196" s="52"/>
      <c r="M196" s="52"/>
      <c r="N196" s="53"/>
      <c r="O196" s="54"/>
      <c r="P196" s="54"/>
      <c r="Q196" s="55"/>
      <c r="R196" s="27"/>
      <c r="S196" s="56"/>
      <c r="T196" s="57"/>
      <c r="U196" s="19"/>
      <c r="V196" s="30"/>
      <c r="W196" s="1039"/>
      <c r="X196" s="27"/>
      <c r="Y196" s="16"/>
      <c r="Z196" s="16"/>
      <c r="AA196" s="1388"/>
      <c r="AB196" s="1388"/>
      <c r="AC196" s="52"/>
    </row>
    <row r="197" spans="1:29" s="58" customFormat="1" ht="65.099999999999994" customHeight="1">
      <c r="A197" s="50"/>
      <c r="B197" s="50"/>
      <c r="C197" s="785"/>
      <c r="D197" s="51"/>
      <c r="E197" s="52"/>
      <c r="F197" s="52"/>
      <c r="G197" s="52"/>
      <c r="H197" s="52"/>
      <c r="I197" s="52"/>
      <c r="J197" s="52"/>
      <c r="K197" s="52"/>
      <c r="L197" s="52"/>
      <c r="M197" s="52"/>
      <c r="N197" s="53"/>
      <c r="O197" s="54"/>
      <c r="P197" s="54"/>
      <c r="Q197" s="55"/>
      <c r="R197" s="27"/>
      <c r="S197" s="56"/>
      <c r="T197" s="57"/>
      <c r="U197" s="19"/>
      <c r="V197" s="30"/>
      <c r="W197" s="1039"/>
      <c r="X197" s="27"/>
      <c r="Y197" s="16"/>
      <c r="Z197" s="16"/>
      <c r="AA197" s="1388"/>
      <c r="AB197" s="1388"/>
      <c r="AC197" s="52"/>
    </row>
    <row r="198" spans="1:29" s="58" customFormat="1" ht="65.099999999999994" customHeight="1">
      <c r="A198" s="50"/>
      <c r="B198" s="50"/>
      <c r="C198" s="785"/>
      <c r="D198" s="51"/>
      <c r="E198" s="52"/>
      <c r="F198" s="52"/>
      <c r="G198" s="52"/>
      <c r="H198" s="52"/>
      <c r="I198" s="52"/>
      <c r="J198" s="52"/>
      <c r="K198" s="52"/>
      <c r="L198" s="52"/>
      <c r="M198" s="52"/>
      <c r="N198" s="53"/>
      <c r="O198" s="54"/>
      <c r="P198" s="54"/>
      <c r="Q198" s="55"/>
      <c r="R198" s="27"/>
      <c r="S198" s="56"/>
      <c r="T198" s="57"/>
      <c r="U198" s="19"/>
      <c r="V198" s="30"/>
      <c r="W198" s="1039"/>
      <c r="X198" s="27"/>
      <c r="Y198" s="16"/>
      <c r="Z198" s="16"/>
      <c r="AA198" s="1388"/>
      <c r="AB198" s="1388"/>
      <c r="AC198" s="52"/>
    </row>
    <row r="199" spans="1:29">
      <c r="I199" s="52"/>
    </row>
    <row r="200" spans="1:29">
      <c r="I200" s="800"/>
    </row>
    <row r="201" spans="1:29">
      <c r="I201" s="794"/>
    </row>
    <row r="202" spans="1:29">
      <c r="I202" s="52"/>
    </row>
    <row r="203" spans="1:29">
      <c r="I203" s="52"/>
    </row>
    <row r="204" spans="1:29">
      <c r="I204" s="52"/>
    </row>
    <row r="205" spans="1:29">
      <c r="I205" s="52"/>
    </row>
    <row r="206" spans="1:29">
      <c r="I206" s="800"/>
    </row>
    <row r="207" spans="1:29">
      <c r="I207" s="794"/>
    </row>
    <row r="208" spans="1:29">
      <c r="I208" s="52"/>
    </row>
    <row r="209" spans="9:9">
      <c r="I209" s="52"/>
    </row>
    <row r="210" spans="9:9">
      <c r="I210" s="52"/>
    </row>
    <row r="211" spans="9:9">
      <c r="I211" s="52"/>
    </row>
    <row r="212" spans="9:9">
      <c r="I212" s="800"/>
    </row>
    <row r="213" spans="9:9">
      <c r="I213" s="794"/>
    </row>
    <row r="214" spans="9:9">
      <c r="I214" s="52"/>
    </row>
    <row r="215" spans="9:9">
      <c r="I215" s="52"/>
    </row>
    <row r="216" spans="9:9">
      <c r="I216" s="52"/>
    </row>
    <row r="217" spans="9:9">
      <c r="I217" s="52"/>
    </row>
    <row r="218" spans="9:9">
      <c r="I218" s="800"/>
    </row>
    <row r="219" spans="9:9">
      <c r="I219" s="794"/>
    </row>
    <row r="220" spans="9:9">
      <c r="I220" s="52"/>
    </row>
    <row r="221" spans="9:9">
      <c r="I221" s="52"/>
    </row>
    <row r="222" spans="9:9">
      <c r="I222" s="52"/>
    </row>
    <row r="223" spans="9:9">
      <c r="I223" s="52"/>
    </row>
    <row r="224" spans="9:9">
      <c r="I224" s="800"/>
    </row>
    <row r="225" spans="9:9">
      <c r="I225" s="810"/>
    </row>
    <row r="230" spans="9:9">
      <c r="I230" s="817"/>
    </row>
    <row r="231" spans="9:9">
      <c r="I231" s="810"/>
    </row>
    <row r="236" spans="9:9">
      <c r="I236" s="817"/>
    </row>
    <row r="237" spans="9:9">
      <c r="I237" s="810"/>
    </row>
    <row r="242" spans="9:9">
      <c r="I242" s="817"/>
    </row>
    <row r="243" spans="9:9">
      <c r="I243" s="810"/>
    </row>
    <row r="248" spans="9:9">
      <c r="I248" s="817"/>
    </row>
    <row r="249" spans="9:9">
      <c r="I249" s="810"/>
    </row>
    <row r="254" spans="9:9">
      <c r="I254" s="817"/>
    </row>
    <row r="255" spans="9:9">
      <c r="I255" s="810"/>
    </row>
    <row r="260" spans="9:9">
      <c r="I260" s="817"/>
    </row>
    <row r="261" spans="9:9">
      <c r="I261" s="810"/>
    </row>
    <row r="266" spans="9:9">
      <c r="I266" s="817"/>
    </row>
    <row r="267" spans="9:9">
      <c r="I267" s="810"/>
    </row>
    <row r="272" spans="9:9">
      <c r="I272" s="817"/>
    </row>
    <row r="273" spans="9:9">
      <c r="I273" s="810"/>
    </row>
    <row r="278" spans="9:9">
      <c r="I278" s="817"/>
    </row>
    <row r="279" spans="9:9">
      <c r="I279" s="810"/>
    </row>
    <row r="284" spans="9:9">
      <c r="I284" s="817"/>
    </row>
    <row r="285" spans="9:9">
      <c r="I285" s="810"/>
    </row>
    <row r="290" spans="9:9">
      <c r="I290" s="817"/>
    </row>
    <row r="291" spans="9:9">
      <c r="I291" s="810"/>
    </row>
    <row r="296" spans="9:9">
      <c r="I296" s="817"/>
    </row>
    <row r="297" spans="9:9">
      <c r="I297" s="810"/>
    </row>
    <row r="302" spans="9:9">
      <c r="I302" s="817"/>
    </row>
    <row r="303" spans="9:9">
      <c r="I303" s="810"/>
    </row>
    <row r="308" spans="9:9">
      <c r="I308" s="817"/>
    </row>
    <row r="309" spans="9:9">
      <c r="I309" s="810"/>
    </row>
    <row r="314" spans="9:9">
      <c r="I314" s="817"/>
    </row>
    <row r="315" spans="9:9">
      <c r="I315" s="810"/>
    </row>
    <row r="320" spans="9:9">
      <c r="I320" s="817"/>
    </row>
    <row r="321" spans="9:9">
      <c r="I321" s="810"/>
    </row>
    <row r="326" spans="9:9">
      <c r="I326" s="817"/>
    </row>
    <row r="327" spans="9:9">
      <c r="I327" s="810"/>
    </row>
    <row r="332" spans="9:9">
      <c r="I332" s="817"/>
    </row>
    <row r="333" spans="9:9">
      <c r="I333" s="802"/>
    </row>
  </sheetData>
  <autoFilter ref="A1:AC17"/>
  <mergeCells count="123">
    <mergeCell ref="A135:A138"/>
    <mergeCell ref="A139:A142"/>
    <mergeCell ref="A143:A146"/>
    <mergeCell ref="A107:A110"/>
    <mergeCell ref="A111:A114"/>
    <mergeCell ref="A115:A118"/>
    <mergeCell ref="A119:A122"/>
    <mergeCell ref="A123:A126"/>
    <mergeCell ref="A147:A150"/>
    <mergeCell ref="A151:A154"/>
    <mergeCell ref="AB83:AB86"/>
    <mergeCell ref="AB87:AB90"/>
    <mergeCell ref="AB91:AB94"/>
    <mergeCell ref="AB95:AB98"/>
    <mergeCell ref="AB99:AB102"/>
    <mergeCell ref="AB103:AB106"/>
    <mergeCell ref="A127:A130"/>
    <mergeCell ref="A131:A134"/>
    <mergeCell ref="AB131:AB134"/>
    <mergeCell ref="AB135:AB138"/>
    <mergeCell ref="AB139:AB142"/>
    <mergeCell ref="AB143:AB146"/>
    <mergeCell ref="AB147:AB150"/>
    <mergeCell ref="AB151:AB154"/>
    <mergeCell ref="A103:A106"/>
    <mergeCell ref="AB107:AB110"/>
    <mergeCell ref="A91:A94"/>
    <mergeCell ref="A95:A98"/>
    <mergeCell ref="A99:A102"/>
    <mergeCell ref="AB111:AB114"/>
    <mergeCell ref="AB115:AB118"/>
    <mergeCell ref="AB119:AB122"/>
    <mergeCell ref="AB123:AB126"/>
    <mergeCell ref="A67:A70"/>
    <mergeCell ref="A71:A74"/>
    <mergeCell ref="A75:A78"/>
    <mergeCell ref="A79:A82"/>
    <mergeCell ref="A83:A86"/>
    <mergeCell ref="AB79:AB82"/>
    <mergeCell ref="AB71:AB74"/>
    <mergeCell ref="AB75:AB78"/>
    <mergeCell ref="A87:A90"/>
    <mergeCell ref="A59:A62"/>
    <mergeCell ref="L59:L62"/>
    <mergeCell ref="AB59:AB62"/>
    <mergeCell ref="A63:A66"/>
    <mergeCell ref="AB63:AB66"/>
    <mergeCell ref="AB67:AB70"/>
    <mergeCell ref="G1:G2"/>
    <mergeCell ref="F1:F2"/>
    <mergeCell ref="I1:I2"/>
    <mergeCell ref="A51:A54"/>
    <mergeCell ref="A47:A50"/>
    <mergeCell ref="AB55:AB58"/>
    <mergeCell ref="L47:L50"/>
    <mergeCell ref="M47:M50"/>
    <mergeCell ref="A1:A2"/>
    <mergeCell ref="B1:B2"/>
    <mergeCell ref="C1:C2"/>
    <mergeCell ref="D1:D2"/>
    <mergeCell ref="E1:E2"/>
    <mergeCell ref="H1:H2"/>
    <mergeCell ref="L1:L2"/>
    <mergeCell ref="M1:M2"/>
    <mergeCell ref="AB1:AB2"/>
    <mergeCell ref="AB3:AB6"/>
    <mergeCell ref="A55:A58"/>
    <mergeCell ref="L55:L58"/>
    <mergeCell ref="M55:M58"/>
    <mergeCell ref="P1:P2"/>
    <mergeCell ref="Q1:Q2"/>
    <mergeCell ref="L43:L46"/>
    <mergeCell ref="V1:V2"/>
    <mergeCell ref="A43:A46"/>
    <mergeCell ref="A39:A42"/>
    <mergeCell ref="A35:A38"/>
    <mergeCell ref="A11:A14"/>
    <mergeCell ref="A7:A10"/>
    <mergeCell ref="A31:A34"/>
    <mergeCell ref="A27:A30"/>
    <mergeCell ref="A23:A26"/>
    <mergeCell ref="A19:A22"/>
    <mergeCell ref="A15:A18"/>
    <mergeCell ref="L7:L10"/>
    <mergeCell ref="L11:L14"/>
    <mergeCell ref="L15:L18"/>
    <mergeCell ref="M7:M10"/>
    <mergeCell ref="M11:M14"/>
    <mergeCell ref="W1:W2"/>
    <mergeCell ref="J1:J2"/>
    <mergeCell ref="K1:K2"/>
    <mergeCell ref="N1:N2"/>
    <mergeCell ref="O1:O2"/>
    <mergeCell ref="AC1:AC2"/>
    <mergeCell ref="A3:A6"/>
    <mergeCell ref="AA1:AA2"/>
    <mergeCell ref="X1:X2"/>
    <mergeCell ref="Y1:Y2"/>
    <mergeCell ref="Z1:Z2"/>
    <mergeCell ref="R1:R2"/>
    <mergeCell ref="S1:S2"/>
    <mergeCell ref="T1:T2"/>
    <mergeCell ref="U1:U2"/>
    <mergeCell ref="L3:L6"/>
    <mergeCell ref="M3:M6"/>
    <mergeCell ref="AB127:AB130"/>
    <mergeCell ref="L19:L22"/>
    <mergeCell ref="AB51:AB54"/>
    <mergeCell ref="AB35:AB38"/>
    <mergeCell ref="M19:M22"/>
    <mergeCell ref="M43:M46"/>
    <mergeCell ref="AB7:AB10"/>
    <mergeCell ref="AB11:AB14"/>
    <mergeCell ref="AB15:AB18"/>
    <mergeCell ref="AB39:AB42"/>
    <mergeCell ref="AB43:AB46"/>
    <mergeCell ref="AB47:AB50"/>
    <mergeCell ref="AB19:AB22"/>
    <mergeCell ref="AB23:AB26"/>
    <mergeCell ref="AB27:AB30"/>
    <mergeCell ref="AB31:AB34"/>
    <mergeCell ref="L51:L54"/>
    <mergeCell ref="M51:M54"/>
  </mergeCells>
  <conditionalFormatting sqref="J3:M3 J7:M7 J4:K6 J11:M11 J8:K10 J19:L19 J15:L15 J12:K14 J16:K18 J20:K22">
    <cfRule type="containsText" dxfId="212" priority="38" operator="containsText" text="NO">
      <formula>NOT(ISERROR(SEARCH("NO",J3)))</formula>
    </cfRule>
  </conditionalFormatting>
  <conditionalFormatting sqref="AA3:AB3 AA4:AA42 AB7 AB11 AB15 AB19 AB23 AB27 AB31 AB35 AB39">
    <cfRule type="containsText" dxfId="211" priority="34" operator="containsText" text="NO CUMPLE">
      <formula>NOT(ISERROR(SEARCH("NO CUMPLE",AA3)))</formula>
    </cfRule>
  </conditionalFormatting>
  <conditionalFormatting sqref="I3:I22">
    <cfRule type="containsText" dxfId="210" priority="27" operator="containsText" text="NO">
      <formula>NOT(ISERROR(SEARCH("NO",I3)))</formula>
    </cfRule>
  </conditionalFormatting>
  <conditionalFormatting sqref="M15:M16">
    <cfRule type="containsText" dxfId="209" priority="26" operator="containsText" text="NO">
      <formula>NOT(ISERROR(SEARCH("NO",M15)))</formula>
    </cfRule>
  </conditionalFormatting>
  <conditionalFormatting sqref="J43:M43 J47:M47 J44:K46 J51:M51 J48:K50 J59:M59 J55:L55 J52:K54 J56:K58 J60:K62 M60:M62">
    <cfRule type="containsText" dxfId="208" priority="25" operator="containsText" text="NO">
      <formula>NOT(ISERROR(SEARCH("NO",J43)))</formula>
    </cfRule>
  </conditionalFormatting>
  <conditionalFormatting sqref="AA43:AB43 AA44:AA62 AB47 AB51 AB55 AB59">
    <cfRule type="containsText" dxfId="207" priority="24" operator="containsText" text="NO CUMPLE">
      <formula>NOT(ISERROR(SEARCH("NO CUMPLE",AA43)))</formula>
    </cfRule>
  </conditionalFormatting>
  <conditionalFormatting sqref="I43:I62">
    <cfRule type="containsText" dxfId="206" priority="23" operator="containsText" text="NO">
      <formula>NOT(ISERROR(SEARCH("NO",I43)))</formula>
    </cfRule>
  </conditionalFormatting>
  <conditionalFormatting sqref="M55">
    <cfRule type="containsText" dxfId="205" priority="22" operator="containsText" text="NO">
      <formula>NOT(ISERROR(SEARCH("NO",M55)))</formula>
    </cfRule>
  </conditionalFormatting>
  <conditionalFormatting sqref="I103:I106 K103:M106">
    <cfRule type="containsText" dxfId="204" priority="21" operator="containsText" text="NO">
      <formula>NOT(ISERROR(SEARCH("NO",I103)))</formula>
    </cfRule>
  </conditionalFormatting>
  <conditionalFormatting sqref="AA83:AB83 AA84:AA106 AB87 AB91 AB95 AB99 AB103">
    <cfRule type="containsText" dxfId="203" priority="20" operator="containsText" text="NO CUMPLE">
      <formula>NOT(ISERROR(SEARCH("NO CUMPLE",AA83)))</formula>
    </cfRule>
  </conditionalFormatting>
  <conditionalFormatting sqref="J103:J106">
    <cfRule type="containsText" dxfId="202" priority="19" operator="containsText" text="NO">
      <formula>NOT(ISERROR(SEARCH("NO",J103)))</formula>
    </cfRule>
  </conditionalFormatting>
  <conditionalFormatting sqref="I107:M130">
    <cfRule type="containsText" dxfId="201" priority="18" operator="containsText" text="NO">
      <formula>NOT(ISERROR(SEARCH("NO",I107)))</formula>
    </cfRule>
  </conditionalFormatting>
  <conditionalFormatting sqref="AB107 AB111 AB115 AB119 AB123 AB127 AA107:AA130">
    <cfRule type="containsText" dxfId="200" priority="17" operator="containsText" text="NO CUMPLE">
      <formula>NOT(ISERROR(SEARCH("NO CUMPLE",AA107)))</formula>
    </cfRule>
  </conditionalFormatting>
  <conditionalFormatting sqref="M18">
    <cfRule type="containsText" dxfId="199" priority="16" operator="containsText" text="NO">
      <formula>NOT(ISERROR(SEARCH("NO",M18)))</formula>
    </cfRule>
  </conditionalFormatting>
  <conditionalFormatting sqref="M19">
    <cfRule type="containsText" dxfId="198" priority="15" operator="containsText" text="NO">
      <formula>NOT(ISERROR(SEARCH("NO",M19)))</formula>
    </cfRule>
  </conditionalFormatting>
  <conditionalFormatting sqref="J63:M80 K81:M82">
    <cfRule type="containsText" dxfId="197" priority="14" operator="containsText" text="NO">
      <formula>NOT(ISERROR(SEARCH("NO",J63)))</formula>
    </cfRule>
  </conditionalFormatting>
  <conditionalFormatting sqref="I63:I80">
    <cfRule type="containsText" dxfId="196" priority="13" operator="containsText" text="NO">
      <formula>NOT(ISERROR(SEARCH("NO",I63)))</formula>
    </cfRule>
  </conditionalFormatting>
  <conditionalFormatting sqref="J81">
    <cfRule type="containsText" dxfId="195" priority="12" operator="containsText" text="NO">
      <formula>NOT(ISERROR(SEARCH("NO",J81)))</formula>
    </cfRule>
  </conditionalFormatting>
  <conditionalFormatting sqref="I81">
    <cfRule type="containsText" dxfId="194" priority="11" operator="containsText" text="NO">
      <formula>NOT(ISERROR(SEARCH("NO",I81)))</formula>
    </cfRule>
  </conditionalFormatting>
  <conditionalFormatting sqref="J82">
    <cfRule type="containsText" dxfId="193" priority="10" operator="containsText" text="NO">
      <formula>NOT(ISERROR(SEARCH("NO",J82)))</formula>
    </cfRule>
  </conditionalFormatting>
  <conditionalFormatting sqref="I82">
    <cfRule type="containsText" dxfId="192" priority="9" operator="containsText" text="NO">
      <formula>NOT(ISERROR(SEARCH("NO",I82)))</formula>
    </cfRule>
  </conditionalFormatting>
  <conditionalFormatting sqref="AB67">
    <cfRule type="containsText" dxfId="191" priority="8" operator="containsText" text="NO CUMPLE">
      <formula>NOT(ISERROR(SEARCH("NO CUMPLE",AB67)))</formula>
    </cfRule>
  </conditionalFormatting>
  <conditionalFormatting sqref="AB71">
    <cfRule type="containsText" dxfId="190" priority="7" operator="containsText" text="NO CUMPLE">
      <formula>NOT(ISERROR(SEARCH("NO CUMPLE",AB71)))</formula>
    </cfRule>
  </conditionalFormatting>
  <conditionalFormatting sqref="AB75">
    <cfRule type="containsText" dxfId="189" priority="6" operator="containsText" text="NO CUMPLE">
      <formula>NOT(ISERROR(SEARCH("NO CUMPLE",AB75)))</formula>
    </cfRule>
  </conditionalFormatting>
  <conditionalFormatting sqref="AB79">
    <cfRule type="containsText" dxfId="188" priority="5" operator="containsText" text="NO CUMPLE">
      <formula>NOT(ISERROR(SEARCH("NO CUMPLE",AB79)))</formula>
    </cfRule>
  </conditionalFormatting>
  <conditionalFormatting sqref="I131:M154">
    <cfRule type="containsText" dxfId="187" priority="4" operator="containsText" text="NO">
      <formula>NOT(ISERROR(SEARCH("NO",I131)))</formula>
    </cfRule>
  </conditionalFormatting>
  <conditionalFormatting sqref="I83:I102 K83:M102">
    <cfRule type="containsText" dxfId="186" priority="3" operator="containsText" text="NO">
      <formula>NOT(ISERROR(SEARCH("NO",I83)))</formula>
    </cfRule>
  </conditionalFormatting>
  <conditionalFormatting sqref="J83:J102">
    <cfRule type="containsText" dxfId="185" priority="2" operator="containsText" text="NO">
      <formula>NOT(ISERROR(SEARCH("NO",J83)))</formula>
    </cfRule>
  </conditionalFormatting>
  <conditionalFormatting sqref="I23:M42">
    <cfRule type="containsText" dxfId="184" priority="1" operator="containsText" text="NO">
      <formula>NOT(ISERROR(SEARCH("NO",I23)))</formula>
    </cfRule>
  </conditionalFormatting>
  <dataValidations count="2">
    <dataValidation type="list" allowBlank="1" showInputMessage="1" showErrorMessage="1" sqref="J3:K62 L3:M3 L7:M7 L11:M11 L15:M15 L19 M16 L47:M47 L51:M51 L55:M55 L59 M59:M62 I83:M130 M18:M19 L23:M43">
      <formula1>$AE$1:$AF$1</formula1>
    </dataValidation>
    <dataValidation type="list" allowBlank="1" showInputMessage="1" showErrorMessage="1" sqref="I3:I80">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414"/>
  <sheetViews>
    <sheetView topLeftCell="A2" zoomScale="110" zoomScaleNormal="110" zoomScalePageLayoutView="125" workbookViewId="0">
      <pane xSplit="4" ySplit="1" topLeftCell="E76" activePane="bottomRight" state="frozen"/>
      <selection activeCell="A2" sqref="A2"/>
      <selection pane="topRight" activeCell="E2" sqref="E2"/>
      <selection pane="bottomLeft" activeCell="A3" sqref="A3"/>
      <selection pane="bottomRight" activeCell="B10" sqref="B10:B12"/>
    </sheetView>
  </sheetViews>
  <sheetFormatPr baseColWidth="10" defaultColWidth="11" defaultRowHeight="15.75"/>
  <cols>
    <col min="1" max="1" width="3.125" style="1061" bestFit="1" customWidth="1"/>
    <col min="2" max="2" width="25.125" style="1120" customWidth="1"/>
    <col min="3" max="3" width="9.875" style="144" customWidth="1"/>
    <col min="4" max="4" width="27.25" style="1073" customWidth="1"/>
    <col min="5" max="5" width="9.625" style="869" bestFit="1" customWidth="1"/>
    <col min="6" max="6" width="11" style="143" customWidth="1"/>
    <col min="7" max="7" width="10.5" style="142" customWidth="1"/>
    <col min="8" max="8" width="10.625" style="143" customWidth="1"/>
    <col min="9" max="9" width="10.5" style="143" customWidth="1"/>
    <col min="10" max="10" width="7.625" style="143" customWidth="1"/>
    <col min="11" max="11" width="11.25" style="724" customWidth="1"/>
    <col min="12" max="12" width="12.875" style="144" customWidth="1"/>
    <col min="13" max="13" width="3.875" style="3" customWidth="1"/>
    <col min="14" max="14" width="10.5" style="3" customWidth="1"/>
    <col min="15" max="15" width="30.875" style="3" bestFit="1" customWidth="1"/>
    <col min="16" max="16" width="38.875" style="3" customWidth="1"/>
    <col min="17" max="17" width="15.875" style="3" customWidth="1"/>
    <col min="18" max="19" width="14.875" style="3" customWidth="1"/>
    <col min="20" max="23" width="11.375" style="3" bestFit="1" customWidth="1"/>
    <col min="24" max="24" width="3.5" style="3" customWidth="1"/>
    <col min="25" max="25" width="10.5" style="3" bestFit="1" customWidth="1"/>
    <col min="26" max="26" width="30.875" style="3" bestFit="1" customWidth="1"/>
    <col min="27" max="27" width="38.875" style="3" customWidth="1"/>
    <col min="28" max="28" width="15.875" style="3" customWidth="1"/>
    <col min="29" max="30" width="14.875" style="3" customWidth="1"/>
    <col min="31" max="34" width="11.375" style="3" bestFit="1" customWidth="1"/>
    <col min="35" max="35" width="4.625" style="3" customWidth="1"/>
    <col min="36" max="36" width="9.125" style="3" customWidth="1"/>
    <col min="37" max="37" width="30.875" style="3" bestFit="1" customWidth="1"/>
    <col min="38" max="38" width="38.875" style="3" customWidth="1"/>
    <col min="39" max="39" width="15.875" style="3" customWidth="1"/>
    <col min="40" max="40" width="14.875" style="3" customWidth="1"/>
    <col min="41" max="41" width="15" style="3" customWidth="1"/>
    <col min="42" max="45" width="11.375" style="3" bestFit="1" customWidth="1"/>
    <col min="46" max="46" width="4.125" style="3" customWidth="1"/>
    <col min="47" max="47" width="10.5" style="3" bestFit="1" customWidth="1"/>
    <col min="48" max="48" width="30.875" style="3" bestFit="1" customWidth="1"/>
    <col min="49" max="49" width="38.875" style="3" customWidth="1"/>
    <col min="50" max="50" width="15.875" style="3" customWidth="1"/>
    <col min="51" max="52" width="14.875" style="3" customWidth="1"/>
    <col min="53" max="56" width="11.375" style="3" bestFit="1" customWidth="1"/>
    <col min="57" max="57" width="3.875" style="3" customWidth="1"/>
    <col min="58" max="58" width="10.5" style="3" bestFit="1" customWidth="1"/>
    <col min="59" max="59" width="30.875" style="3" bestFit="1" customWidth="1"/>
    <col min="60" max="60" width="38.875" style="3" customWidth="1"/>
    <col min="61" max="61" width="15.875" style="3" customWidth="1"/>
    <col min="62" max="63" width="14.875" style="3" customWidth="1"/>
    <col min="64" max="67" width="11.375" style="3" bestFit="1" customWidth="1"/>
  </cols>
  <sheetData>
    <row r="1" spans="1:67" ht="15.75" customHeight="1">
      <c r="A1" s="1554" t="s">
        <v>0</v>
      </c>
      <c r="B1" s="1555"/>
      <c r="C1" s="1555"/>
      <c r="D1" s="1555"/>
      <c r="E1" s="1555"/>
      <c r="F1" s="1555"/>
      <c r="G1" s="1555"/>
      <c r="H1" s="1555"/>
      <c r="I1" s="1555"/>
      <c r="J1" s="1555"/>
      <c r="K1" s="1555"/>
      <c r="L1" s="1555"/>
    </row>
    <row r="2" spans="1:67" s="12" customFormat="1" ht="45" customHeight="1" thickBot="1">
      <c r="A2" s="725" t="s">
        <v>3</v>
      </c>
      <c r="B2" s="725" t="s">
        <v>4</v>
      </c>
      <c r="C2" s="725" t="s">
        <v>800</v>
      </c>
      <c r="D2" s="1062" t="s">
        <v>801</v>
      </c>
      <c r="E2" s="853" t="s">
        <v>802</v>
      </c>
      <c r="F2" s="826" t="s">
        <v>803</v>
      </c>
      <c r="G2" s="827" t="s">
        <v>804</v>
      </c>
      <c r="H2" s="827" t="s">
        <v>805</v>
      </c>
      <c r="I2" s="827" t="s">
        <v>806</v>
      </c>
      <c r="J2" s="827" t="s">
        <v>807</v>
      </c>
      <c r="K2" s="827" t="s">
        <v>808</v>
      </c>
      <c r="L2" s="827" t="s">
        <v>809</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row>
    <row r="3" spans="1:67" s="12" customFormat="1">
      <c r="A3" s="1565" t="s">
        <v>15</v>
      </c>
      <c r="B3" s="1562" t="s">
        <v>810</v>
      </c>
      <c r="C3" s="918" t="s">
        <v>136</v>
      </c>
      <c r="D3" s="1063" t="s">
        <v>137</v>
      </c>
      <c r="E3" s="852">
        <v>0.51</v>
      </c>
      <c r="F3" s="125" t="s">
        <v>129</v>
      </c>
      <c r="G3" s="126">
        <v>13004.07</v>
      </c>
      <c r="H3" s="126">
        <v>0</v>
      </c>
      <c r="I3" s="126">
        <v>13004.07</v>
      </c>
      <c r="J3" s="1413" t="str">
        <f>+IF(I3&gt;=PARAMETROS!$O$5,"SI","NO")</f>
        <v>SI</v>
      </c>
      <c r="K3" s="1413" t="str">
        <f t="shared" ref="K3:K36" si="0">+IF(F3="ACREDITA",IF(J3="SI","CUMPLE","NO CUMPLE"),"")</f>
        <v/>
      </c>
      <c r="L3" s="1556" t="s">
        <v>22</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s="12" customFormat="1">
      <c r="A4" s="1572"/>
      <c r="B4" s="1573"/>
      <c r="C4" s="1059" t="s">
        <v>153</v>
      </c>
      <c r="D4" s="1064" t="s">
        <v>154</v>
      </c>
      <c r="E4" s="854">
        <v>0.25</v>
      </c>
      <c r="F4" s="127" t="s">
        <v>811</v>
      </c>
      <c r="G4" s="128">
        <v>3628.2174213965645</v>
      </c>
      <c r="H4" s="128">
        <v>6707.635623248043</v>
      </c>
      <c r="I4" s="128">
        <v>10335.85</v>
      </c>
      <c r="J4" s="129" t="str">
        <f>+IF(I4&gt;=PARAMETROS!$O$5,"SI","NO")</f>
        <v>SI</v>
      </c>
      <c r="K4" s="129" t="str">
        <f t="shared" si="0"/>
        <v>CUMPLE</v>
      </c>
      <c r="L4" s="156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row>
    <row r="5" spans="1:67" s="12" customFormat="1">
      <c r="A5" s="1566"/>
      <c r="B5" s="1564"/>
      <c r="C5" s="919" t="s">
        <v>145</v>
      </c>
      <c r="D5" s="1065" t="s">
        <v>146</v>
      </c>
      <c r="E5" s="855">
        <v>0.24</v>
      </c>
      <c r="F5" s="130" t="s">
        <v>129</v>
      </c>
      <c r="G5" s="131">
        <v>5205.213368510902</v>
      </c>
      <c r="H5" s="131">
        <v>9591.6356284627909</v>
      </c>
      <c r="I5" s="131">
        <v>14796.85</v>
      </c>
      <c r="J5" s="1414" t="str">
        <f>+IF(I5&gt;=PARAMETROS!$O$5,"SI","NO")</f>
        <v>SI</v>
      </c>
      <c r="K5" s="1414" t="str">
        <f t="shared" si="0"/>
        <v/>
      </c>
      <c r="L5" s="1557"/>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row>
    <row r="6" spans="1:67" s="12" customFormat="1">
      <c r="A6" s="1577" t="s">
        <v>20</v>
      </c>
      <c r="B6" s="1568" t="s">
        <v>812</v>
      </c>
      <c r="C6" s="918" t="s">
        <v>159</v>
      </c>
      <c r="D6" s="1063" t="s">
        <v>813</v>
      </c>
      <c r="E6" s="852">
        <v>0.7</v>
      </c>
      <c r="F6" s="125" t="s">
        <v>129</v>
      </c>
      <c r="G6" s="126">
        <v>22175.999248024022</v>
      </c>
      <c r="H6" s="126">
        <v>15569.407529104887</v>
      </c>
      <c r="I6" s="126">
        <v>37745.410000000003</v>
      </c>
      <c r="J6" s="1413" t="str">
        <f>+IF(I6&gt;=PARAMETROS!$O$5,"SI","NO")</f>
        <v>SI</v>
      </c>
      <c r="K6" s="1413" t="str">
        <f t="shared" si="0"/>
        <v/>
      </c>
      <c r="L6" s="1575" t="s">
        <v>22</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2" customFormat="1">
      <c r="A7" s="1578"/>
      <c r="B7" s="1569"/>
      <c r="C7" s="919" t="s">
        <v>166</v>
      </c>
      <c r="D7" s="1065" t="s">
        <v>167</v>
      </c>
      <c r="E7" s="855">
        <v>0.3</v>
      </c>
      <c r="F7" s="130" t="s">
        <v>811</v>
      </c>
      <c r="G7" s="131">
        <v>4326.2347368506498</v>
      </c>
      <c r="H7" s="131">
        <v>4326.2347368506498</v>
      </c>
      <c r="I7" s="131">
        <v>8652.4699999999993</v>
      </c>
      <c r="J7" s="1414" t="str">
        <f>+IF(I7&gt;=PARAMETROS!$O$5,"SI","NO")</f>
        <v>SI</v>
      </c>
      <c r="K7" s="1414" t="str">
        <f t="shared" si="0"/>
        <v>CUMPLE</v>
      </c>
      <c r="L7" s="1576"/>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row>
    <row r="8" spans="1:67" s="12" customFormat="1">
      <c r="A8" s="1565" t="s">
        <v>23</v>
      </c>
      <c r="B8" s="1562" t="s">
        <v>814</v>
      </c>
      <c r="C8" s="918" t="s">
        <v>171</v>
      </c>
      <c r="D8" s="1063" t="s">
        <v>815</v>
      </c>
      <c r="E8" s="852">
        <v>0.7</v>
      </c>
      <c r="F8" s="125" t="s">
        <v>811</v>
      </c>
      <c r="G8" s="126">
        <v>48088.846592716647</v>
      </c>
      <c r="H8" s="126">
        <v>48668.649605856874</v>
      </c>
      <c r="I8" s="126">
        <v>96757.5</v>
      </c>
      <c r="J8" s="1413" t="str">
        <f>+IF(I8&gt;=PARAMETROS!$O$5,"SI","NO")</f>
        <v>SI</v>
      </c>
      <c r="K8" s="1413" t="str">
        <f t="shared" si="0"/>
        <v>CUMPLE</v>
      </c>
      <c r="L8" s="1556" t="s">
        <v>22</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row>
    <row r="9" spans="1:67" s="12" customFormat="1">
      <c r="A9" s="1566"/>
      <c r="B9" s="1564"/>
      <c r="C9" s="919" t="s">
        <v>180</v>
      </c>
      <c r="D9" s="1065" t="s">
        <v>181</v>
      </c>
      <c r="E9" s="855">
        <v>0.3</v>
      </c>
      <c r="F9" s="130" t="s">
        <v>129</v>
      </c>
      <c r="G9" s="131">
        <v>25963.65607504479</v>
      </c>
      <c r="H9" s="131">
        <v>14181.149720297217</v>
      </c>
      <c r="I9" s="131">
        <v>40144.81</v>
      </c>
      <c r="J9" s="1414" t="str">
        <f>+IF(I9&gt;=PARAMETROS!$O$5,"SI","NO")</f>
        <v>SI</v>
      </c>
      <c r="K9" s="1414" t="str">
        <f t="shared" si="0"/>
        <v/>
      </c>
      <c r="L9" s="1557"/>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row>
    <row r="10" spans="1:67" s="12" customFormat="1">
      <c r="A10" s="1565" t="s">
        <v>24</v>
      </c>
      <c r="B10" s="1562" t="s">
        <v>816</v>
      </c>
      <c r="C10" s="920" t="s">
        <v>190</v>
      </c>
      <c r="D10" s="1066" t="s">
        <v>191</v>
      </c>
      <c r="E10" s="856">
        <v>0.51</v>
      </c>
      <c r="F10" s="125" t="s">
        <v>129</v>
      </c>
      <c r="G10" s="126">
        <v>9378.5925087995602</v>
      </c>
      <c r="H10" s="126">
        <v>5321.5956342663276</v>
      </c>
      <c r="I10" s="850">
        <v>14700.19</v>
      </c>
      <c r="J10" s="851" t="str">
        <f>+IF(I10&gt;=PARAMETROS!$O$5,"SI","NO")</f>
        <v>SI</v>
      </c>
      <c r="K10" s="1413" t="str">
        <f t="shared" si="0"/>
        <v/>
      </c>
      <c r="L10" s="1556" t="s">
        <v>22</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row>
    <row r="11" spans="1:67" s="12" customFormat="1">
      <c r="A11" s="1567"/>
      <c r="B11" s="1563"/>
      <c r="C11" s="1059" t="s">
        <v>200</v>
      </c>
      <c r="D11" s="1064" t="s">
        <v>201</v>
      </c>
      <c r="E11" s="854">
        <v>0.25</v>
      </c>
      <c r="F11" s="844" t="s">
        <v>811</v>
      </c>
      <c r="G11" s="845">
        <v>5584.2182583377453</v>
      </c>
      <c r="H11" s="845">
        <v>5584.2182583377453</v>
      </c>
      <c r="I11" s="128">
        <v>11168.44</v>
      </c>
      <c r="J11" s="129" t="str">
        <f>+IF(I11&gt;=PARAMETROS!$O$5,"SI","NO")</f>
        <v>SI</v>
      </c>
      <c r="K11" s="129" t="str">
        <f t="shared" si="0"/>
        <v>CUMPLE</v>
      </c>
      <c r="L11" s="1560"/>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row>
    <row r="12" spans="1:67" s="12" customFormat="1">
      <c r="A12" s="1566"/>
      <c r="B12" s="1564"/>
      <c r="C12" s="848" t="s">
        <v>196</v>
      </c>
      <c r="D12" s="1067" t="s">
        <v>197</v>
      </c>
      <c r="E12" s="857">
        <v>0.24</v>
      </c>
      <c r="F12" s="130" t="s">
        <v>129</v>
      </c>
      <c r="G12" s="131">
        <v>18756.884109567782</v>
      </c>
      <c r="H12" s="131">
        <v>18756.884109567782</v>
      </c>
      <c r="I12" s="131">
        <v>37513.769999999997</v>
      </c>
      <c r="J12" s="1414" t="str">
        <f>+IF(I12&gt;=PARAMETROS!$O$5,"SI","NO")</f>
        <v>SI</v>
      </c>
      <c r="K12" s="1414" t="str">
        <f t="shared" si="0"/>
        <v/>
      </c>
      <c r="L12" s="1557"/>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row>
    <row r="13" spans="1:67" s="12" customFormat="1">
      <c r="A13" s="1565" t="s">
        <v>25</v>
      </c>
      <c r="B13" s="1562" t="s">
        <v>817</v>
      </c>
      <c r="C13" s="918" t="s">
        <v>205</v>
      </c>
      <c r="D13" s="1063" t="s">
        <v>206</v>
      </c>
      <c r="E13" s="852">
        <v>0.51</v>
      </c>
      <c r="F13" s="125" t="s">
        <v>811</v>
      </c>
      <c r="G13" s="126">
        <v>37734.435344684171</v>
      </c>
      <c r="H13" s="126">
        <v>63814.147325471749</v>
      </c>
      <c r="I13" s="126">
        <v>101548.58</v>
      </c>
      <c r="J13" s="1413" t="str">
        <f>+IF(I13&gt;=PARAMETROS!$O$5,"SI","NO")</f>
        <v>SI</v>
      </c>
      <c r="K13" s="1413" t="str">
        <f t="shared" si="0"/>
        <v>CUMPLE</v>
      </c>
      <c r="L13" s="1556" t="s">
        <v>22</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row>
    <row r="14" spans="1:67" s="12" customFormat="1">
      <c r="A14" s="1566"/>
      <c r="B14" s="1564"/>
      <c r="C14" s="919" t="s">
        <v>212</v>
      </c>
      <c r="D14" s="1065" t="s">
        <v>213</v>
      </c>
      <c r="E14" s="855">
        <v>0.49</v>
      </c>
      <c r="F14" s="130" t="s">
        <v>129</v>
      </c>
      <c r="G14" s="131">
        <v>6306.283418141792</v>
      </c>
      <c r="H14" s="131">
        <v>6679.8005052059279</v>
      </c>
      <c r="I14" s="131">
        <v>12986.08</v>
      </c>
      <c r="J14" s="1414" t="str">
        <f>+IF(I14&gt;=PARAMETROS!$O$5,"SI","NO")</f>
        <v>SI</v>
      </c>
      <c r="K14" s="1414" t="str">
        <f t="shared" si="0"/>
        <v/>
      </c>
      <c r="L14" s="1557"/>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row>
    <row r="15" spans="1:67" s="12" customFormat="1">
      <c r="A15" s="1565" t="s">
        <v>26</v>
      </c>
      <c r="B15" s="1562" t="s">
        <v>818</v>
      </c>
      <c r="C15" s="920" t="s">
        <v>217</v>
      </c>
      <c r="D15" s="1063" t="s">
        <v>219</v>
      </c>
      <c r="E15" s="852">
        <v>0.51</v>
      </c>
      <c r="F15" s="125" t="s">
        <v>811</v>
      </c>
      <c r="G15" s="126">
        <v>9375.9072228976584</v>
      </c>
      <c r="H15" s="126">
        <v>9375.9072228976584</v>
      </c>
      <c r="I15" s="850">
        <v>18751.814445795317</v>
      </c>
      <c r="J15" s="851" t="str">
        <f>+IF(I15&gt;=PARAMETROS!$O$5,"SI","NO")</f>
        <v>SI</v>
      </c>
      <c r="K15" s="1413" t="str">
        <f t="shared" si="0"/>
        <v>CUMPLE</v>
      </c>
      <c r="L15" s="1556" t="s">
        <v>22</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row>
    <row r="16" spans="1:67" s="12" customFormat="1">
      <c r="A16" s="1567"/>
      <c r="B16" s="1563"/>
      <c r="C16" s="1059" t="s">
        <v>224</v>
      </c>
      <c r="D16" s="1068" t="s">
        <v>226</v>
      </c>
      <c r="E16" s="858">
        <v>0.34</v>
      </c>
      <c r="F16" s="844" t="s">
        <v>129</v>
      </c>
      <c r="G16" s="845">
        <v>6020.1674979267718</v>
      </c>
      <c r="H16" s="845">
        <v>6020.1674979267718</v>
      </c>
      <c r="I16" s="128">
        <v>12040.334995853544</v>
      </c>
      <c r="J16" s="129" t="str">
        <f>+IF(I16&gt;=PARAMETROS!$O$5,"SI","NO")</f>
        <v>SI</v>
      </c>
      <c r="K16" s="846"/>
      <c r="L16" s="1560"/>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row>
    <row r="17" spans="1:67" s="12" customFormat="1" ht="21" customHeight="1" thickBot="1">
      <c r="A17" s="1566"/>
      <c r="B17" s="1564"/>
      <c r="C17" s="848" t="s">
        <v>234</v>
      </c>
      <c r="D17" s="1065" t="s">
        <v>236</v>
      </c>
      <c r="E17" s="855">
        <v>0.15</v>
      </c>
      <c r="F17" s="130" t="s">
        <v>129</v>
      </c>
      <c r="G17" s="131">
        <v>2606.1447970779222</v>
      </c>
      <c r="H17" s="131">
        <v>2606.1447970779222</v>
      </c>
      <c r="I17" s="131">
        <v>5212.2895941558445</v>
      </c>
      <c r="J17" s="1414" t="str">
        <f>+IF(I17&gt;=PARAMETROS!$O$5,"SI","NO")</f>
        <v>SI</v>
      </c>
      <c r="K17" s="1414" t="str">
        <f t="shared" si="0"/>
        <v/>
      </c>
      <c r="L17" s="1557"/>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row>
    <row r="18" spans="1:67" s="12" customFormat="1" ht="36.75" customHeight="1" thickBot="1">
      <c r="A18" s="1412" t="s">
        <v>27</v>
      </c>
      <c r="B18" s="1410" t="s">
        <v>819</v>
      </c>
      <c r="C18" s="918" t="s">
        <v>239</v>
      </c>
      <c r="D18" s="1063" t="s">
        <v>240</v>
      </c>
      <c r="E18" s="852">
        <v>1</v>
      </c>
      <c r="F18" s="125" t="s">
        <v>811</v>
      </c>
      <c r="G18" s="126">
        <v>25638.92111163988</v>
      </c>
      <c r="H18" s="126">
        <v>22243.074758257841</v>
      </c>
      <c r="I18" s="126">
        <v>47225.767142923476</v>
      </c>
      <c r="J18" s="1413" t="str">
        <f>+IF(I18&gt;=PARAMETROS!$O$5,"SI","NO")</f>
        <v>SI</v>
      </c>
      <c r="K18" s="1413" t="str">
        <f t="shared" si="0"/>
        <v>CUMPLE</v>
      </c>
      <c r="L18" s="1409" t="s">
        <v>22</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row>
    <row r="19" spans="1:67" s="12" customFormat="1">
      <c r="A19" s="1412" t="s">
        <v>28</v>
      </c>
      <c r="B19" s="1410" t="s">
        <v>254</v>
      </c>
      <c r="C19" s="918" t="s">
        <v>252</v>
      </c>
      <c r="D19" s="1063" t="s">
        <v>254</v>
      </c>
      <c r="E19" s="852">
        <v>1</v>
      </c>
      <c r="F19" s="125" t="s">
        <v>811</v>
      </c>
      <c r="G19" s="126">
        <v>28761.053473213407</v>
      </c>
      <c r="H19" s="126">
        <v>28173.420068894593</v>
      </c>
      <c r="I19" s="126">
        <v>56934.473542107997</v>
      </c>
      <c r="J19" s="1413" t="str">
        <f>+IF(I19&gt;=PARAMETROS!$O$5,"SI","NO")</f>
        <v>SI</v>
      </c>
      <c r="K19" s="1413" t="str">
        <f t="shared" si="0"/>
        <v>CUMPLE</v>
      </c>
      <c r="L19" s="1409" t="s">
        <v>22</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row>
    <row r="20" spans="1:67" s="12" customFormat="1">
      <c r="A20" s="1565" t="s">
        <v>29</v>
      </c>
      <c r="B20" s="1562" t="s">
        <v>820</v>
      </c>
      <c r="C20" s="918" t="s">
        <v>270</v>
      </c>
      <c r="D20" s="1063" t="s">
        <v>272</v>
      </c>
      <c r="E20" s="852">
        <v>0.51</v>
      </c>
      <c r="F20" s="125" t="s">
        <v>129</v>
      </c>
      <c r="G20" s="126">
        <v>54527.576473834946</v>
      </c>
      <c r="H20" s="126">
        <v>54527.576473834946</v>
      </c>
      <c r="I20" s="126">
        <v>109055.15294766989</v>
      </c>
      <c r="J20" s="1413" t="str">
        <f>+IF(I20&gt;=PARAMETROS!$O$5,"SI","NO")</f>
        <v>SI</v>
      </c>
      <c r="K20" s="1413" t="str">
        <f t="shared" si="0"/>
        <v/>
      </c>
      <c r="L20" s="1556" t="s">
        <v>22</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row>
    <row r="21" spans="1:67" s="12" customFormat="1" ht="16.5" thickBot="1">
      <c r="A21" s="1566"/>
      <c r="B21" s="1564"/>
      <c r="C21" s="919" t="s">
        <v>278</v>
      </c>
      <c r="D21" s="1065" t="s">
        <v>280</v>
      </c>
      <c r="E21" s="855">
        <v>0.49</v>
      </c>
      <c r="F21" s="130" t="s">
        <v>811</v>
      </c>
      <c r="G21" s="131">
        <v>15847.428143206513</v>
      </c>
      <c r="H21" s="131">
        <v>15847.428143206513</v>
      </c>
      <c r="I21" s="131">
        <v>31694.856286413025</v>
      </c>
      <c r="J21" s="1414" t="str">
        <f>+IF(I21&gt;=PARAMETROS!$O$5,"SI","NO")</f>
        <v>SI</v>
      </c>
      <c r="K21" s="1414" t="str">
        <f t="shared" si="0"/>
        <v>CUMPLE</v>
      </c>
      <c r="L21" s="1557"/>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row>
    <row r="22" spans="1:67" ht="22.5" customHeight="1">
      <c r="A22" s="1565" t="s">
        <v>30</v>
      </c>
      <c r="B22" s="1562" t="s">
        <v>821</v>
      </c>
      <c r="C22" s="918" t="s">
        <v>289</v>
      </c>
      <c r="D22" s="1063" t="s">
        <v>291</v>
      </c>
      <c r="E22" s="852">
        <v>0.6</v>
      </c>
      <c r="F22" s="125" t="s">
        <v>129</v>
      </c>
      <c r="G22" s="126">
        <v>31808.683563666491</v>
      </c>
      <c r="H22" s="126">
        <v>26229.48320545227</v>
      </c>
      <c r="I22" s="126">
        <v>58038.166769118761</v>
      </c>
      <c r="J22" s="1413" t="str">
        <f>+IF(I22&gt;=PARAMETROS!$O$5,"SI","NO")</f>
        <v>SI</v>
      </c>
      <c r="K22" s="1413" t="str">
        <f t="shared" si="0"/>
        <v/>
      </c>
      <c r="L22" s="1556" t="s">
        <v>22</v>
      </c>
    </row>
    <row r="23" spans="1:67" ht="16.5" thickBot="1">
      <c r="A23" s="1566"/>
      <c r="B23" s="1564"/>
      <c r="C23" s="919" t="s">
        <v>305</v>
      </c>
      <c r="D23" s="1065" t="s">
        <v>307</v>
      </c>
      <c r="E23" s="855">
        <v>0.4</v>
      </c>
      <c r="F23" s="130" t="s">
        <v>811</v>
      </c>
      <c r="G23" s="131">
        <v>21960.584908858302</v>
      </c>
      <c r="H23" s="131">
        <v>24068.691963295143</v>
      </c>
      <c r="I23" s="131">
        <v>46029.276872153445</v>
      </c>
      <c r="J23" s="1414" t="str">
        <f>+IF(I23&gt;=PARAMETROS!$O$5,"SI","NO")</f>
        <v>SI</v>
      </c>
      <c r="K23" s="1414" t="str">
        <f t="shared" si="0"/>
        <v>CUMPLE</v>
      </c>
      <c r="L23" s="1557"/>
    </row>
    <row r="24" spans="1:67" ht="22.5" customHeight="1" thickBot="1">
      <c r="A24" s="1565" t="s">
        <v>31</v>
      </c>
      <c r="B24" s="1562" t="s">
        <v>822</v>
      </c>
      <c r="C24" s="905" t="s">
        <v>310</v>
      </c>
      <c r="D24" s="1063" t="s">
        <v>823</v>
      </c>
      <c r="E24" s="852">
        <v>0.51</v>
      </c>
      <c r="F24" s="125" t="s">
        <v>129</v>
      </c>
      <c r="G24" s="126">
        <f>+'EXP GENERAL '!W63+'EXP GENERAL '!W64</f>
        <v>7829.7924629221779</v>
      </c>
      <c r="H24" s="126">
        <f>+'EXP ESPECIFICA '!Z43+'EXP ESPECIFICA '!Z44</f>
        <v>16130.902098689061</v>
      </c>
      <c r="I24" s="126">
        <f t="shared" ref="I24:I67" si="1">+G24+H24</f>
        <v>23960.694561611239</v>
      </c>
      <c r="J24" s="1413" t="str">
        <f>+IF(I24&gt;=PARAMETROS!$O$5,"SI","NO")</f>
        <v>SI</v>
      </c>
      <c r="K24" s="1413" t="str">
        <f t="shared" si="0"/>
        <v/>
      </c>
      <c r="L24" s="1556" t="s">
        <v>22</v>
      </c>
    </row>
    <row r="25" spans="1:67">
      <c r="A25" s="1566"/>
      <c r="B25" s="1564"/>
      <c r="C25" s="906" t="s">
        <v>314</v>
      </c>
      <c r="D25" s="1065" t="s">
        <v>824</v>
      </c>
      <c r="E25" s="855">
        <v>0.49</v>
      </c>
      <c r="F25" s="900" t="s">
        <v>811</v>
      </c>
      <c r="G25" s="901">
        <f>+'EXP GENERAL '!W65+'EXP GENERAL '!W66</f>
        <v>12405.989836381299</v>
      </c>
      <c r="H25" s="901">
        <f>+'EXP ESPECIFICA '!Z45+'EXP ESPECIFICA '!Z46</f>
        <v>17513.383302687456</v>
      </c>
      <c r="I25" s="901">
        <f t="shared" si="1"/>
        <v>29919.373139068754</v>
      </c>
      <c r="J25" s="902" t="str">
        <f>+IF(I25&gt;=PARAMETROS!$O$5,"SI","NO")</f>
        <v>SI</v>
      </c>
      <c r="K25" s="1413" t="str">
        <f t="shared" si="0"/>
        <v>CUMPLE</v>
      </c>
      <c r="L25" s="1557"/>
    </row>
    <row r="26" spans="1:67" ht="22.5" customHeight="1">
      <c r="A26" s="1565" t="s">
        <v>32</v>
      </c>
      <c r="B26" s="1562" t="s">
        <v>825</v>
      </c>
      <c r="C26" s="905" t="s">
        <v>318</v>
      </c>
      <c r="D26" s="1063" t="s">
        <v>826</v>
      </c>
      <c r="E26" s="852">
        <v>0.51</v>
      </c>
      <c r="F26" s="125" t="s">
        <v>811</v>
      </c>
      <c r="G26" s="132">
        <f>+'EXP GENERAL '!W69+'EXP GENERAL '!W70+'EXP GENERAL '!W71</f>
        <v>12532.250337727379</v>
      </c>
      <c r="H26" s="132">
        <f>+'EXP ESPECIFICA '!Z47+'EXP ESPECIFICA '!Z48+'EXP ESPECIFICA '!Z49</f>
        <v>12532.250337727379</v>
      </c>
      <c r="I26" s="126">
        <f t="shared" si="1"/>
        <v>25064.500675454758</v>
      </c>
      <c r="J26" s="1413" t="str">
        <f>+IF(I26&gt;=PARAMETROS!$O$5,"SI","NO")</f>
        <v>SI</v>
      </c>
      <c r="K26" s="1413" t="str">
        <f t="shared" si="0"/>
        <v>CUMPLE</v>
      </c>
      <c r="L26" s="1556" t="s">
        <v>22</v>
      </c>
    </row>
    <row r="27" spans="1:67" ht="16.5" customHeight="1">
      <c r="A27" s="1566"/>
      <c r="B27" s="1564"/>
      <c r="C27" s="906" t="s">
        <v>327</v>
      </c>
      <c r="D27" s="1065" t="s">
        <v>827</v>
      </c>
      <c r="E27" s="855">
        <v>0.49</v>
      </c>
      <c r="F27" s="130" t="s">
        <v>129</v>
      </c>
      <c r="G27" s="133">
        <f>+'EXP GENERAL '!W72</f>
        <v>3911.0068272963204</v>
      </c>
      <c r="H27" s="133">
        <f>+'EXP ESPECIFICA '!Z50</f>
        <v>3911.0068272963204</v>
      </c>
      <c r="I27" s="131">
        <f t="shared" si="1"/>
        <v>7822.0136545926407</v>
      </c>
      <c r="J27" s="1414" t="str">
        <f>+IF(I27&gt;=PARAMETROS!$O$5,"SI","NO")</f>
        <v>SI</v>
      </c>
      <c r="K27" s="1414" t="str">
        <f t="shared" si="0"/>
        <v/>
      </c>
      <c r="L27" s="1557"/>
    </row>
    <row r="28" spans="1:67" ht="22.5" customHeight="1">
      <c r="A28" s="1565" t="s">
        <v>33</v>
      </c>
      <c r="B28" s="1562" t="s">
        <v>828</v>
      </c>
      <c r="C28" s="905" t="s">
        <v>329</v>
      </c>
      <c r="D28" s="1063" t="s">
        <v>829</v>
      </c>
      <c r="E28" s="852">
        <v>0.6</v>
      </c>
      <c r="F28" s="125" t="s">
        <v>811</v>
      </c>
      <c r="G28" s="132">
        <f>+'EXP GENERAL '!W75+'EXP GENERAL '!W76+'EXP GENERAL '!W77</f>
        <v>18019.711384673457</v>
      </c>
      <c r="H28" s="132">
        <f>+'EXP ESPECIFICA '!Z51+'EXP ESPECIFICA '!Z52+'EXP ESPECIFICA '!Z53</f>
        <v>11891.225554390661</v>
      </c>
      <c r="I28" s="126">
        <f t="shared" si="1"/>
        <v>29910.936939064119</v>
      </c>
      <c r="J28" s="1413" t="str">
        <f>+IF(I28&gt;=PARAMETROS!$O$5,"SI","NO")</f>
        <v>SI</v>
      </c>
      <c r="K28" s="1413" t="str">
        <f t="shared" si="0"/>
        <v>CUMPLE</v>
      </c>
      <c r="L28" s="1556" t="s">
        <v>22</v>
      </c>
    </row>
    <row r="29" spans="1:67">
      <c r="A29" s="1566"/>
      <c r="B29" s="1564"/>
      <c r="C29" s="906" t="s">
        <v>338</v>
      </c>
      <c r="D29" s="1065" t="s">
        <v>830</v>
      </c>
      <c r="E29" s="855">
        <v>0.4</v>
      </c>
      <c r="F29" s="130" t="s">
        <v>129</v>
      </c>
      <c r="G29" s="133">
        <f>+'EXP GENERAL '!W78</f>
        <v>8582.0129307241295</v>
      </c>
      <c r="H29" s="133">
        <f>+'EXP ESPECIFICA '!Z54</f>
        <v>5272.4817165392315</v>
      </c>
      <c r="I29" s="131">
        <f t="shared" si="1"/>
        <v>13854.49464726336</v>
      </c>
      <c r="J29" s="1414" t="str">
        <f>+IF(I29&gt;=PARAMETROS!$O$5,"SI","NO")</f>
        <v>SI</v>
      </c>
      <c r="K29" s="1414" t="str">
        <f t="shared" si="0"/>
        <v/>
      </c>
      <c r="L29" s="1557"/>
    </row>
    <row r="30" spans="1:67" ht="22.5" customHeight="1">
      <c r="A30" s="1565" t="s">
        <v>34</v>
      </c>
      <c r="B30" s="1562" t="s">
        <v>816</v>
      </c>
      <c r="C30" s="905" t="s">
        <v>340</v>
      </c>
      <c r="D30" s="1069" t="s">
        <v>831</v>
      </c>
      <c r="E30" s="852">
        <v>0.51</v>
      </c>
      <c r="F30" s="125" t="s">
        <v>129</v>
      </c>
      <c r="G30" s="132">
        <f>+'EXP GENERAL '!W81+'EXP GENERAL '!W83</f>
        <v>9388.3395654441956</v>
      </c>
      <c r="H30" s="132">
        <f>+'EXP ESPECIFICA '!Z55+'EXP ESPECIFICA '!Z56</f>
        <v>10326.5036736246</v>
      </c>
      <c r="I30" s="126">
        <f t="shared" si="1"/>
        <v>19714.843239068796</v>
      </c>
      <c r="J30" s="1413" t="str">
        <f>+IF(I30&gt;=PARAMETROS!$O$5,"SI","NO")</f>
        <v>SI</v>
      </c>
      <c r="K30" s="1413" t="str">
        <f t="shared" si="0"/>
        <v/>
      </c>
      <c r="L30" s="1556" t="s">
        <v>22</v>
      </c>
    </row>
    <row r="31" spans="1:67">
      <c r="A31" s="1566"/>
      <c r="B31" s="1564"/>
      <c r="C31" s="906" t="s">
        <v>347</v>
      </c>
      <c r="D31" s="1070" t="s">
        <v>832</v>
      </c>
      <c r="E31" s="855">
        <v>0.49</v>
      </c>
      <c r="F31" s="1368" t="s">
        <v>811</v>
      </c>
      <c r="G31" s="133">
        <f>+'EXP GENERAL '!W84</f>
        <v>2529.59307900469</v>
      </c>
      <c r="H31" s="133">
        <f>+'EXP ESPECIFICA '!Z57+'EXP ESPECIFICA '!Z58</f>
        <v>4822.2842639097162</v>
      </c>
      <c r="I31" s="131">
        <f t="shared" si="1"/>
        <v>7351.8773429144057</v>
      </c>
      <c r="J31" s="1414" t="str">
        <f>+IF(I31&gt;=PARAMETROS!$O$5,"SI","NO")</f>
        <v>SI</v>
      </c>
      <c r="K31" s="1414" t="str">
        <f t="shared" si="0"/>
        <v>CUMPLE</v>
      </c>
      <c r="L31" s="1557"/>
    </row>
    <row r="32" spans="1:67">
      <c r="A32" s="1565" t="s">
        <v>35</v>
      </c>
      <c r="B32" s="1562" t="s">
        <v>833</v>
      </c>
      <c r="C32" s="907" t="s">
        <v>350</v>
      </c>
      <c r="D32" s="1063" t="s">
        <v>834</v>
      </c>
      <c r="E32" s="852">
        <v>0.51</v>
      </c>
      <c r="F32" s="125" t="s">
        <v>811</v>
      </c>
      <c r="G32" s="132">
        <f>+'EXP GENERAL '!W87</f>
        <v>3909.9454016654245</v>
      </c>
      <c r="H32" s="132">
        <f>+'EXP ESPECIFICA '!Z60+'EXP ESPECIFICA '!Z61</f>
        <v>8167.8318421060521</v>
      </c>
      <c r="I32" s="850">
        <f t="shared" si="1"/>
        <v>12077.777243771478</v>
      </c>
      <c r="J32" s="851" t="str">
        <f>+IF(I32&gt;=PARAMETROS!$O$5,"SI","NO")</f>
        <v>SI</v>
      </c>
      <c r="K32" s="1413" t="str">
        <f t="shared" si="0"/>
        <v>CUMPLE</v>
      </c>
      <c r="L32" s="1556" t="s">
        <v>22</v>
      </c>
    </row>
    <row r="33" spans="1:12">
      <c r="A33" s="1567"/>
      <c r="B33" s="1563"/>
      <c r="C33" s="908" t="s">
        <v>354</v>
      </c>
      <c r="D33" s="1068" t="s">
        <v>835</v>
      </c>
      <c r="E33" s="858">
        <v>0.25</v>
      </c>
      <c r="F33" s="844" t="s">
        <v>129</v>
      </c>
      <c r="G33" s="849">
        <f>+'EXP GENERAL '!W88+'EXP GENERAL '!W89</f>
        <v>6876.2055503963966</v>
      </c>
      <c r="H33" s="849">
        <f>+'EXP ESPECIFICA '!Z59</f>
        <v>2618.3191099557694</v>
      </c>
      <c r="I33" s="128">
        <f>+G33+H33</f>
        <v>9494.5246603521664</v>
      </c>
      <c r="J33" s="129" t="str">
        <f>+IF(I33&gt;=PARAMETROS!$O$5,"SI","NO")</f>
        <v>SI</v>
      </c>
      <c r="K33" s="846"/>
      <c r="L33" s="1560"/>
    </row>
    <row r="34" spans="1:12" ht="16.5" thickBot="1">
      <c r="A34" s="1566"/>
      <c r="B34" s="1564"/>
      <c r="C34" s="909" t="s">
        <v>361</v>
      </c>
      <c r="D34" s="1065" t="s">
        <v>836</v>
      </c>
      <c r="E34" s="855">
        <v>0.24</v>
      </c>
      <c r="F34" s="130" t="s">
        <v>129</v>
      </c>
      <c r="G34" s="133">
        <f>+'EXP GENERAL '!W90</f>
        <v>11200.97929424944</v>
      </c>
      <c r="H34" s="133"/>
      <c r="I34" s="131">
        <f t="shared" si="1"/>
        <v>11200.97929424944</v>
      </c>
      <c r="J34" s="1414" t="str">
        <f>+IF(I34&gt;=PARAMETROS!$O$5,"SI","NO")</f>
        <v>SI</v>
      </c>
      <c r="K34" s="1414" t="str">
        <f t="shared" si="0"/>
        <v/>
      </c>
      <c r="L34" s="1557"/>
    </row>
    <row r="35" spans="1:12" ht="21" customHeight="1" thickBot="1">
      <c r="A35" s="1565" t="s">
        <v>36</v>
      </c>
      <c r="B35" s="1562" t="s">
        <v>837</v>
      </c>
      <c r="C35" s="918" t="s">
        <v>368</v>
      </c>
      <c r="D35" s="1063" t="s">
        <v>369</v>
      </c>
      <c r="E35" s="852">
        <v>0.49</v>
      </c>
      <c r="F35" s="125" t="s">
        <v>811</v>
      </c>
      <c r="G35" s="132">
        <v>18344.835601859344</v>
      </c>
      <c r="H35" s="132">
        <v>18344.835601859344</v>
      </c>
      <c r="I35" s="126">
        <v>36689.671203718688</v>
      </c>
      <c r="J35" s="1413" t="str">
        <f>+IF(I35&gt;=PARAMETROS!$O$5,"SI","NO")</f>
        <v>SI</v>
      </c>
      <c r="K35" s="1413" t="str">
        <f t="shared" si="0"/>
        <v>CUMPLE</v>
      </c>
      <c r="L35" s="1556" t="s">
        <v>22</v>
      </c>
    </row>
    <row r="36" spans="1:12" ht="21" customHeight="1" thickBot="1">
      <c r="A36" s="1566"/>
      <c r="B36" s="1564"/>
      <c r="C36" s="919" t="s">
        <v>364</v>
      </c>
      <c r="D36" s="1065" t="s">
        <v>365</v>
      </c>
      <c r="E36" s="855">
        <v>0.51</v>
      </c>
      <c r="F36" s="130" t="s">
        <v>811</v>
      </c>
      <c r="G36" s="133">
        <v>3944.7665194071542</v>
      </c>
      <c r="H36" s="133">
        <v>3944.7665194071542</v>
      </c>
      <c r="I36" s="128">
        <v>7889.5330388143084</v>
      </c>
      <c r="J36" s="129" t="str">
        <f>+IF(I36&gt;=PARAMETROS!$O$5,"SI","NO")</f>
        <v>SI</v>
      </c>
      <c r="K36" s="1413" t="str">
        <f t="shared" si="0"/>
        <v>CUMPLE</v>
      </c>
      <c r="L36" s="1557"/>
    </row>
    <row r="37" spans="1:12" ht="15.75" customHeight="1">
      <c r="A37" s="1565" t="s">
        <v>37</v>
      </c>
      <c r="B37" s="1562" t="s">
        <v>816</v>
      </c>
      <c r="C37" s="918" t="s">
        <v>374</v>
      </c>
      <c r="D37" s="1063" t="s">
        <v>376</v>
      </c>
      <c r="E37" s="852">
        <v>0.51</v>
      </c>
      <c r="F37" s="125" t="s">
        <v>129</v>
      </c>
      <c r="G37" s="132">
        <v>7336.2491890455649</v>
      </c>
      <c r="H37" s="132">
        <v>3997.0947277590735</v>
      </c>
      <c r="I37" s="126">
        <v>11333.343916804639</v>
      </c>
      <c r="J37" s="1413" t="str">
        <f>+IF(I37&gt;=PARAMETROS!$O$5,"SI","NO")</f>
        <v>SI</v>
      </c>
      <c r="K37" s="1413" t="str">
        <f t="shared" ref="K37:K71" si="2">+IF(F37="ACREDITA",IF(J37="SI","CUMPLE","NO CUMPLE"),"")</f>
        <v/>
      </c>
      <c r="L37" s="1556" t="s">
        <v>22</v>
      </c>
    </row>
    <row r="38" spans="1:12">
      <c r="A38" s="1572"/>
      <c r="B38" s="1573"/>
      <c r="C38" s="1059" t="s">
        <v>383</v>
      </c>
      <c r="D38" s="1064" t="s">
        <v>384</v>
      </c>
      <c r="E38" s="854">
        <v>0.48</v>
      </c>
      <c r="F38" s="127" t="s">
        <v>811</v>
      </c>
      <c r="G38" s="134">
        <v>4452.3384089396004</v>
      </c>
      <c r="H38" s="134">
        <v>1889.4129201046487</v>
      </c>
      <c r="I38" s="128">
        <v>6341.7513290442494</v>
      </c>
      <c r="J38" s="129" t="str">
        <f>+IF(I38&gt;=PARAMETROS!$O$5,"SI","NO")</f>
        <v>SI</v>
      </c>
      <c r="K38" s="129" t="str">
        <f t="shared" si="2"/>
        <v>CUMPLE</v>
      </c>
      <c r="L38" s="1561"/>
    </row>
    <row r="39" spans="1:12" ht="16.5" thickBot="1">
      <c r="A39" s="1566"/>
      <c r="B39" s="1564"/>
      <c r="C39" s="919" t="s">
        <v>379</v>
      </c>
      <c r="D39" s="1065" t="s">
        <v>380</v>
      </c>
      <c r="E39" s="855">
        <v>0.01</v>
      </c>
      <c r="F39" s="130" t="s">
        <v>129</v>
      </c>
      <c r="G39" s="133">
        <v>7688.7764665048544</v>
      </c>
      <c r="H39" s="133">
        <v>4893.9620181645605</v>
      </c>
      <c r="I39" s="131">
        <v>12582.738484669415</v>
      </c>
      <c r="J39" s="1414" t="str">
        <f>+IF(I39&gt;=PARAMETROS!$O$5,"SI","NO")</f>
        <v>SI</v>
      </c>
      <c r="K39" s="1414" t="str">
        <f t="shared" si="2"/>
        <v/>
      </c>
      <c r="L39" s="1557"/>
    </row>
    <row r="40" spans="1:12">
      <c r="A40" s="1565" t="s">
        <v>38</v>
      </c>
      <c r="B40" s="1562" t="s">
        <v>838</v>
      </c>
      <c r="C40" s="918" t="s">
        <v>387</v>
      </c>
      <c r="D40" s="1063" t="s">
        <v>388</v>
      </c>
      <c r="E40" s="852">
        <v>0.75</v>
      </c>
      <c r="F40" s="125" t="s">
        <v>811</v>
      </c>
      <c r="G40" s="132">
        <v>11415.52811164716</v>
      </c>
      <c r="H40" s="132">
        <v>1618574.0730669932</v>
      </c>
      <c r="I40" s="126">
        <v>1629989.6011786403</v>
      </c>
      <c r="J40" s="1413" t="str">
        <f>+IF(I40&gt;=PARAMETROS!$O$5,"SI","NO")</f>
        <v>SI</v>
      </c>
      <c r="K40" s="1413" t="str">
        <f t="shared" si="2"/>
        <v>CUMPLE</v>
      </c>
      <c r="L40" s="1556" t="s">
        <v>22</v>
      </c>
    </row>
    <row r="41" spans="1:12" ht="16.5" thickBot="1">
      <c r="A41" s="1572"/>
      <c r="B41" s="1573"/>
      <c r="C41" s="1059" t="s">
        <v>394</v>
      </c>
      <c r="D41" s="1064" t="s">
        <v>395</v>
      </c>
      <c r="E41" s="854">
        <v>0.25</v>
      </c>
      <c r="F41" s="127" t="s">
        <v>129</v>
      </c>
      <c r="G41" s="134">
        <v>19555.305647865622</v>
      </c>
      <c r="H41" s="134">
        <v>19555.305647865622</v>
      </c>
      <c r="I41" s="128">
        <v>39110.611295731243</v>
      </c>
      <c r="J41" s="129" t="str">
        <f>+IF(I41&gt;=PARAMETROS!$O$5,"SI","NO")</f>
        <v>SI</v>
      </c>
      <c r="K41" s="129" t="str">
        <f t="shared" si="2"/>
        <v/>
      </c>
      <c r="L41" s="1561"/>
    </row>
    <row r="42" spans="1:12">
      <c r="A42" s="1565" t="s">
        <v>39</v>
      </c>
      <c r="B42" s="1562" t="s">
        <v>839</v>
      </c>
      <c r="C42" s="920" t="s">
        <v>401</v>
      </c>
      <c r="D42" s="1063" t="s">
        <v>402</v>
      </c>
      <c r="E42" s="852">
        <v>0.51</v>
      </c>
      <c r="F42" s="125" t="s">
        <v>129</v>
      </c>
      <c r="G42" s="132">
        <v>17367.321579450174</v>
      </c>
      <c r="H42" s="132">
        <v>15365.750723821569</v>
      </c>
      <c r="I42" s="850">
        <v>32733.072303271743</v>
      </c>
      <c r="J42" s="851" t="str">
        <f>+IF(I42&gt;=PARAMETROS!$O$5,"SI","NO")</f>
        <v>SI</v>
      </c>
      <c r="K42" s="851" t="str">
        <f t="shared" si="2"/>
        <v/>
      </c>
      <c r="L42" s="1556" t="s">
        <v>22</v>
      </c>
    </row>
    <row r="43" spans="1:12">
      <c r="A43" s="1567"/>
      <c r="B43" s="1563"/>
      <c r="C43" s="1059" t="s">
        <v>410</v>
      </c>
      <c r="D43" s="1068" t="s">
        <v>411</v>
      </c>
      <c r="E43" s="858">
        <v>0.25</v>
      </c>
      <c r="F43" s="844" t="s">
        <v>811</v>
      </c>
      <c r="G43" s="849">
        <v>17994.384638433035</v>
      </c>
      <c r="H43" s="849">
        <v>17994.384638433035</v>
      </c>
      <c r="I43" s="128">
        <v>35988.769276866071</v>
      </c>
      <c r="J43" s="1359" t="str">
        <f>+IF(I43&gt;=PARAMETROS!$O$5,"SI","NO")</f>
        <v>SI</v>
      </c>
      <c r="K43" s="129" t="str">
        <f t="shared" si="2"/>
        <v>CUMPLE</v>
      </c>
      <c r="L43" s="1558"/>
    </row>
    <row r="44" spans="1:12">
      <c r="A44" s="1574"/>
      <c r="B44" s="1579"/>
      <c r="C44" s="848" t="s">
        <v>407</v>
      </c>
      <c r="D44" s="1071" t="s">
        <v>408</v>
      </c>
      <c r="E44" s="859">
        <v>0.24</v>
      </c>
      <c r="F44" s="830" t="s">
        <v>129</v>
      </c>
      <c r="G44" s="140">
        <v>10447.276392835998</v>
      </c>
      <c r="H44" s="140">
        <v>10447.276392835998</v>
      </c>
      <c r="I44" s="128">
        <v>20894.552785671996</v>
      </c>
      <c r="J44" s="141" t="str">
        <f>+IF(I44&gt;=PARAMETROS!$O$5,"SI","NO")</f>
        <v>SI</v>
      </c>
      <c r="K44" s="872" t="str">
        <f t="shared" si="2"/>
        <v/>
      </c>
      <c r="L44" s="1559"/>
    </row>
    <row r="45" spans="1:12">
      <c r="A45" s="1565" t="s">
        <v>40</v>
      </c>
      <c r="B45" s="1562" t="s">
        <v>840</v>
      </c>
      <c r="C45" s="918" t="s">
        <v>416</v>
      </c>
      <c r="D45" s="1063" t="s">
        <v>417</v>
      </c>
      <c r="E45" s="852">
        <v>0.51</v>
      </c>
      <c r="F45" s="125" t="s">
        <v>129</v>
      </c>
      <c r="G45" s="132">
        <v>45963.86</v>
      </c>
      <c r="H45" s="1357">
        <v>41655.01</v>
      </c>
      <c r="I45" s="871">
        <f t="shared" si="1"/>
        <v>87618.87</v>
      </c>
      <c r="J45" s="1358" t="str">
        <f>+IF(I45&gt;=PARAMETROS!$O$5,"SI","NO")</f>
        <v>SI</v>
      </c>
      <c r="K45" s="1413" t="str">
        <f t="shared" si="2"/>
        <v/>
      </c>
      <c r="L45" s="1556" t="s">
        <v>22</v>
      </c>
    </row>
    <row r="46" spans="1:12">
      <c r="A46" s="1566"/>
      <c r="B46" s="1564"/>
      <c r="C46" s="919" t="s">
        <v>425</v>
      </c>
      <c r="D46" s="1065" t="s">
        <v>426</v>
      </c>
      <c r="E46" s="855">
        <v>0.49</v>
      </c>
      <c r="F46" s="130" t="s">
        <v>811</v>
      </c>
      <c r="G46" s="133">
        <v>15221.369732130088</v>
      </c>
      <c r="H46" s="133">
        <v>15221.369732130101</v>
      </c>
      <c r="I46" s="871">
        <f t="shared" si="1"/>
        <v>30442.739464260187</v>
      </c>
      <c r="J46" s="1414" t="str">
        <f>+IF(I46&gt;=PARAMETROS!$O$5,"SI","NO")</f>
        <v>SI</v>
      </c>
      <c r="K46" s="1414" t="str">
        <f t="shared" si="2"/>
        <v>CUMPLE</v>
      </c>
      <c r="L46" s="1557"/>
    </row>
    <row r="47" spans="1:12">
      <c r="A47" s="1565" t="s">
        <v>41</v>
      </c>
      <c r="B47" s="1562" t="s">
        <v>841</v>
      </c>
      <c r="C47" s="918" t="s">
        <v>436</v>
      </c>
      <c r="D47" s="1063" t="s">
        <v>842</v>
      </c>
      <c r="E47" s="852">
        <v>0.51</v>
      </c>
      <c r="F47" s="125" t="s">
        <v>129</v>
      </c>
      <c r="G47" s="132">
        <f>+'[2]EXP GEN 21-26'!W3</f>
        <v>10698.705660665786</v>
      </c>
      <c r="H47" s="132">
        <f>+'[2]EXP ESPEC 21-26'!Z6</f>
        <v>27552.495178777393</v>
      </c>
      <c r="I47" s="126">
        <f t="shared" si="1"/>
        <v>38251.200839443176</v>
      </c>
      <c r="J47" s="1413" t="str">
        <f>+IF(I47&gt;=PARAMETROS!$O$5,"SI","NO")</f>
        <v>SI</v>
      </c>
      <c r="K47" s="1413" t="str">
        <f t="shared" si="2"/>
        <v/>
      </c>
      <c r="L47" s="1556" t="s">
        <v>22</v>
      </c>
    </row>
    <row r="48" spans="1:12" ht="16.5" thickBot="1">
      <c r="A48" s="1566"/>
      <c r="B48" s="1564"/>
      <c r="C48" s="919" t="s">
        <v>441</v>
      </c>
      <c r="D48" s="1065" t="s">
        <v>843</v>
      </c>
      <c r="E48" s="855">
        <v>0.49</v>
      </c>
      <c r="F48" s="130" t="s">
        <v>811</v>
      </c>
      <c r="G48" s="133">
        <f>+'[2]EXP GEN 21-26'!W4+'[2]EXP GEN 21-26'!W5+'[2]EXP GEN 21-26'!W6</f>
        <v>17010.264743360134</v>
      </c>
      <c r="H48" s="133">
        <f>+'[2]EXP ESPEC 21-26'!Z3+'[2]EXP ESPEC 21-26'!Z4+'[2]EXP ESPEC 21-26'!Z5</f>
        <v>16625.176448495127</v>
      </c>
      <c r="I48" s="131">
        <f t="shared" si="1"/>
        <v>33635.441191855265</v>
      </c>
      <c r="J48" s="1414" t="str">
        <f>+IF(I48&gt;=PARAMETROS!$O$5,"SI","NO")</f>
        <v>SI</v>
      </c>
      <c r="K48" s="1414" t="str">
        <f>+IF(F48="ACREDITA",IF(J48="SI","CUMPLE","NO CUMPLE"),"")</f>
        <v>CUMPLE</v>
      </c>
      <c r="L48" s="1557"/>
    </row>
    <row r="49" spans="1:67">
      <c r="A49" s="1565" t="s">
        <v>42</v>
      </c>
      <c r="B49" s="1562" t="s">
        <v>844</v>
      </c>
      <c r="C49" s="918" t="s">
        <v>451</v>
      </c>
      <c r="D49" s="1063" t="s">
        <v>845</v>
      </c>
      <c r="E49" s="852">
        <v>0.51</v>
      </c>
      <c r="F49" s="125" t="s">
        <v>129</v>
      </c>
      <c r="G49" s="132">
        <f>+'[2]EXP GEN 21-26'!W9</f>
        <v>9627.6124598689385</v>
      </c>
      <c r="H49" s="132">
        <f>+'[2]EXP ESPEC 21-26'!Z7</f>
        <v>9627.6124598689385</v>
      </c>
      <c r="I49" s="126">
        <f>+G49+H49</f>
        <v>19255.224919737877</v>
      </c>
      <c r="J49" s="1413" t="str">
        <f>+IF(I49&gt;=PARAMETROS!$O$5,"SI","NO")</f>
        <v>SI</v>
      </c>
      <c r="K49" s="1413" t="str">
        <f t="shared" si="2"/>
        <v/>
      </c>
      <c r="L49" s="1556" t="s">
        <v>22</v>
      </c>
    </row>
    <row r="50" spans="1:67" ht="16.5" thickBot="1">
      <c r="A50" s="1566"/>
      <c r="B50" s="1564"/>
      <c r="C50" s="919" t="s">
        <v>455</v>
      </c>
      <c r="D50" s="1065" t="s">
        <v>846</v>
      </c>
      <c r="E50" s="855">
        <v>0.49</v>
      </c>
      <c r="F50" s="130" t="s">
        <v>811</v>
      </c>
      <c r="G50" s="133">
        <f>+'[2]EXP GEN 21-26'!W10+'[2]EXP GEN 21-26'!W11+'[2]EXP GEN 21-26'!W12</f>
        <v>17423.59374140334</v>
      </c>
      <c r="H50" s="133">
        <f>+'[2]EXP ESPEC 21-26'!Z8+'[2]EXP ESPEC 21-26'!Z9+'[2]EXP ESPEC 21-26'!Z10</f>
        <v>17423.59374140334</v>
      </c>
      <c r="I50" s="131">
        <f t="shared" si="1"/>
        <v>34847.187482806679</v>
      </c>
      <c r="J50" s="1414" t="str">
        <f>+IF(I50&gt;=PARAMETROS!$O$5,"SI","NO")</f>
        <v>SI</v>
      </c>
      <c r="K50" s="1414" t="str">
        <f t="shared" si="2"/>
        <v>CUMPLE</v>
      </c>
      <c r="L50" s="1557"/>
    </row>
    <row r="51" spans="1:67">
      <c r="A51" s="1412" t="s">
        <v>43</v>
      </c>
      <c r="B51" s="1410" t="s">
        <v>847</v>
      </c>
      <c r="C51" s="918" t="s">
        <v>464</v>
      </c>
      <c r="D51" s="1063" t="s">
        <v>847</v>
      </c>
      <c r="E51" s="852">
        <v>1</v>
      </c>
      <c r="F51" s="125" t="s">
        <v>811</v>
      </c>
      <c r="G51" s="132">
        <f>+'[2]EXP GEN 21-26'!W15+'[2]EXP GEN 21-26'!W16+'[2]EXP GEN 21-26'!W17+'[2]EXP GEN 21-26'!W18</f>
        <v>41899.61678698317</v>
      </c>
      <c r="H51" s="132">
        <f>+'[2]EXP ESPEC 21-26'!Z11+'[2]EXP ESPEC 21-26'!Z12+'[2]EXP ESPEC 21-26'!Z13+'[2]EXP ESPEC 21-26'!Z14</f>
        <v>34044.706891742157</v>
      </c>
      <c r="I51" s="126">
        <f t="shared" si="1"/>
        <v>75944.323678725326</v>
      </c>
      <c r="J51" s="1413" t="str">
        <f>+IF(I51&gt;=PARAMETROS!$O$5,"SI","NO")</f>
        <v>SI</v>
      </c>
      <c r="K51" s="1413" t="str">
        <f t="shared" si="2"/>
        <v>CUMPLE</v>
      </c>
      <c r="L51" s="1409" t="s">
        <v>22</v>
      </c>
    </row>
    <row r="52" spans="1:67" ht="23.25" customHeight="1" thickBot="1">
      <c r="A52" s="1412" t="s">
        <v>44</v>
      </c>
      <c r="B52" s="1410" t="s">
        <v>848</v>
      </c>
      <c r="C52" s="918" t="s">
        <v>473</v>
      </c>
      <c r="D52" s="1063" t="s">
        <v>848</v>
      </c>
      <c r="E52" s="852">
        <v>1</v>
      </c>
      <c r="F52" s="125" t="s">
        <v>811</v>
      </c>
      <c r="G52" s="132">
        <f>+'[2]EXP GEN 21-26'!W21+'[2]EXP GEN 21-26'!W22</f>
        <v>13938.152821840731</v>
      </c>
      <c r="H52" s="132">
        <f>+'[2]EXP ESPEC 21-26'!Z15+'[2]EXP ESPEC 21-26'!Z16+'[2]EXP ESPEC 21-26'!Z17+'[2]EXP ESPEC 21-26'!Z18</f>
        <v>22935.085944669787</v>
      </c>
      <c r="I52" s="126">
        <f t="shared" si="1"/>
        <v>36873.23876651052</v>
      </c>
      <c r="J52" s="1413" t="str">
        <f>+IF(I52&gt;=PARAMETROS!$O$5,"SI","NO")</f>
        <v>SI</v>
      </c>
      <c r="K52" s="1413" t="str">
        <f t="shared" si="2"/>
        <v>CUMPLE</v>
      </c>
      <c r="L52" s="1409" t="s">
        <v>22</v>
      </c>
    </row>
    <row r="53" spans="1:67" ht="19.5" customHeight="1">
      <c r="A53" s="1565" t="s">
        <v>46</v>
      </c>
      <c r="B53" s="1562" t="s">
        <v>849</v>
      </c>
      <c r="C53" s="920" t="s">
        <v>477</v>
      </c>
      <c r="D53" s="1063" t="s">
        <v>850</v>
      </c>
      <c r="E53" s="852">
        <v>0.51</v>
      </c>
      <c r="F53" s="125" t="s">
        <v>129</v>
      </c>
      <c r="G53" s="132">
        <f>+'EXP GENERAL '!W147+'EXP GENERAL '!W148</f>
        <v>15126.681028777773</v>
      </c>
      <c r="H53" s="132">
        <f>+'EXP ESPECIFICA '!Z99+'EXP ESPECIFICA '!Z100</f>
        <v>15126.681028777773</v>
      </c>
      <c r="I53" s="850">
        <f>+G53+H53</f>
        <v>30253.362057555547</v>
      </c>
      <c r="J53" s="851" t="str">
        <f>+IF(I53&gt;=PARAMETROS!$O$5,"SI","NO")</f>
        <v>SI</v>
      </c>
      <c r="K53" s="1413" t="str">
        <f t="shared" si="2"/>
        <v/>
      </c>
      <c r="L53" s="1556" t="s">
        <v>851</v>
      </c>
    </row>
    <row r="54" spans="1:67" ht="19.5" customHeight="1">
      <c r="A54" s="1567"/>
      <c r="B54" s="1563"/>
      <c r="C54" s="1059" t="s">
        <v>485</v>
      </c>
      <c r="D54" s="1068" t="s">
        <v>852</v>
      </c>
      <c r="E54" s="858">
        <v>0.25</v>
      </c>
      <c r="F54" s="844" t="s">
        <v>811</v>
      </c>
      <c r="G54" s="849">
        <f>+'EXP GENERAL '!W150</f>
        <v>8099.1150410754299</v>
      </c>
      <c r="H54" s="849">
        <f>+'EXP ESPECIFICA '!Z102</f>
        <v>8099.1150410754299</v>
      </c>
      <c r="I54" s="128">
        <f>+G54+H54</f>
        <v>16198.23008215086</v>
      </c>
      <c r="J54" s="129" t="str">
        <f>+IF(I54&gt;=PARAMETROS!$O$5,"SI","NO")</f>
        <v>SI</v>
      </c>
      <c r="K54" s="846" t="s">
        <v>245</v>
      </c>
      <c r="L54" s="1560"/>
    </row>
    <row r="55" spans="1:67" ht="19.5" customHeight="1" thickBot="1">
      <c r="A55" s="1574"/>
      <c r="B55" s="1579"/>
      <c r="C55" s="847" t="s">
        <v>482</v>
      </c>
      <c r="D55" s="1071" t="s">
        <v>853</v>
      </c>
      <c r="E55" s="859">
        <v>0.24</v>
      </c>
      <c r="F55" s="830" t="s">
        <v>129</v>
      </c>
      <c r="G55" s="140">
        <f>+'EXP GENERAL '!W149</f>
        <v>6189.3038595109683</v>
      </c>
      <c r="H55" s="140">
        <f>+'EXP ESPECIFICA '!Z101</f>
        <v>6189.3038595109683</v>
      </c>
      <c r="I55" s="871">
        <f>+G55+H55</f>
        <v>12378.607719021937</v>
      </c>
      <c r="J55" s="872" t="str">
        <f>+IF(I55&gt;=PARAMETROS!$O$5,"SI","NO")</f>
        <v>SI</v>
      </c>
      <c r="K55" s="141"/>
      <c r="L55" s="1559"/>
    </row>
    <row r="56" spans="1:67" s="12" customFormat="1">
      <c r="A56" s="1565" t="s">
        <v>49</v>
      </c>
      <c r="B56" s="1562" t="s">
        <v>854</v>
      </c>
      <c r="C56" s="918" t="s">
        <v>488</v>
      </c>
      <c r="D56" s="1063" t="s">
        <v>855</v>
      </c>
      <c r="E56" s="860">
        <v>0.51</v>
      </c>
      <c r="F56" s="125" t="s">
        <v>129</v>
      </c>
      <c r="G56" s="135">
        <f>+'[2]EXP GEN 21-26'!W33</f>
        <v>25579.562840424642</v>
      </c>
      <c r="H56" s="135">
        <f>+'[2]EXP ESPEC 21-26'!Z23</f>
        <v>30465.199019992331</v>
      </c>
      <c r="I56" s="126">
        <f t="shared" si="1"/>
        <v>56044.761860416969</v>
      </c>
      <c r="J56" s="1413" t="str">
        <f>+IF(I56&gt;=PARAMETROS!$O$5,"SI","NO")</f>
        <v>SI</v>
      </c>
      <c r="K56" s="1413" t="str">
        <f t="shared" si="2"/>
        <v/>
      </c>
      <c r="L56" s="1556" t="s">
        <v>22</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row>
    <row r="57" spans="1:67" s="12" customFormat="1" ht="16.5" thickBot="1">
      <c r="A57" s="1566"/>
      <c r="B57" s="1564"/>
      <c r="C57" s="919" t="s">
        <v>490</v>
      </c>
      <c r="D57" s="1065" t="s">
        <v>856</v>
      </c>
      <c r="E57" s="861">
        <v>0.49</v>
      </c>
      <c r="F57" s="130" t="s">
        <v>811</v>
      </c>
      <c r="G57" s="136">
        <f>+'[2]EXP GEN 21-26'!W34+'[2]EXP GEN 21-26'!W35+'[2]EXP GEN 21-26'!W36</f>
        <v>10728.7056572931</v>
      </c>
      <c r="H57" s="136">
        <f>+'[2]EXP ESPEC 21-26'!Z24+'[2]EXP ESPEC 21-26'!Z25+'[2]EXP ESPEC 21-26'!Z26</f>
        <v>10728.7056572931</v>
      </c>
      <c r="I57" s="131">
        <f t="shared" si="1"/>
        <v>21457.411314586199</v>
      </c>
      <c r="J57" s="1414" t="str">
        <f>+IF(I57&gt;=PARAMETROS!$O$5,"SI","NO")</f>
        <v>SI</v>
      </c>
      <c r="K57" s="1414" t="str">
        <f t="shared" si="2"/>
        <v>CUMPLE</v>
      </c>
      <c r="L57" s="1557"/>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row>
    <row r="58" spans="1:67" s="12" customFormat="1" ht="15.75" customHeight="1">
      <c r="A58" s="1565" t="s">
        <v>50</v>
      </c>
      <c r="B58" s="1562" t="s">
        <v>857</v>
      </c>
      <c r="C58" s="918" t="s">
        <v>498</v>
      </c>
      <c r="D58" s="1063" t="s">
        <v>499</v>
      </c>
      <c r="E58" s="860">
        <v>0.51</v>
      </c>
      <c r="F58" s="125" t="s">
        <v>129</v>
      </c>
      <c r="G58" s="927">
        <v>10487.817220692392</v>
      </c>
      <c r="H58" s="135">
        <v>3859.6157901134657</v>
      </c>
      <c r="I58" s="126">
        <f t="shared" si="1"/>
        <v>14347.433010805857</v>
      </c>
      <c r="J58" s="1413" t="str">
        <f>+IF(I58&gt;=PARAMETROS!$O$5,"SI","NO")</f>
        <v>SI</v>
      </c>
      <c r="K58" s="1413" t="str">
        <f t="shared" si="2"/>
        <v/>
      </c>
      <c r="L58" s="1556" t="s">
        <v>22</v>
      </c>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row>
    <row r="59" spans="1:67" s="12" customFormat="1" ht="16.5" thickBot="1">
      <c r="A59" s="1572"/>
      <c r="B59" s="1573"/>
      <c r="C59" s="1059" t="s">
        <v>503</v>
      </c>
      <c r="D59" s="1064" t="s">
        <v>504</v>
      </c>
      <c r="E59" s="862">
        <v>0.49</v>
      </c>
      <c r="F59" s="127" t="s">
        <v>811</v>
      </c>
      <c r="G59" s="137">
        <v>12045.183383015006</v>
      </c>
      <c r="H59" s="137">
        <v>13993.169790622229</v>
      </c>
      <c r="I59" s="128">
        <f t="shared" si="1"/>
        <v>26038.353173637235</v>
      </c>
      <c r="J59" s="1414" t="str">
        <f>+IF(I59&gt;=PARAMETROS!$O$5,"SI","NO")</f>
        <v>SI</v>
      </c>
      <c r="K59" s="129" t="str">
        <f>+IF(F59="ACREDITA",IF(J59="SI","CUMPLE","NO CUMPLE"),"")</f>
        <v>CUMPLE</v>
      </c>
      <c r="L59" s="156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row>
    <row r="60" spans="1:67" s="12" customFormat="1" ht="22.5" customHeight="1">
      <c r="A60" s="1565" t="s">
        <v>51</v>
      </c>
      <c r="B60" s="1562" t="s">
        <v>858</v>
      </c>
      <c r="C60" s="920" t="s">
        <v>507</v>
      </c>
      <c r="D60" s="1063" t="s">
        <v>508</v>
      </c>
      <c r="E60" s="860">
        <v>0.51</v>
      </c>
      <c r="F60" s="125" t="s">
        <v>811</v>
      </c>
      <c r="G60" s="927">
        <v>9489.6</v>
      </c>
      <c r="H60" s="927">
        <v>9489.6</v>
      </c>
      <c r="I60" s="850">
        <v>18979.21</v>
      </c>
      <c r="J60" s="1413" t="s">
        <v>22</v>
      </c>
      <c r="K60" s="1413" t="s">
        <v>245</v>
      </c>
      <c r="L60" s="1556" t="s">
        <v>22</v>
      </c>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row>
    <row r="61" spans="1:67" s="12" customFormat="1" ht="22.5" customHeight="1">
      <c r="A61" s="1567"/>
      <c r="B61" s="1563"/>
      <c r="C61" s="1059" t="s">
        <v>512</v>
      </c>
      <c r="D61" s="1068" t="s">
        <v>513</v>
      </c>
      <c r="E61" s="864">
        <v>0.39</v>
      </c>
      <c r="F61" s="844" t="s">
        <v>129</v>
      </c>
      <c r="G61" s="865">
        <f>+'EXP GENERAL '!W167</f>
        <v>8805.3932534351188</v>
      </c>
      <c r="H61" s="865">
        <f>+'EXP ESPECIFICA '!Z113</f>
        <v>8805.3932534351188</v>
      </c>
      <c r="I61" s="128">
        <f>+G61+H61</f>
        <v>17610.786506870238</v>
      </c>
      <c r="J61" s="129" t="s">
        <v>22</v>
      </c>
      <c r="K61" s="846"/>
      <c r="L61" s="1560"/>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row>
    <row r="62" spans="1:67" s="12" customFormat="1" ht="16.5" thickBot="1">
      <c r="A62" s="1566"/>
      <c r="B62" s="1564"/>
      <c r="C62" s="848" t="s">
        <v>515</v>
      </c>
      <c r="D62" s="1072" t="s">
        <v>516</v>
      </c>
      <c r="E62" s="863">
        <v>0.1</v>
      </c>
      <c r="F62" s="130" t="s">
        <v>129</v>
      </c>
      <c r="G62" s="136">
        <f>+'EXP GENERAL '!W168</f>
        <v>2529.59307900469</v>
      </c>
      <c r="H62" s="136">
        <f>+'EXP ESPECIFICA '!Z114</f>
        <v>2529.59307900469</v>
      </c>
      <c r="I62" s="871">
        <f>+G62+H62</f>
        <v>5059.1861580093801</v>
      </c>
      <c r="J62" s="1414" t="s">
        <v>22</v>
      </c>
      <c r="K62" s="1414" t="str">
        <f t="shared" si="2"/>
        <v/>
      </c>
      <c r="L62" s="1559"/>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row>
    <row r="63" spans="1:67" s="12" customFormat="1" ht="22.5" customHeight="1" thickBot="1">
      <c r="A63" s="1412" t="s">
        <v>52</v>
      </c>
      <c r="B63" s="1410" t="s">
        <v>520</v>
      </c>
      <c r="C63" s="918" t="s">
        <v>519</v>
      </c>
      <c r="D63" s="1063" t="s">
        <v>520</v>
      </c>
      <c r="E63" s="860">
        <v>1</v>
      </c>
      <c r="F63" s="125" t="s">
        <v>811</v>
      </c>
      <c r="G63" s="135">
        <v>30757.124028669044</v>
      </c>
      <c r="H63" s="135">
        <v>46215.431380987109</v>
      </c>
      <c r="I63" s="126">
        <f t="shared" si="1"/>
        <v>76972.555409656154</v>
      </c>
      <c r="J63" s="872" t="str">
        <f>+IF(I63&gt;=PARAMETROS!$O$5,"SI","NO")</f>
        <v>SI</v>
      </c>
      <c r="K63" s="1413" t="str">
        <f t="shared" si="2"/>
        <v>CUMPLE</v>
      </c>
      <c r="L63" s="1344" t="s">
        <v>22</v>
      </c>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row>
    <row r="64" spans="1:67" s="12" customFormat="1">
      <c r="A64" s="1565" t="s">
        <v>53</v>
      </c>
      <c r="B64" s="1562" t="s">
        <v>859</v>
      </c>
      <c r="C64" s="918" t="s">
        <v>526</v>
      </c>
      <c r="D64" s="1063" t="s">
        <v>527</v>
      </c>
      <c r="E64" s="860">
        <v>0.51</v>
      </c>
      <c r="F64" s="125" t="s">
        <v>811</v>
      </c>
      <c r="G64" s="135">
        <v>15676.023312635691</v>
      </c>
      <c r="H64" s="135">
        <v>14259.464996344708</v>
      </c>
      <c r="I64" s="126">
        <f t="shared" si="1"/>
        <v>29935.488308980399</v>
      </c>
      <c r="J64" s="1413" t="str">
        <f>+IF(I64&gt;=PARAMETROS!$O$5,"SI","NO")</f>
        <v>SI</v>
      </c>
      <c r="K64" s="1413" t="str">
        <f t="shared" si="2"/>
        <v>CUMPLE</v>
      </c>
      <c r="L64" s="1556" t="s">
        <v>22</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row>
    <row r="65" spans="1:67" s="12" customFormat="1" ht="16.5" thickBot="1">
      <c r="A65" s="1572"/>
      <c r="B65" s="1573"/>
      <c r="C65" s="1059" t="s">
        <v>536</v>
      </c>
      <c r="D65" s="1064" t="s">
        <v>537</v>
      </c>
      <c r="E65" s="862">
        <v>0.49</v>
      </c>
      <c r="F65" s="127" t="s">
        <v>129</v>
      </c>
      <c r="G65" s="137">
        <v>17768.92351987521</v>
      </c>
      <c r="H65" s="137">
        <v>5772.3083124721206</v>
      </c>
      <c r="I65" s="128">
        <f t="shared" si="1"/>
        <v>23541.23183234733</v>
      </c>
      <c r="J65" s="1414" t="str">
        <f>+IF(I65&gt;=PARAMETROS!$O$5,"SI","NO")</f>
        <v>SI</v>
      </c>
      <c r="K65" s="129" t="str">
        <f t="shared" si="2"/>
        <v/>
      </c>
      <c r="L65" s="156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row>
    <row r="66" spans="1:67" s="12" customFormat="1" ht="15.75" customHeight="1">
      <c r="A66" s="1565" t="s">
        <v>54</v>
      </c>
      <c r="B66" s="1562" t="s">
        <v>860</v>
      </c>
      <c r="C66" s="918" t="s">
        <v>540</v>
      </c>
      <c r="D66" s="1063" t="s">
        <v>541</v>
      </c>
      <c r="E66" s="860">
        <v>0.51</v>
      </c>
      <c r="F66" s="125" t="s">
        <v>129</v>
      </c>
      <c r="G66" s="927">
        <v>15156.481210136364</v>
      </c>
      <c r="H66" s="927">
        <v>15156.481210136364</v>
      </c>
      <c r="I66" s="126">
        <f t="shared" si="1"/>
        <v>30312.962420272728</v>
      </c>
      <c r="J66" s="1413" t="str">
        <f>+IF(I66&gt;=PARAMETROS!$O$5,"SI","NO")</f>
        <v>SI</v>
      </c>
      <c r="K66" s="1413" t="str">
        <f t="shared" si="2"/>
        <v/>
      </c>
      <c r="L66" s="1556" t="s">
        <v>22</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row>
    <row r="67" spans="1:67" s="12" customFormat="1">
      <c r="A67" s="1572"/>
      <c r="B67" s="1573"/>
      <c r="C67" s="1059" t="s">
        <v>549</v>
      </c>
      <c r="D67" s="1064" t="s">
        <v>550</v>
      </c>
      <c r="E67" s="862">
        <v>0.25</v>
      </c>
      <c r="F67" s="127" t="s">
        <v>811</v>
      </c>
      <c r="G67" s="928">
        <v>3491.2213262749246</v>
      </c>
      <c r="H67" s="928">
        <v>3491.2213262749246</v>
      </c>
      <c r="I67" s="128">
        <f t="shared" si="1"/>
        <v>6982.4426525498493</v>
      </c>
      <c r="J67" s="129" t="str">
        <f>+IF(I67&gt;=PARAMETROS!$O$5,"SI","NO")</f>
        <v>SI</v>
      </c>
      <c r="K67" s="129" t="str">
        <f t="shared" si="2"/>
        <v>CUMPLE</v>
      </c>
      <c r="L67" s="156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row>
    <row r="68" spans="1:67" s="12" customFormat="1" ht="16.5" thickBot="1">
      <c r="A68" s="1566"/>
      <c r="B68" s="1564"/>
      <c r="C68" s="919" t="s">
        <v>544</v>
      </c>
      <c r="D68" s="1065" t="s">
        <v>545</v>
      </c>
      <c r="E68" s="861">
        <v>0.24</v>
      </c>
      <c r="F68" s="130" t="s">
        <v>129</v>
      </c>
      <c r="G68" s="929">
        <v>9798.4048277073525</v>
      </c>
      <c r="H68" s="929">
        <v>9798.4048277073525</v>
      </c>
      <c r="I68" s="131">
        <f>+G68+H68</f>
        <v>19596.809655414705</v>
      </c>
      <c r="J68" s="872" t="str">
        <f>+IF(I68&gt;=PARAMETROS!$O$5,"SI","NO")</f>
        <v>SI</v>
      </c>
      <c r="K68" s="1414" t="str">
        <f t="shared" si="2"/>
        <v/>
      </c>
      <c r="L68" s="1557"/>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row>
    <row r="69" spans="1:67" s="12" customFormat="1">
      <c r="A69" s="1565" t="s">
        <v>55</v>
      </c>
      <c r="B69" s="1562" t="s">
        <v>861</v>
      </c>
      <c r="C69" s="920" t="s">
        <v>552</v>
      </c>
      <c r="D69" s="1063" t="s">
        <v>553</v>
      </c>
      <c r="E69" s="860">
        <v>0.51</v>
      </c>
      <c r="F69" s="125" t="s">
        <v>129</v>
      </c>
      <c r="G69" s="135">
        <v>15358.300802978465</v>
      </c>
      <c r="H69" s="135">
        <v>14678.201579526329</v>
      </c>
      <c r="I69" s="850">
        <f>+G69+H69</f>
        <v>30036.502382504794</v>
      </c>
      <c r="J69" s="1413" t="str">
        <f>+IF(I69&gt;=PARAMETROS!$O$5,"SI","NO")</f>
        <v>SI</v>
      </c>
      <c r="K69" s="1413" t="str">
        <f t="shared" si="2"/>
        <v/>
      </c>
      <c r="L69" s="1556" t="s">
        <v>862</v>
      </c>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row>
    <row r="70" spans="1:67" s="12" customFormat="1">
      <c r="A70" s="1567"/>
      <c r="B70" s="1563"/>
      <c r="C70" s="1059" t="s">
        <v>560</v>
      </c>
      <c r="D70" s="1068" t="s">
        <v>561</v>
      </c>
      <c r="E70" s="864">
        <v>0.25</v>
      </c>
      <c r="F70" s="844" t="s">
        <v>811</v>
      </c>
      <c r="G70" s="865">
        <v>9118.1396660444316</v>
      </c>
      <c r="H70" s="865">
        <v>3716.0079393587207</v>
      </c>
      <c r="I70" s="128">
        <f>+G70+H70</f>
        <v>12834.147605403152</v>
      </c>
      <c r="J70" s="129" t="str">
        <f>+IF(I70&gt;=PARAMETROS!$O$5,"SI","NO")</f>
        <v>SI</v>
      </c>
      <c r="K70" s="1413" t="str">
        <f t="shared" si="2"/>
        <v>CUMPLE</v>
      </c>
      <c r="L70" s="1560"/>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row>
    <row r="71" spans="1:67" s="12" customFormat="1">
      <c r="A71" s="1566"/>
      <c r="B71" s="1564"/>
      <c r="C71" s="848" t="s">
        <v>564</v>
      </c>
      <c r="D71" s="1065" t="s">
        <v>565</v>
      </c>
      <c r="E71" s="861">
        <v>0.24</v>
      </c>
      <c r="F71" s="130" t="s">
        <v>129</v>
      </c>
      <c r="G71" s="136">
        <v>49309.247255444105</v>
      </c>
      <c r="H71" s="136">
        <v>49309.247255444105</v>
      </c>
      <c r="I71" s="131">
        <f>+G71+H71</f>
        <v>98618.494510888209</v>
      </c>
      <c r="J71" s="872" t="str">
        <f>+IF(I71&gt;=PARAMETROS!$O$5,"SI","NO")</f>
        <v>SI</v>
      </c>
      <c r="K71" s="1414" t="str">
        <f t="shared" si="2"/>
        <v/>
      </c>
      <c r="L71" s="1557"/>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row>
    <row r="72" spans="1:67" s="12" customFormat="1">
      <c r="A72" s="1565" t="s">
        <v>57</v>
      </c>
      <c r="B72" s="1562" t="s">
        <v>863</v>
      </c>
      <c r="C72" s="918" t="s">
        <v>569</v>
      </c>
      <c r="D72" s="1063" t="s">
        <v>571</v>
      </c>
      <c r="E72" s="860">
        <v>0.51</v>
      </c>
      <c r="F72" s="125" t="s">
        <v>811</v>
      </c>
      <c r="G72" s="132">
        <v>63565.654983504661</v>
      </c>
      <c r="H72" s="132">
        <v>38294.601844965291</v>
      </c>
      <c r="I72" s="126">
        <v>101860.25682846995</v>
      </c>
      <c r="J72" s="1413" t="str">
        <f>+IF(I72&gt;=PARAMETROS!$O$5,"SI","NO")</f>
        <v>SI</v>
      </c>
      <c r="K72" s="1413" t="str">
        <f t="shared" ref="K72:K83" si="3">+IF(F72="ACREDITA",IF(J72="SI","CUMPLE","NO CUMPLE"),"")</f>
        <v>CUMPLE</v>
      </c>
      <c r="L72" s="1556" t="s">
        <v>22</v>
      </c>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row>
    <row r="73" spans="1:67" s="12" customFormat="1" ht="16.5" thickBot="1">
      <c r="A73" s="1566"/>
      <c r="B73" s="1564"/>
      <c r="C73" s="919" t="s">
        <v>579</v>
      </c>
      <c r="D73" s="1065" t="s">
        <v>581</v>
      </c>
      <c r="E73" s="861">
        <v>0.49</v>
      </c>
      <c r="F73" s="130" t="s">
        <v>811</v>
      </c>
      <c r="G73" s="133">
        <v>16044.662362802188</v>
      </c>
      <c r="H73" s="133">
        <v>26293.63588496079</v>
      </c>
      <c r="I73" s="131">
        <v>42338.298247762978</v>
      </c>
      <c r="J73" s="1414" t="str">
        <f>+IF(I73&gt;=PARAMETROS!$O$5,"SI","NO")</f>
        <v>SI</v>
      </c>
      <c r="K73" s="1414" t="str">
        <f t="shared" si="3"/>
        <v>CUMPLE</v>
      </c>
      <c r="L73" s="1557"/>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row>
    <row r="74" spans="1:67" s="12" customFormat="1" ht="15.75" customHeight="1">
      <c r="A74" s="1565" t="s">
        <v>58</v>
      </c>
      <c r="B74" s="1562" t="s">
        <v>864</v>
      </c>
      <c r="C74" s="918" t="s">
        <v>589</v>
      </c>
      <c r="D74" s="1063" t="s">
        <v>590</v>
      </c>
      <c r="E74" s="860">
        <v>0.51</v>
      </c>
      <c r="F74" s="125" t="s">
        <v>129</v>
      </c>
      <c r="G74" s="132">
        <v>14365.819799959161</v>
      </c>
      <c r="H74" s="132">
        <v>26330.210822462224</v>
      </c>
      <c r="I74" s="126">
        <v>40696.030622421385</v>
      </c>
      <c r="J74" s="1413" t="str">
        <f>+IF(I74&gt;=PARAMETROS!$O$5,"SI","NO")</f>
        <v>SI</v>
      </c>
      <c r="K74" s="1413" t="str">
        <f t="shared" si="3"/>
        <v/>
      </c>
      <c r="L74" s="1556" t="s">
        <v>22</v>
      </c>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row>
    <row r="75" spans="1:67" s="12" customFormat="1" ht="16.5" thickBot="1">
      <c r="A75" s="1566"/>
      <c r="B75" s="1564"/>
      <c r="C75" s="919" t="s">
        <v>593</v>
      </c>
      <c r="D75" s="1065" t="s">
        <v>594</v>
      </c>
      <c r="E75" s="861">
        <v>0.49</v>
      </c>
      <c r="F75" s="130" t="s">
        <v>811</v>
      </c>
      <c r="G75" s="139">
        <v>21103.320496495129</v>
      </c>
      <c r="H75" s="139">
        <v>13066.660173110628</v>
      </c>
      <c r="I75" s="131">
        <v>34169.980669605757</v>
      </c>
      <c r="J75" s="1414" t="str">
        <f>+IF(I75&gt;=PARAMETROS!$O$5,"SI","NO")</f>
        <v>SI</v>
      </c>
      <c r="K75" s="1414" t="str">
        <f t="shared" si="3"/>
        <v>CUMPLE</v>
      </c>
      <c r="L75" s="1557"/>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row>
    <row r="76" spans="1:67" s="12" customFormat="1" ht="15.75" customHeight="1" thickBot="1">
      <c r="A76" s="1412" t="s">
        <v>59</v>
      </c>
      <c r="B76" s="1410" t="s">
        <v>600</v>
      </c>
      <c r="C76" s="918" t="s">
        <v>599</v>
      </c>
      <c r="D76" s="1063" t="s">
        <v>600</v>
      </c>
      <c r="E76" s="860">
        <v>1</v>
      </c>
      <c r="F76" s="125" t="s">
        <v>811</v>
      </c>
      <c r="G76" s="138">
        <v>31770.559803515032</v>
      </c>
      <c r="H76" s="138">
        <v>46885.66290268617</v>
      </c>
      <c r="I76" s="126">
        <v>78656.222706201195</v>
      </c>
      <c r="J76" s="1413" t="str">
        <f>+IF(I76&gt;=PARAMETROS!$O$5,"SI","NO")</f>
        <v>SI</v>
      </c>
      <c r="K76" s="1413" t="str">
        <f t="shared" si="3"/>
        <v>CUMPLE</v>
      </c>
      <c r="L76" s="1409" t="s">
        <v>22</v>
      </c>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row>
    <row r="77" spans="1:67">
      <c r="A77" s="1565" t="s">
        <v>61</v>
      </c>
      <c r="B77" s="1562" t="s">
        <v>865</v>
      </c>
      <c r="C77" s="918" t="s">
        <v>614</v>
      </c>
      <c r="D77" s="1063" t="s">
        <v>615</v>
      </c>
      <c r="E77" s="867">
        <v>0.51</v>
      </c>
      <c r="F77" s="125" t="s">
        <v>811</v>
      </c>
      <c r="G77" s="132">
        <v>30986.296705977169</v>
      </c>
      <c r="H77" s="843">
        <v>35341.249985079281</v>
      </c>
      <c r="I77" s="126">
        <v>66327.546691056457</v>
      </c>
      <c r="J77" s="1413" t="str">
        <f>+IF(I77&gt;=PARAMETROS!$O$5,"SI","NO")</f>
        <v>SI</v>
      </c>
      <c r="K77" s="1413" t="str">
        <f t="shared" si="3"/>
        <v>CUMPLE</v>
      </c>
      <c r="L77" s="1556" t="s">
        <v>22</v>
      </c>
    </row>
    <row r="78" spans="1:67" ht="16.5" thickBot="1">
      <c r="A78" s="1572"/>
      <c r="B78" s="1573"/>
      <c r="C78" s="1059" t="s">
        <v>626</v>
      </c>
      <c r="D78" s="1064" t="s">
        <v>627</v>
      </c>
      <c r="E78" s="866">
        <v>0.49</v>
      </c>
      <c r="F78" s="127" t="s">
        <v>129</v>
      </c>
      <c r="G78" s="134">
        <v>7033.0092707016547</v>
      </c>
      <c r="H78" s="134">
        <v>11544.412917606891</v>
      </c>
      <c r="I78" s="128">
        <v>18577.422188308545</v>
      </c>
      <c r="J78" s="129" t="str">
        <f>+IF(I78&gt;=PARAMETROS!$O$5,"SI","NO")</f>
        <v>SI</v>
      </c>
      <c r="K78" s="129" t="str">
        <f t="shared" si="3"/>
        <v/>
      </c>
      <c r="L78" s="1561"/>
    </row>
    <row r="79" spans="1:67" ht="30.75" customHeight="1">
      <c r="A79" s="1565" t="s">
        <v>62</v>
      </c>
      <c r="B79" s="1570" t="s">
        <v>866</v>
      </c>
      <c r="C79" s="918" t="s">
        <v>631</v>
      </c>
      <c r="D79" s="1063" t="s">
        <v>632</v>
      </c>
      <c r="E79" s="867">
        <v>0.51</v>
      </c>
      <c r="F79" s="125" t="s">
        <v>129</v>
      </c>
      <c r="G79" s="132">
        <v>70990.107400145644</v>
      </c>
      <c r="H79" s="132">
        <v>70990.107400145644</v>
      </c>
      <c r="I79" s="126">
        <v>141980.21480029129</v>
      </c>
      <c r="J79" s="1413" t="str">
        <f>+IF(I79&gt;=PARAMETROS!$O$5,"SI","NO")</f>
        <v>SI</v>
      </c>
      <c r="K79" s="1413" t="str">
        <f t="shared" si="3"/>
        <v/>
      </c>
      <c r="L79" s="1556" t="s">
        <v>22</v>
      </c>
    </row>
    <row r="80" spans="1:67" ht="16.5" thickBot="1">
      <c r="A80" s="1566"/>
      <c r="B80" s="1571"/>
      <c r="C80" s="919" t="s">
        <v>638</v>
      </c>
      <c r="D80" s="1065" t="s">
        <v>639</v>
      </c>
      <c r="E80" s="868">
        <v>0.49</v>
      </c>
      <c r="F80" s="130" t="s">
        <v>811</v>
      </c>
      <c r="G80" s="133">
        <v>20195.463272524255</v>
      </c>
      <c r="H80" s="133">
        <v>20195.463272524255</v>
      </c>
      <c r="I80" s="131">
        <v>40390.926545048511</v>
      </c>
      <c r="J80" s="1414" t="str">
        <f>+IF(I80&gt;=PARAMETROS!$O$5,"SI","NO")</f>
        <v>SI</v>
      </c>
      <c r="K80" s="1414" t="str">
        <f t="shared" si="3"/>
        <v>CUMPLE</v>
      </c>
      <c r="L80" s="1557"/>
    </row>
    <row r="81" spans="1:12" ht="25.5" customHeight="1">
      <c r="A81" s="1565" t="s">
        <v>63</v>
      </c>
      <c r="B81" s="1568" t="s">
        <v>867</v>
      </c>
      <c r="C81" s="920" t="s">
        <v>644</v>
      </c>
      <c r="D81" s="1063" t="s">
        <v>645</v>
      </c>
      <c r="E81" s="867">
        <v>0.51</v>
      </c>
      <c r="F81" s="125" t="s">
        <v>129</v>
      </c>
      <c r="G81" s="132">
        <v>22540.0681158841</v>
      </c>
      <c r="H81" s="132">
        <v>41119.060291690599</v>
      </c>
      <c r="I81" s="850">
        <v>63659.128407574695</v>
      </c>
      <c r="J81" s="851" t="str">
        <f>+IF(I81&gt;=PARAMETROS!$O$5,"SI","NO")</f>
        <v>SI</v>
      </c>
      <c r="K81" s="851" t="str">
        <f t="shared" si="3"/>
        <v/>
      </c>
      <c r="L81" s="1556" t="s">
        <v>22</v>
      </c>
    </row>
    <row r="82" spans="1:12" ht="15.75" customHeight="1">
      <c r="A82" s="1567"/>
      <c r="B82" s="1563"/>
      <c r="C82" s="1059" t="s">
        <v>653</v>
      </c>
      <c r="D82" s="1068" t="s">
        <v>654</v>
      </c>
      <c r="E82" s="870">
        <v>0.25</v>
      </c>
      <c r="F82" s="844" t="s">
        <v>811</v>
      </c>
      <c r="G82" s="849">
        <v>3204.0291990340111</v>
      </c>
      <c r="H82" s="849">
        <v>3204.0291990340111</v>
      </c>
      <c r="I82" s="128">
        <v>6408.0583980680221</v>
      </c>
      <c r="J82" s="1359" t="str">
        <f>+IF(I82&gt;=PARAMETROS!$O$5,"SI","NO")</f>
        <v>SI</v>
      </c>
      <c r="K82" s="129" t="str">
        <f t="shared" si="3"/>
        <v>CUMPLE</v>
      </c>
      <c r="L82" s="1558"/>
    </row>
    <row r="83" spans="1:12">
      <c r="A83" s="1566"/>
      <c r="B83" s="1569"/>
      <c r="C83" s="919" t="s">
        <v>658</v>
      </c>
      <c r="D83" s="1065" t="s">
        <v>659</v>
      </c>
      <c r="E83" s="868">
        <v>0.24</v>
      </c>
      <c r="F83" s="130" t="s">
        <v>129</v>
      </c>
      <c r="G83" s="133">
        <v>4814.6655699542171</v>
      </c>
      <c r="H83" s="133">
        <v>4814.6655699542171</v>
      </c>
      <c r="I83" s="131">
        <v>9629.3311399084341</v>
      </c>
      <c r="J83" s="1414" t="str">
        <f>+IF(I83&gt;=PARAMETROS!$O$5,"SI","NO")</f>
        <v>SI</v>
      </c>
      <c r="K83" s="1361" t="str">
        <f t="shared" si="3"/>
        <v/>
      </c>
      <c r="L83" s="1557"/>
    </row>
    <row r="84" spans="1:12">
      <c r="G84" s="143"/>
      <c r="K84" s="143"/>
    </row>
    <row r="85" spans="1:12">
      <c r="G85" s="143"/>
      <c r="K85" s="143"/>
    </row>
    <row r="86" spans="1:12">
      <c r="G86" s="143"/>
      <c r="K86" s="143"/>
    </row>
    <row r="87" spans="1:12">
      <c r="G87" s="143"/>
      <c r="K87" s="143"/>
    </row>
    <row r="88" spans="1:12">
      <c r="G88" s="143"/>
      <c r="K88" s="143"/>
    </row>
    <row r="89" spans="1:12">
      <c r="G89" s="143"/>
      <c r="K89" s="143"/>
    </row>
    <row r="90" spans="1:12">
      <c r="G90" s="143"/>
      <c r="K90" s="143"/>
    </row>
    <row r="91" spans="1:12">
      <c r="G91" s="143"/>
      <c r="K91" s="143"/>
    </row>
    <row r="92" spans="1:12">
      <c r="G92" s="143"/>
      <c r="K92" s="143"/>
    </row>
    <row r="93" spans="1:12">
      <c r="G93" s="143"/>
      <c r="K93" s="143"/>
    </row>
    <row r="94" spans="1:12">
      <c r="G94" s="143"/>
      <c r="K94" s="143"/>
    </row>
    <row r="95" spans="1:12">
      <c r="G95" s="143"/>
      <c r="K95" s="143"/>
    </row>
    <row r="96" spans="1:12">
      <c r="G96" s="143"/>
      <c r="K96" s="143"/>
    </row>
    <row r="97" spans="7:11">
      <c r="G97" s="143"/>
      <c r="K97" s="143"/>
    </row>
    <row r="98" spans="7:11">
      <c r="G98" s="143"/>
      <c r="K98" s="143"/>
    </row>
    <row r="99" spans="7:11">
      <c r="G99" s="143"/>
      <c r="K99" s="143"/>
    </row>
    <row r="100" spans="7:11">
      <c r="G100" s="143"/>
      <c r="K100" s="143"/>
    </row>
    <row r="101" spans="7:11">
      <c r="G101" s="143"/>
      <c r="K101" s="143"/>
    </row>
    <row r="102" spans="7:11">
      <c r="G102" s="143"/>
      <c r="K102" s="143"/>
    </row>
    <row r="103" spans="7:11">
      <c r="G103" s="143"/>
      <c r="K103" s="143"/>
    </row>
    <row r="104" spans="7:11">
      <c r="G104" s="143"/>
      <c r="K104" s="143"/>
    </row>
    <row r="105" spans="7:11">
      <c r="G105" s="143"/>
      <c r="K105" s="143"/>
    </row>
    <row r="106" spans="7:11">
      <c r="G106" s="143"/>
      <c r="K106" s="143"/>
    </row>
    <row r="107" spans="7:11">
      <c r="G107" s="143"/>
      <c r="K107" s="143"/>
    </row>
    <row r="108" spans="7:11">
      <c r="G108" s="143"/>
      <c r="K108" s="143"/>
    </row>
    <row r="109" spans="7:11">
      <c r="G109" s="143"/>
      <c r="K109" s="143"/>
    </row>
    <row r="110" spans="7:11">
      <c r="G110" s="143"/>
      <c r="K110" s="143"/>
    </row>
    <row r="111" spans="7:11">
      <c r="G111" s="143"/>
      <c r="K111" s="143"/>
    </row>
    <row r="112" spans="7:11">
      <c r="G112" s="143"/>
      <c r="K112" s="143"/>
    </row>
    <row r="113" spans="7:11">
      <c r="G113" s="143"/>
      <c r="K113" s="143"/>
    </row>
    <row r="114" spans="7:11">
      <c r="G114" s="143"/>
      <c r="K114" s="143"/>
    </row>
    <row r="115" spans="7:11">
      <c r="G115" s="143"/>
      <c r="K115" s="143"/>
    </row>
    <row r="116" spans="7:11">
      <c r="G116" s="143"/>
      <c r="K116" s="143"/>
    </row>
    <row r="117" spans="7:11">
      <c r="G117" s="143"/>
      <c r="K117" s="143"/>
    </row>
    <row r="118" spans="7:11">
      <c r="G118" s="143"/>
      <c r="K118" s="143"/>
    </row>
    <row r="119" spans="7:11">
      <c r="G119" s="143"/>
      <c r="K119" s="143"/>
    </row>
    <row r="120" spans="7:11">
      <c r="G120" s="143"/>
      <c r="K120" s="143"/>
    </row>
    <row r="121" spans="7:11">
      <c r="G121" s="143"/>
      <c r="K121" s="143"/>
    </row>
    <row r="122" spans="7:11">
      <c r="G122" s="143"/>
      <c r="K122" s="143"/>
    </row>
    <row r="123" spans="7:11">
      <c r="G123" s="143"/>
      <c r="K123" s="143"/>
    </row>
    <row r="124" spans="7:11">
      <c r="G124" s="143"/>
      <c r="K124" s="143"/>
    </row>
    <row r="125" spans="7:11">
      <c r="G125" s="143"/>
      <c r="K125" s="143"/>
    </row>
    <row r="126" spans="7:11">
      <c r="G126" s="143"/>
      <c r="K126" s="143"/>
    </row>
    <row r="127" spans="7:11">
      <c r="G127" s="143"/>
      <c r="K127" s="143"/>
    </row>
    <row r="128" spans="7:11">
      <c r="G128" s="143"/>
      <c r="K128" s="143"/>
    </row>
    <row r="129" spans="7:11">
      <c r="G129" s="143"/>
      <c r="K129" s="143"/>
    </row>
    <row r="130" spans="7:11">
      <c r="G130" s="143"/>
      <c r="K130" s="143"/>
    </row>
    <row r="131" spans="7:11">
      <c r="G131" s="143"/>
      <c r="K131" s="143"/>
    </row>
    <row r="132" spans="7:11">
      <c r="G132" s="143"/>
      <c r="K132" s="143"/>
    </row>
    <row r="133" spans="7:11">
      <c r="G133" s="143"/>
      <c r="K133" s="143"/>
    </row>
    <row r="134" spans="7:11">
      <c r="G134" s="143"/>
      <c r="K134" s="143"/>
    </row>
    <row r="135" spans="7:11">
      <c r="G135" s="143"/>
      <c r="K135" s="143"/>
    </row>
    <row r="136" spans="7:11">
      <c r="G136" s="143"/>
      <c r="K136" s="143"/>
    </row>
    <row r="137" spans="7:11">
      <c r="G137" s="143"/>
      <c r="K137" s="143"/>
    </row>
    <row r="138" spans="7:11">
      <c r="G138" s="143"/>
      <c r="K138" s="143"/>
    </row>
    <row r="139" spans="7:11">
      <c r="G139" s="143"/>
      <c r="K139" s="143"/>
    </row>
    <row r="140" spans="7:11">
      <c r="G140" s="143"/>
      <c r="K140" s="143"/>
    </row>
    <row r="141" spans="7:11">
      <c r="G141" s="143"/>
      <c r="K141" s="143"/>
    </row>
    <row r="142" spans="7:11">
      <c r="G142" s="143"/>
      <c r="K142" s="143"/>
    </row>
    <row r="143" spans="7:11">
      <c r="G143" s="143"/>
      <c r="K143" s="143"/>
    </row>
    <row r="144" spans="7:11">
      <c r="G144" s="143"/>
      <c r="K144" s="143"/>
    </row>
    <row r="145" spans="7:11">
      <c r="G145" s="143"/>
      <c r="K145" s="143"/>
    </row>
    <row r="146" spans="7:11">
      <c r="G146" s="143"/>
      <c r="K146" s="143"/>
    </row>
    <row r="147" spans="7:11">
      <c r="G147" s="143"/>
      <c r="K147" s="143"/>
    </row>
    <row r="148" spans="7:11">
      <c r="G148" s="143"/>
      <c r="K148" s="143"/>
    </row>
    <row r="149" spans="7:11">
      <c r="G149" s="143"/>
      <c r="K149" s="143"/>
    </row>
    <row r="150" spans="7:11">
      <c r="G150" s="143"/>
      <c r="K150" s="143"/>
    </row>
    <row r="151" spans="7:11">
      <c r="G151" s="143"/>
      <c r="K151" s="143"/>
    </row>
    <row r="152" spans="7:11">
      <c r="G152" s="143"/>
      <c r="K152" s="143"/>
    </row>
    <row r="153" spans="7:11">
      <c r="G153" s="143"/>
      <c r="K153" s="143"/>
    </row>
    <row r="154" spans="7:11">
      <c r="G154" s="143"/>
      <c r="K154" s="143"/>
    </row>
    <row r="155" spans="7:11">
      <c r="G155" s="143"/>
      <c r="K155" s="143"/>
    </row>
    <row r="156" spans="7:11">
      <c r="G156" s="143"/>
      <c r="K156" s="143"/>
    </row>
    <row r="157" spans="7:11">
      <c r="G157" s="143"/>
      <c r="K157" s="143"/>
    </row>
    <row r="158" spans="7:11">
      <c r="G158" s="143"/>
      <c r="K158" s="143"/>
    </row>
    <row r="159" spans="7:11">
      <c r="G159" s="143"/>
      <c r="K159" s="143"/>
    </row>
    <row r="160" spans="7:11">
      <c r="G160" s="143"/>
      <c r="K160" s="143"/>
    </row>
    <row r="161" spans="7:11">
      <c r="G161" s="143"/>
      <c r="K161" s="143"/>
    </row>
    <row r="162" spans="7:11">
      <c r="G162" s="143"/>
      <c r="K162" s="143"/>
    </row>
    <row r="163" spans="7:11">
      <c r="G163" s="143"/>
      <c r="K163" s="143"/>
    </row>
    <row r="164" spans="7:11">
      <c r="G164" s="143"/>
      <c r="K164" s="143"/>
    </row>
    <row r="165" spans="7:11">
      <c r="G165" s="143"/>
      <c r="K165" s="143"/>
    </row>
    <row r="166" spans="7:11">
      <c r="G166" s="143"/>
      <c r="K166" s="143"/>
    </row>
    <row r="167" spans="7:11">
      <c r="G167" s="143"/>
      <c r="K167" s="143"/>
    </row>
    <row r="168" spans="7:11">
      <c r="G168" s="143"/>
      <c r="K168" s="143"/>
    </row>
    <row r="169" spans="7:11">
      <c r="G169" s="143"/>
      <c r="K169" s="143"/>
    </row>
    <row r="170" spans="7:11">
      <c r="G170" s="143"/>
      <c r="K170" s="143"/>
    </row>
    <row r="171" spans="7:11">
      <c r="G171" s="143"/>
      <c r="K171" s="143"/>
    </row>
    <row r="172" spans="7:11">
      <c r="G172" s="143"/>
      <c r="K172" s="143"/>
    </row>
    <row r="173" spans="7:11">
      <c r="G173" s="143"/>
      <c r="K173" s="143"/>
    </row>
    <row r="174" spans="7:11">
      <c r="G174" s="143"/>
      <c r="K174" s="143"/>
    </row>
    <row r="175" spans="7:11">
      <c r="G175" s="143"/>
      <c r="K175" s="143"/>
    </row>
    <row r="176" spans="7:11">
      <c r="G176" s="143"/>
      <c r="K176" s="143"/>
    </row>
    <row r="177" spans="7:11">
      <c r="G177" s="143"/>
      <c r="K177" s="143"/>
    </row>
    <row r="178" spans="7:11">
      <c r="G178" s="143"/>
      <c r="K178" s="143"/>
    </row>
    <row r="179" spans="7:11">
      <c r="G179" s="143"/>
      <c r="K179" s="143"/>
    </row>
    <row r="180" spans="7:11">
      <c r="G180" s="143"/>
      <c r="K180" s="143"/>
    </row>
    <row r="181" spans="7:11">
      <c r="G181" s="143"/>
      <c r="K181" s="143"/>
    </row>
    <row r="182" spans="7:11">
      <c r="G182" s="143"/>
      <c r="K182" s="143"/>
    </row>
    <row r="183" spans="7:11">
      <c r="G183" s="143"/>
      <c r="K183" s="143"/>
    </row>
    <row r="184" spans="7:11">
      <c r="G184" s="143"/>
      <c r="K184" s="143"/>
    </row>
    <row r="185" spans="7:11">
      <c r="G185" s="143"/>
      <c r="K185" s="143"/>
    </row>
    <row r="186" spans="7:11">
      <c r="G186" s="143"/>
      <c r="K186" s="143"/>
    </row>
    <row r="187" spans="7:11">
      <c r="G187" s="143"/>
      <c r="K187" s="143"/>
    </row>
    <row r="188" spans="7:11">
      <c r="G188" s="143"/>
      <c r="K188" s="143"/>
    </row>
    <row r="189" spans="7:11">
      <c r="G189" s="143"/>
      <c r="K189" s="143"/>
    </row>
    <row r="190" spans="7:11">
      <c r="G190" s="143"/>
      <c r="K190" s="143"/>
    </row>
    <row r="191" spans="7:11">
      <c r="G191" s="143"/>
      <c r="K191" s="143"/>
    </row>
    <row r="192" spans="7:11">
      <c r="G192" s="143"/>
      <c r="K192" s="143"/>
    </row>
    <row r="193" spans="7:11">
      <c r="G193" s="143"/>
      <c r="K193" s="143"/>
    </row>
    <row r="194" spans="7:11">
      <c r="G194" s="143"/>
      <c r="K194" s="143"/>
    </row>
    <row r="195" spans="7:11">
      <c r="G195" s="143"/>
      <c r="K195" s="143"/>
    </row>
    <row r="196" spans="7:11">
      <c r="G196" s="143"/>
      <c r="K196" s="143"/>
    </row>
    <row r="197" spans="7:11">
      <c r="G197" s="143"/>
      <c r="K197" s="143"/>
    </row>
    <row r="198" spans="7:11">
      <c r="G198" s="143"/>
      <c r="K198" s="143"/>
    </row>
    <row r="199" spans="7:11">
      <c r="G199" s="143"/>
      <c r="K199" s="143"/>
    </row>
    <row r="200" spans="7:11">
      <c r="G200" s="143"/>
      <c r="K200" s="143"/>
    </row>
    <row r="201" spans="7:11">
      <c r="G201" s="143"/>
      <c r="K201" s="143"/>
    </row>
    <row r="202" spans="7:11">
      <c r="G202" s="143"/>
      <c r="K202" s="143"/>
    </row>
    <row r="203" spans="7:11">
      <c r="G203" s="143"/>
      <c r="K203" s="143"/>
    </row>
    <row r="204" spans="7:11">
      <c r="G204" s="143"/>
      <c r="K204" s="143"/>
    </row>
    <row r="205" spans="7:11">
      <c r="G205" s="143"/>
      <c r="K205" s="143"/>
    </row>
    <row r="206" spans="7:11">
      <c r="G206" s="143"/>
      <c r="K206" s="143"/>
    </row>
    <row r="207" spans="7:11">
      <c r="G207" s="143"/>
      <c r="K207" s="143"/>
    </row>
    <row r="208" spans="7:11">
      <c r="G208" s="143"/>
      <c r="K208" s="143"/>
    </row>
    <row r="209" spans="7:11">
      <c r="G209" s="143"/>
      <c r="K209" s="143"/>
    </row>
    <row r="210" spans="7:11">
      <c r="G210" s="143"/>
      <c r="K210" s="143"/>
    </row>
    <row r="211" spans="7:11">
      <c r="G211" s="143"/>
      <c r="K211" s="143"/>
    </row>
    <row r="212" spans="7:11">
      <c r="G212" s="143"/>
      <c r="K212" s="143"/>
    </row>
    <row r="213" spans="7:11">
      <c r="G213" s="143"/>
      <c r="K213" s="143"/>
    </row>
    <row r="214" spans="7:11">
      <c r="G214" s="143"/>
      <c r="K214" s="143"/>
    </row>
    <row r="215" spans="7:11">
      <c r="G215" s="143"/>
      <c r="K215" s="143"/>
    </row>
    <row r="216" spans="7:11">
      <c r="G216" s="143"/>
      <c r="K216" s="143"/>
    </row>
    <row r="217" spans="7:11">
      <c r="G217" s="143"/>
      <c r="K217" s="143"/>
    </row>
    <row r="218" spans="7:11">
      <c r="G218" s="143"/>
      <c r="K218" s="143"/>
    </row>
    <row r="219" spans="7:11">
      <c r="G219" s="143"/>
      <c r="K219" s="143"/>
    </row>
    <row r="220" spans="7:11">
      <c r="G220" s="143"/>
      <c r="K220" s="143"/>
    </row>
    <row r="221" spans="7:11">
      <c r="G221" s="143"/>
      <c r="K221" s="143"/>
    </row>
    <row r="222" spans="7:11">
      <c r="G222" s="143"/>
      <c r="K222" s="143"/>
    </row>
    <row r="223" spans="7:11">
      <c r="G223" s="143"/>
      <c r="K223" s="143"/>
    </row>
    <row r="224" spans="7:11">
      <c r="G224" s="143"/>
      <c r="K224" s="143"/>
    </row>
    <row r="225" spans="7:11">
      <c r="G225" s="143"/>
      <c r="K225" s="143"/>
    </row>
    <row r="226" spans="7:11">
      <c r="G226" s="143"/>
      <c r="K226" s="143"/>
    </row>
    <row r="227" spans="7:11">
      <c r="G227" s="143"/>
      <c r="K227" s="143"/>
    </row>
    <row r="228" spans="7:11">
      <c r="G228" s="143"/>
      <c r="K228" s="143"/>
    </row>
    <row r="229" spans="7:11">
      <c r="G229" s="143"/>
      <c r="K229" s="143"/>
    </row>
    <row r="230" spans="7:11">
      <c r="G230" s="143"/>
      <c r="K230" s="143"/>
    </row>
    <row r="231" spans="7:11">
      <c r="G231" s="143"/>
      <c r="K231" s="143"/>
    </row>
    <row r="232" spans="7:11">
      <c r="G232" s="143"/>
      <c r="K232" s="143"/>
    </row>
    <row r="233" spans="7:11">
      <c r="G233" s="143"/>
      <c r="K233" s="143"/>
    </row>
    <row r="234" spans="7:11">
      <c r="G234" s="143"/>
      <c r="K234" s="143"/>
    </row>
    <row r="235" spans="7:11">
      <c r="G235" s="143"/>
      <c r="K235" s="143"/>
    </row>
    <row r="236" spans="7:11">
      <c r="G236" s="143"/>
      <c r="K236" s="143"/>
    </row>
    <row r="237" spans="7:11">
      <c r="G237" s="143"/>
      <c r="K237" s="143"/>
    </row>
    <row r="238" spans="7:11">
      <c r="G238" s="143"/>
      <c r="K238" s="143"/>
    </row>
    <row r="239" spans="7:11">
      <c r="G239" s="143"/>
      <c r="K239" s="143"/>
    </row>
    <row r="240" spans="7:11">
      <c r="G240" s="143"/>
      <c r="K240" s="143"/>
    </row>
    <row r="241" spans="7:11">
      <c r="G241" s="143"/>
      <c r="K241" s="143"/>
    </row>
    <row r="242" spans="7:11">
      <c r="G242" s="143"/>
      <c r="K242" s="143"/>
    </row>
    <row r="243" spans="7:11">
      <c r="G243" s="143"/>
      <c r="K243" s="143"/>
    </row>
    <row r="244" spans="7:11">
      <c r="G244" s="143"/>
      <c r="K244" s="143"/>
    </row>
    <row r="245" spans="7:11">
      <c r="G245" s="143"/>
      <c r="K245" s="143"/>
    </row>
    <row r="246" spans="7:11">
      <c r="G246" s="143"/>
      <c r="K246" s="143"/>
    </row>
    <row r="247" spans="7:11">
      <c r="G247" s="143"/>
      <c r="K247" s="143"/>
    </row>
    <row r="248" spans="7:11">
      <c r="G248" s="143"/>
      <c r="K248" s="143"/>
    </row>
    <row r="249" spans="7:11">
      <c r="G249" s="143"/>
      <c r="K249" s="143"/>
    </row>
    <row r="250" spans="7:11">
      <c r="G250" s="143"/>
      <c r="K250" s="143"/>
    </row>
    <row r="251" spans="7:11">
      <c r="G251" s="143"/>
      <c r="K251" s="143"/>
    </row>
    <row r="252" spans="7:11">
      <c r="G252" s="143"/>
      <c r="K252" s="143"/>
    </row>
    <row r="253" spans="7:11">
      <c r="G253" s="143"/>
      <c r="K253" s="143"/>
    </row>
    <row r="254" spans="7:11">
      <c r="G254" s="143"/>
      <c r="K254" s="143"/>
    </row>
    <row r="255" spans="7:11">
      <c r="G255" s="143"/>
      <c r="K255" s="143"/>
    </row>
    <row r="256" spans="7:11">
      <c r="G256" s="143"/>
      <c r="K256" s="143"/>
    </row>
    <row r="257" spans="7:11">
      <c r="G257" s="143"/>
      <c r="K257" s="143"/>
    </row>
    <row r="258" spans="7:11">
      <c r="G258" s="143"/>
      <c r="K258" s="143"/>
    </row>
    <row r="259" spans="7:11">
      <c r="G259" s="143"/>
      <c r="K259" s="143"/>
    </row>
    <row r="260" spans="7:11">
      <c r="G260" s="143"/>
      <c r="K260" s="143"/>
    </row>
    <row r="261" spans="7:11">
      <c r="G261" s="143"/>
      <c r="K261" s="143"/>
    </row>
    <row r="262" spans="7:11">
      <c r="G262" s="143"/>
      <c r="K262" s="143"/>
    </row>
    <row r="263" spans="7:11">
      <c r="G263" s="143"/>
      <c r="K263" s="143"/>
    </row>
    <row r="264" spans="7:11">
      <c r="G264" s="143"/>
      <c r="K264" s="143"/>
    </row>
    <row r="265" spans="7:11">
      <c r="G265" s="143"/>
      <c r="K265" s="143"/>
    </row>
    <row r="266" spans="7:11">
      <c r="G266" s="143"/>
      <c r="K266" s="143"/>
    </row>
    <row r="267" spans="7:11">
      <c r="G267" s="143"/>
      <c r="K267" s="143"/>
    </row>
    <row r="268" spans="7:11">
      <c r="G268" s="143"/>
      <c r="K268" s="143"/>
    </row>
    <row r="269" spans="7:11">
      <c r="G269" s="143"/>
      <c r="K269" s="143"/>
    </row>
    <row r="270" spans="7:11">
      <c r="G270" s="143"/>
      <c r="K270" s="143"/>
    </row>
    <row r="271" spans="7:11">
      <c r="G271" s="143"/>
      <c r="K271" s="143"/>
    </row>
    <row r="272" spans="7:11">
      <c r="G272" s="143"/>
      <c r="K272" s="143"/>
    </row>
    <row r="273" spans="7:11">
      <c r="G273" s="143"/>
      <c r="K273" s="143"/>
    </row>
    <row r="274" spans="7:11">
      <c r="G274" s="143"/>
      <c r="K274" s="143"/>
    </row>
    <row r="275" spans="7:11">
      <c r="G275" s="143"/>
      <c r="K275" s="143"/>
    </row>
    <row r="276" spans="7:11">
      <c r="G276" s="143"/>
      <c r="K276" s="143"/>
    </row>
    <row r="277" spans="7:11">
      <c r="G277" s="143"/>
      <c r="K277" s="143"/>
    </row>
    <row r="278" spans="7:11">
      <c r="G278" s="143"/>
      <c r="K278" s="143"/>
    </row>
    <row r="279" spans="7:11">
      <c r="G279" s="143"/>
      <c r="K279" s="143"/>
    </row>
    <row r="280" spans="7:11">
      <c r="G280" s="143"/>
      <c r="K280" s="143"/>
    </row>
    <row r="281" spans="7:11">
      <c r="G281" s="143"/>
      <c r="K281" s="143"/>
    </row>
    <row r="282" spans="7:11">
      <c r="G282" s="143"/>
      <c r="K282" s="143"/>
    </row>
    <row r="283" spans="7:11">
      <c r="G283" s="143"/>
      <c r="K283" s="143"/>
    </row>
    <row r="284" spans="7:11">
      <c r="G284" s="143"/>
      <c r="K284" s="143"/>
    </row>
    <row r="285" spans="7:11">
      <c r="G285" s="143"/>
      <c r="K285" s="143"/>
    </row>
    <row r="286" spans="7:11">
      <c r="G286" s="143"/>
      <c r="K286" s="143"/>
    </row>
    <row r="287" spans="7:11">
      <c r="G287" s="143"/>
      <c r="K287" s="143"/>
    </row>
    <row r="288" spans="7:11">
      <c r="G288" s="143"/>
      <c r="K288" s="143"/>
    </row>
    <row r="289" spans="7:11">
      <c r="G289" s="143"/>
      <c r="K289" s="143"/>
    </row>
    <row r="290" spans="7:11">
      <c r="G290" s="143"/>
      <c r="K290" s="143"/>
    </row>
    <row r="291" spans="7:11">
      <c r="G291" s="143"/>
      <c r="K291" s="143"/>
    </row>
    <row r="292" spans="7:11">
      <c r="G292" s="143"/>
      <c r="K292" s="143"/>
    </row>
    <row r="293" spans="7:11">
      <c r="G293" s="143"/>
      <c r="K293" s="143"/>
    </row>
    <row r="294" spans="7:11">
      <c r="G294" s="143"/>
      <c r="K294" s="143"/>
    </row>
    <row r="295" spans="7:11">
      <c r="G295" s="143"/>
      <c r="K295" s="143"/>
    </row>
    <row r="296" spans="7:11">
      <c r="G296" s="143"/>
      <c r="K296" s="143"/>
    </row>
    <row r="297" spans="7:11">
      <c r="G297" s="143"/>
      <c r="K297" s="143"/>
    </row>
    <row r="298" spans="7:11">
      <c r="G298" s="143"/>
      <c r="K298" s="143"/>
    </row>
    <row r="299" spans="7:11">
      <c r="G299" s="143"/>
      <c r="K299" s="143"/>
    </row>
    <row r="300" spans="7:11">
      <c r="G300" s="143"/>
      <c r="K300" s="143"/>
    </row>
    <row r="301" spans="7:11">
      <c r="G301" s="143"/>
      <c r="K301" s="143"/>
    </row>
    <row r="302" spans="7:11">
      <c r="G302" s="143"/>
      <c r="K302" s="143"/>
    </row>
    <row r="303" spans="7:11">
      <c r="G303" s="143"/>
      <c r="K303" s="143"/>
    </row>
    <row r="304" spans="7:11">
      <c r="G304" s="143"/>
      <c r="K304" s="143"/>
    </row>
    <row r="305" spans="7:11">
      <c r="G305" s="143"/>
      <c r="K305" s="143"/>
    </row>
    <row r="306" spans="7:11">
      <c r="G306" s="143"/>
      <c r="K306" s="143"/>
    </row>
    <row r="307" spans="7:11">
      <c r="G307" s="143"/>
      <c r="K307" s="143"/>
    </row>
    <row r="308" spans="7:11">
      <c r="G308" s="143"/>
      <c r="K308" s="143"/>
    </row>
    <row r="309" spans="7:11">
      <c r="G309" s="143"/>
      <c r="K309" s="143"/>
    </row>
    <row r="310" spans="7:11">
      <c r="G310" s="143"/>
      <c r="K310" s="143"/>
    </row>
    <row r="311" spans="7:11">
      <c r="G311" s="143"/>
      <c r="K311" s="143"/>
    </row>
    <row r="312" spans="7:11">
      <c r="G312" s="143"/>
      <c r="K312" s="143"/>
    </row>
    <row r="313" spans="7:11">
      <c r="G313" s="143"/>
      <c r="K313" s="143"/>
    </row>
    <row r="314" spans="7:11">
      <c r="G314" s="143"/>
      <c r="K314" s="143"/>
    </row>
    <row r="315" spans="7:11">
      <c r="G315" s="143"/>
      <c r="K315" s="143"/>
    </row>
    <row r="316" spans="7:11">
      <c r="G316" s="143"/>
      <c r="K316" s="143"/>
    </row>
    <row r="317" spans="7:11">
      <c r="G317" s="143"/>
      <c r="K317" s="143"/>
    </row>
    <row r="318" spans="7:11">
      <c r="G318" s="143"/>
      <c r="K318" s="143"/>
    </row>
    <row r="319" spans="7:11">
      <c r="G319" s="143"/>
      <c r="K319" s="143"/>
    </row>
    <row r="320" spans="7:11">
      <c r="G320" s="143"/>
      <c r="K320" s="143"/>
    </row>
    <row r="321" spans="7:11">
      <c r="G321" s="143"/>
      <c r="K321" s="143"/>
    </row>
    <row r="322" spans="7:11">
      <c r="G322" s="143"/>
      <c r="K322" s="143"/>
    </row>
    <row r="323" spans="7:11">
      <c r="G323" s="143"/>
      <c r="K323" s="143"/>
    </row>
    <row r="324" spans="7:11">
      <c r="G324" s="143"/>
      <c r="K324" s="143"/>
    </row>
    <row r="325" spans="7:11">
      <c r="G325" s="143"/>
      <c r="K325" s="143"/>
    </row>
    <row r="326" spans="7:11">
      <c r="G326" s="143"/>
      <c r="K326" s="143"/>
    </row>
    <row r="327" spans="7:11">
      <c r="G327" s="143"/>
      <c r="K327" s="143"/>
    </row>
    <row r="328" spans="7:11">
      <c r="G328" s="143"/>
      <c r="K328" s="143"/>
    </row>
    <row r="329" spans="7:11">
      <c r="G329" s="143"/>
      <c r="K329" s="143"/>
    </row>
    <row r="330" spans="7:11">
      <c r="G330" s="143"/>
      <c r="K330" s="143"/>
    </row>
    <row r="331" spans="7:11">
      <c r="G331" s="143"/>
      <c r="K331" s="143"/>
    </row>
    <row r="332" spans="7:11">
      <c r="G332" s="143"/>
      <c r="K332" s="143"/>
    </row>
    <row r="333" spans="7:11">
      <c r="G333" s="143"/>
      <c r="K333" s="143"/>
    </row>
    <row r="334" spans="7:11">
      <c r="G334" s="143"/>
      <c r="K334" s="143"/>
    </row>
    <row r="335" spans="7:11">
      <c r="G335" s="143"/>
      <c r="K335" s="143"/>
    </row>
    <row r="336" spans="7:11">
      <c r="G336" s="143"/>
      <c r="K336" s="143"/>
    </row>
    <row r="337" spans="7:11">
      <c r="G337" s="143"/>
      <c r="K337" s="143"/>
    </row>
    <row r="338" spans="7:11">
      <c r="G338" s="143"/>
      <c r="K338" s="143"/>
    </row>
    <row r="339" spans="7:11">
      <c r="G339" s="143"/>
      <c r="K339" s="143"/>
    </row>
    <row r="340" spans="7:11">
      <c r="G340" s="143"/>
      <c r="K340" s="143"/>
    </row>
    <row r="341" spans="7:11">
      <c r="G341" s="143"/>
      <c r="K341" s="143"/>
    </row>
    <row r="342" spans="7:11">
      <c r="G342" s="143"/>
      <c r="K342" s="143"/>
    </row>
    <row r="343" spans="7:11">
      <c r="G343" s="143"/>
      <c r="K343" s="143"/>
    </row>
    <row r="344" spans="7:11">
      <c r="G344" s="143"/>
      <c r="K344" s="143"/>
    </row>
    <row r="345" spans="7:11">
      <c r="G345" s="143"/>
      <c r="K345" s="143"/>
    </row>
    <row r="346" spans="7:11">
      <c r="G346" s="143"/>
      <c r="K346" s="143"/>
    </row>
    <row r="347" spans="7:11">
      <c r="G347" s="143"/>
      <c r="K347" s="143"/>
    </row>
    <row r="348" spans="7:11">
      <c r="G348" s="143"/>
      <c r="K348" s="143"/>
    </row>
    <row r="349" spans="7:11">
      <c r="G349" s="143"/>
      <c r="K349" s="143"/>
    </row>
    <row r="350" spans="7:11">
      <c r="G350" s="143"/>
      <c r="K350" s="143"/>
    </row>
    <row r="351" spans="7:11">
      <c r="G351" s="143"/>
      <c r="K351" s="143"/>
    </row>
    <row r="352" spans="7:11">
      <c r="G352" s="143"/>
      <c r="K352" s="143"/>
    </row>
    <row r="353" spans="7:11">
      <c r="G353" s="143"/>
      <c r="K353" s="143"/>
    </row>
    <row r="354" spans="7:11">
      <c r="G354" s="143"/>
      <c r="K354" s="143"/>
    </row>
    <row r="355" spans="7:11">
      <c r="G355" s="143"/>
      <c r="K355" s="143"/>
    </row>
    <row r="356" spans="7:11">
      <c r="G356" s="143"/>
      <c r="K356" s="143"/>
    </row>
    <row r="357" spans="7:11">
      <c r="G357" s="143"/>
      <c r="K357" s="143"/>
    </row>
    <row r="358" spans="7:11">
      <c r="G358" s="143"/>
      <c r="K358" s="143"/>
    </row>
    <row r="359" spans="7:11">
      <c r="G359" s="143"/>
      <c r="K359" s="143"/>
    </row>
    <row r="360" spans="7:11">
      <c r="G360" s="143"/>
      <c r="K360" s="143"/>
    </row>
    <row r="361" spans="7:11">
      <c r="G361" s="143"/>
      <c r="K361" s="143"/>
    </row>
    <row r="362" spans="7:11">
      <c r="G362" s="143"/>
      <c r="K362" s="143"/>
    </row>
    <row r="363" spans="7:11">
      <c r="G363" s="143"/>
      <c r="K363" s="143"/>
    </row>
    <row r="364" spans="7:11">
      <c r="G364" s="143"/>
      <c r="K364" s="143"/>
    </row>
    <row r="365" spans="7:11">
      <c r="G365" s="143"/>
      <c r="K365" s="143"/>
    </row>
    <row r="366" spans="7:11">
      <c r="G366" s="143"/>
      <c r="K366" s="143"/>
    </row>
    <row r="367" spans="7:11">
      <c r="G367" s="143"/>
      <c r="K367" s="143"/>
    </row>
    <row r="368" spans="7:11">
      <c r="G368" s="143"/>
      <c r="K368" s="143"/>
    </row>
    <row r="369" spans="7:11">
      <c r="G369" s="143"/>
      <c r="K369" s="143"/>
    </row>
    <row r="370" spans="7:11">
      <c r="G370" s="143"/>
      <c r="K370" s="143"/>
    </row>
    <row r="371" spans="7:11">
      <c r="G371" s="143"/>
      <c r="K371" s="143"/>
    </row>
    <row r="372" spans="7:11">
      <c r="G372" s="143"/>
      <c r="K372" s="143"/>
    </row>
    <row r="373" spans="7:11">
      <c r="G373" s="143"/>
      <c r="K373" s="143"/>
    </row>
    <row r="374" spans="7:11">
      <c r="G374" s="143"/>
      <c r="K374" s="143"/>
    </row>
    <row r="375" spans="7:11">
      <c r="G375" s="143"/>
      <c r="K375" s="143"/>
    </row>
    <row r="376" spans="7:11">
      <c r="G376" s="143"/>
      <c r="K376" s="143"/>
    </row>
    <row r="377" spans="7:11">
      <c r="G377" s="143"/>
      <c r="K377" s="143"/>
    </row>
    <row r="378" spans="7:11">
      <c r="G378" s="143"/>
      <c r="K378" s="143"/>
    </row>
    <row r="379" spans="7:11">
      <c r="G379" s="143"/>
      <c r="K379" s="143"/>
    </row>
    <row r="380" spans="7:11">
      <c r="G380" s="143"/>
      <c r="K380" s="143"/>
    </row>
    <row r="381" spans="7:11">
      <c r="G381" s="143"/>
      <c r="K381" s="143"/>
    </row>
    <row r="382" spans="7:11">
      <c r="G382" s="143"/>
      <c r="K382" s="143"/>
    </row>
    <row r="383" spans="7:11">
      <c r="G383" s="143"/>
      <c r="K383" s="143"/>
    </row>
    <row r="384" spans="7:11">
      <c r="G384" s="143"/>
      <c r="K384" s="143"/>
    </row>
    <row r="385" spans="7:11">
      <c r="G385" s="143"/>
      <c r="K385" s="143"/>
    </row>
    <row r="386" spans="7:11">
      <c r="G386" s="143"/>
      <c r="K386" s="143"/>
    </row>
    <row r="387" spans="7:11">
      <c r="G387" s="143"/>
      <c r="K387" s="143"/>
    </row>
    <row r="388" spans="7:11">
      <c r="G388" s="143"/>
      <c r="K388" s="143"/>
    </row>
    <row r="389" spans="7:11">
      <c r="G389" s="143"/>
      <c r="K389" s="143"/>
    </row>
    <row r="390" spans="7:11">
      <c r="G390" s="143"/>
      <c r="K390" s="143"/>
    </row>
    <row r="391" spans="7:11">
      <c r="G391" s="143"/>
      <c r="K391" s="143"/>
    </row>
    <row r="392" spans="7:11">
      <c r="G392" s="143"/>
      <c r="K392" s="143"/>
    </row>
    <row r="393" spans="7:11">
      <c r="G393" s="143"/>
      <c r="K393" s="143"/>
    </row>
    <row r="394" spans="7:11">
      <c r="G394" s="143"/>
      <c r="K394" s="143"/>
    </row>
    <row r="395" spans="7:11">
      <c r="G395" s="143"/>
      <c r="K395" s="143"/>
    </row>
    <row r="396" spans="7:11">
      <c r="G396" s="143"/>
      <c r="K396" s="143"/>
    </row>
    <row r="397" spans="7:11">
      <c r="G397" s="143"/>
      <c r="K397" s="143"/>
    </row>
    <row r="398" spans="7:11">
      <c r="G398" s="143"/>
      <c r="K398" s="143"/>
    </row>
    <row r="399" spans="7:11">
      <c r="G399" s="143"/>
      <c r="K399" s="143"/>
    </row>
    <row r="400" spans="7:11">
      <c r="G400" s="143"/>
      <c r="K400" s="143"/>
    </row>
    <row r="401" spans="7:11">
      <c r="G401" s="143"/>
      <c r="K401" s="143"/>
    </row>
    <row r="402" spans="7:11">
      <c r="G402" s="143"/>
      <c r="K402" s="143"/>
    </row>
    <row r="403" spans="7:11">
      <c r="G403" s="143"/>
      <c r="K403" s="143"/>
    </row>
    <row r="404" spans="7:11">
      <c r="G404" s="143"/>
      <c r="K404" s="143"/>
    </row>
    <row r="405" spans="7:11">
      <c r="G405" s="143"/>
      <c r="K405" s="143"/>
    </row>
    <row r="406" spans="7:11">
      <c r="G406" s="143"/>
      <c r="K406" s="143"/>
    </row>
    <row r="407" spans="7:11">
      <c r="G407" s="143"/>
      <c r="K407" s="143"/>
    </row>
    <row r="408" spans="7:11">
      <c r="G408" s="143"/>
      <c r="K408" s="143"/>
    </row>
    <row r="409" spans="7:11">
      <c r="G409" s="143"/>
      <c r="K409" s="143"/>
    </row>
    <row r="410" spans="7:11">
      <c r="G410" s="143"/>
      <c r="K410" s="143"/>
    </row>
    <row r="411" spans="7:11">
      <c r="G411" s="143"/>
      <c r="K411" s="143"/>
    </row>
    <row r="412" spans="7:11">
      <c r="G412" s="143"/>
      <c r="K412" s="143"/>
    </row>
    <row r="413" spans="7:11">
      <c r="G413" s="143"/>
      <c r="K413" s="143"/>
    </row>
    <row r="414" spans="7:11">
      <c r="G414" s="143"/>
      <c r="K414" s="143"/>
    </row>
  </sheetData>
  <mergeCells count="97">
    <mergeCell ref="L58:L59"/>
    <mergeCell ref="L53:L55"/>
    <mergeCell ref="B58:B59"/>
    <mergeCell ref="B53:B55"/>
    <mergeCell ref="B35:B36"/>
    <mergeCell ref="A42:A44"/>
    <mergeCell ref="B42:B44"/>
    <mergeCell ref="A37:A39"/>
    <mergeCell ref="B37:B39"/>
    <mergeCell ref="L20:L21"/>
    <mergeCell ref="L22:L23"/>
    <mergeCell ref="L24:L25"/>
    <mergeCell ref="A22:A23"/>
    <mergeCell ref="B22:B23"/>
    <mergeCell ref="A24:A25"/>
    <mergeCell ref="B24:B25"/>
    <mergeCell ref="A26:A27"/>
    <mergeCell ref="B26:B27"/>
    <mergeCell ref="B30:B31"/>
    <mergeCell ref="L40:L41"/>
    <mergeCell ref="L35:L36"/>
    <mergeCell ref="A3:A5"/>
    <mergeCell ref="B3:B5"/>
    <mergeCell ref="A6:A7"/>
    <mergeCell ref="B6:B7"/>
    <mergeCell ref="A8:A9"/>
    <mergeCell ref="B8:B9"/>
    <mergeCell ref="A10:A12"/>
    <mergeCell ref="B10:B12"/>
    <mergeCell ref="A13:A14"/>
    <mergeCell ref="B13:B14"/>
    <mergeCell ref="A15:A17"/>
    <mergeCell ref="L8:L9"/>
    <mergeCell ref="L10:L12"/>
    <mergeCell ref="L13:L14"/>
    <mergeCell ref="L15:L17"/>
    <mergeCell ref="L3:L5"/>
    <mergeCell ref="L6:L7"/>
    <mergeCell ref="A66:A68"/>
    <mergeCell ref="B66:B68"/>
    <mergeCell ref="B69:B71"/>
    <mergeCell ref="A69:A71"/>
    <mergeCell ref="L26:L27"/>
    <mergeCell ref="A58:A59"/>
    <mergeCell ref="A47:A48"/>
    <mergeCell ref="B47:B48"/>
    <mergeCell ref="A40:A41"/>
    <mergeCell ref="B40:B41"/>
    <mergeCell ref="A45:A46"/>
    <mergeCell ref="B45:B46"/>
    <mergeCell ref="A32:A34"/>
    <mergeCell ref="B32:B34"/>
    <mergeCell ref="A35:A36"/>
    <mergeCell ref="A53:A55"/>
    <mergeCell ref="L60:L62"/>
    <mergeCell ref="L64:L65"/>
    <mergeCell ref="L77:L78"/>
    <mergeCell ref="L66:L68"/>
    <mergeCell ref="A49:A50"/>
    <mergeCell ref="B49:B50"/>
    <mergeCell ref="A60:A62"/>
    <mergeCell ref="B60:B62"/>
    <mergeCell ref="A56:A57"/>
    <mergeCell ref="B56:B57"/>
    <mergeCell ref="A77:A78"/>
    <mergeCell ref="B77:B78"/>
    <mergeCell ref="A72:A73"/>
    <mergeCell ref="B72:B73"/>
    <mergeCell ref="A64:A65"/>
    <mergeCell ref="B64:B65"/>
    <mergeCell ref="L79:L80"/>
    <mergeCell ref="L81:L83"/>
    <mergeCell ref="L69:L71"/>
    <mergeCell ref="L72:L73"/>
    <mergeCell ref="L74:L75"/>
    <mergeCell ref="A81:A83"/>
    <mergeCell ref="B81:B83"/>
    <mergeCell ref="A79:A80"/>
    <mergeCell ref="B79:B80"/>
    <mergeCell ref="A74:A75"/>
    <mergeCell ref="B74:B75"/>
    <mergeCell ref="A1:L1"/>
    <mergeCell ref="L45:L46"/>
    <mergeCell ref="L47:L48"/>
    <mergeCell ref="L49:L50"/>
    <mergeCell ref="L56:L57"/>
    <mergeCell ref="L42:L44"/>
    <mergeCell ref="L28:L29"/>
    <mergeCell ref="L30:L31"/>
    <mergeCell ref="L32:L34"/>
    <mergeCell ref="L37:L39"/>
    <mergeCell ref="B15:B17"/>
    <mergeCell ref="A30:A31"/>
    <mergeCell ref="A28:A29"/>
    <mergeCell ref="B28:B29"/>
    <mergeCell ref="A20:A21"/>
    <mergeCell ref="B20:B21"/>
  </mergeCells>
  <conditionalFormatting sqref="L72 L74 L76:L77 L79 L81:L82 L84:L65536 L37:L45 L3:L34">
    <cfRule type="containsText" dxfId="183" priority="7" operator="containsText" text="NO CUMPLE">
      <formula>NOT(ISERROR(SEARCH("NO CUMPLE",L3)))</formula>
    </cfRule>
  </conditionalFormatting>
  <conditionalFormatting sqref="L35:L36">
    <cfRule type="containsText" dxfId="182" priority="6" operator="containsText" text="NO CUMPLE">
      <formula>NOT(ISERROR(SEARCH("NO CUMPLE",L35)))</formula>
    </cfRule>
  </conditionalFormatting>
  <conditionalFormatting sqref="L47 L49 L51:L52 L56">
    <cfRule type="containsText" dxfId="181" priority="4" operator="containsText" text="NO CUMPLE">
      <formula>NOT(ISERROR(SEARCH("NO CUMPLE",L47)))</formula>
    </cfRule>
  </conditionalFormatting>
  <conditionalFormatting sqref="L53:L55">
    <cfRule type="containsText" dxfId="180" priority="3" operator="containsText" text="NO CUMPLE">
      <formula>NOT(ISERROR(SEARCH("NO CUMPLE",L53)))</formula>
    </cfRule>
  </conditionalFormatting>
  <conditionalFormatting sqref="L58 L63:L64 L66 L69:L70">
    <cfRule type="containsText" dxfId="179" priority="2" operator="containsText" text="NO CUMPLE">
      <formula>NOT(ISERROR(SEARCH("NO CUMPLE",L58)))</formula>
    </cfRule>
  </conditionalFormatting>
  <conditionalFormatting sqref="L60:L62">
    <cfRule type="containsText" dxfId="178" priority="1" operator="containsText" text="NO CUMPLE">
      <formula>NOT(ISERROR(SEARCH("NO CUMPLE",L60)))</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917"/>
  <sheetViews>
    <sheetView showGridLines="0" topLeftCell="A4707" zoomScale="118" zoomScaleNormal="118" workbookViewId="0">
      <selection activeCell="B4770" sqref="B4770"/>
    </sheetView>
  </sheetViews>
  <sheetFormatPr baseColWidth="10" defaultColWidth="8" defaultRowHeight="15"/>
  <cols>
    <col min="1" max="1" width="17.125" style="874" bestFit="1" customWidth="1"/>
    <col min="2" max="2" width="22.625" style="874" customWidth="1"/>
    <col min="3" max="3" width="47.25" style="873" customWidth="1"/>
    <col min="4" max="4" width="19.25" style="873" customWidth="1"/>
    <col min="5" max="16384" width="8" style="873"/>
  </cols>
  <sheetData>
    <row r="1" spans="1:4">
      <c r="A1" s="1581" t="s">
        <v>868</v>
      </c>
      <c r="B1" s="1581"/>
      <c r="C1" s="1581"/>
      <c r="D1" s="1581"/>
    </row>
    <row r="2" spans="1:4" ht="15.75" thickBot="1">
      <c r="A2" s="1582" t="s">
        <v>869</v>
      </c>
      <c r="B2" s="1582"/>
      <c r="C2" s="1582"/>
      <c r="D2" s="1582"/>
    </row>
    <row r="3" spans="1:4" ht="15.75" thickTop="1">
      <c r="A3" s="874" t="s">
        <v>158</v>
      </c>
    </row>
    <row r="4" spans="1:4">
      <c r="A4" s="1583" t="s">
        <v>870</v>
      </c>
      <c r="B4" s="1583"/>
      <c r="C4" s="1583"/>
      <c r="D4" s="1583"/>
    </row>
    <row r="5" spans="1:4">
      <c r="A5" s="1583" t="s">
        <v>158</v>
      </c>
      <c r="B5" s="1583"/>
      <c r="C5" s="1583"/>
      <c r="D5" s="1583"/>
    </row>
    <row r="6" spans="1:4">
      <c r="A6" s="1583" t="s">
        <v>871</v>
      </c>
      <c r="B6" s="1583"/>
      <c r="C6" s="1583"/>
      <c r="D6" s="1583"/>
    </row>
    <row r="7" spans="1:4">
      <c r="A7" s="874" t="s">
        <v>158</v>
      </c>
    </row>
    <row r="8" spans="1:4" ht="54" customHeight="1">
      <c r="A8" s="875" t="s">
        <v>872</v>
      </c>
      <c r="B8" s="876" t="s">
        <v>868</v>
      </c>
    </row>
    <row r="9" spans="1:4" ht="16.149999999999999" customHeight="1">
      <c r="A9" s="877">
        <v>33569</v>
      </c>
      <c r="B9" s="878">
        <v>693.32</v>
      </c>
      <c r="C9" s="879"/>
    </row>
    <row r="10" spans="1:4" ht="16.149999999999999" customHeight="1">
      <c r="A10" s="877">
        <v>33570</v>
      </c>
      <c r="B10" s="880">
        <v>693.99</v>
      </c>
    </row>
    <row r="11" spans="1:4" ht="16.149999999999999" customHeight="1">
      <c r="A11" s="877">
        <v>33571</v>
      </c>
      <c r="B11" s="878">
        <v>694.7</v>
      </c>
    </row>
    <row r="12" spans="1:4" ht="16.149999999999999" customHeight="1">
      <c r="A12" s="877">
        <v>33572</v>
      </c>
      <c r="B12" s="880">
        <v>694.7</v>
      </c>
    </row>
    <row r="13" spans="1:4" ht="16.149999999999999" customHeight="1">
      <c r="A13" s="877">
        <v>33573</v>
      </c>
      <c r="B13" s="878">
        <v>643.41999999999996</v>
      </c>
    </row>
    <row r="14" spans="1:4" ht="16.149999999999999" customHeight="1">
      <c r="A14" s="877">
        <v>33574</v>
      </c>
      <c r="B14" s="880">
        <v>643.41999999999996</v>
      </c>
    </row>
    <row r="15" spans="1:4" ht="16.149999999999999" customHeight="1">
      <c r="A15" s="877">
        <v>33575</v>
      </c>
      <c r="B15" s="878">
        <v>639.22</v>
      </c>
    </row>
    <row r="16" spans="1:4" ht="16.149999999999999" customHeight="1">
      <c r="A16" s="877">
        <v>33576</v>
      </c>
      <c r="B16" s="880">
        <v>635.70000000000005</v>
      </c>
    </row>
    <row r="17" spans="1:2" ht="16.149999999999999" customHeight="1">
      <c r="A17" s="877">
        <v>33577</v>
      </c>
      <c r="B17" s="878">
        <v>631.51</v>
      </c>
    </row>
    <row r="18" spans="1:2" ht="16.149999999999999" customHeight="1">
      <c r="A18" s="877">
        <v>33578</v>
      </c>
      <c r="B18" s="880">
        <v>627.16</v>
      </c>
    </row>
    <row r="19" spans="1:2" ht="16.149999999999999" customHeight="1">
      <c r="A19" s="877">
        <v>33579</v>
      </c>
      <c r="B19" s="878">
        <v>638.05999999999995</v>
      </c>
    </row>
    <row r="20" spans="1:2" ht="16.149999999999999" customHeight="1">
      <c r="A20" s="877">
        <v>33580</v>
      </c>
      <c r="B20" s="880">
        <v>638.05999999999995</v>
      </c>
    </row>
    <row r="21" spans="1:2" ht="16.149999999999999" customHeight="1">
      <c r="A21" s="877">
        <v>33581</v>
      </c>
      <c r="B21" s="878">
        <v>638.05999999999995</v>
      </c>
    </row>
    <row r="22" spans="1:2" ht="16.149999999999999" customHeight="1">
      <c r="A22" s="877">
        <v>33582</v>
      </c>
      <c r="B22" s="880">
        <v>622.91999999999996</v>
      </c>
    </row>
    <row r="23" spans="1:2" ht="16.149999999999999" customHeight="1">
      <c r="A23" s="877">
        <v>33583</v>
      </c>
      <c r="B23" s="878">
        <v>627.46</v>
      </c>
    </row>
    <row r="24" spans="1:2" ht="16.149999999999999" customHeight="1">
      <c r="A24" s="877">
        <v>33584</v>
      </c>
      <c r="B24" s="880">
        <v>633.09</v>
      </c>
    </row>
    <row r="25" spans="1:2" ht="16.149999999999999" customHeight="1">
      <c r="A25" s="877">
        <v>33585</v>
      </c>
      <c r="B25" s="878">
        <v>632.35</v>
      </c>
    </row>
    <row r="26" spans="1:2" ht="16.149999999999999" customHeight="1">
      <c r="A26" s="877">
        <v>33586</v>
      </c>
      <c r="B26" s="880">
        <v>630.91</v>
      </c>
    </row>
    <row r="27" spans="1:2" ht="16.149999999999999" customHeight="1">
      <c r="A27" s="877">
        <v>33587</v>
      </c>
      <c r="B27" s="878">
        <v>630.91</v>
      </c>
    </row>
    <row r="28" spans="1:2" ht="16.149999999999999" customHeight="1">
      <c r="A28" s="877">
        <v>33588</v>
      </c>
      <c r="B28" s="880">
        <v>630.91</v>
      </c>
    </row>
    <row r="29" spans="1:2" ht="16.149999999999999" customHeight="1">
      <c r="A29" s="877">
        <v>33589</v>
      </c>
      <c r="B29" s="878">
        <v>626.23</v>
      </c>
    </row>
    <row r="30" spans="1:2" ht="16.149999999999999" customHeight="1">
      <c r="A30" s="877">
        <v>33590</v>
      </c>
      <c r="B30" s="880">
        <v>626.52</v>
      </c>
    </row>
    <row r="31" spans="1:2" ht="16.149999999999999" customHeight="1">
      <c r="A31" s="877">
        <v>33591</v>
      </c>
      <c r="B31" s="878">
        <v>633.35</v>
      </c>
    </row>
    <row r="32" spans="1:2" ht="16.149999999999999" customHeight="1">
      <c r="A32" s="877">
        <v>33592</v>
      </c>
      <c r="B32" s="880">
        <v>621.71</v>
      </c>
    </row>
    <row r="33" spans="1:2" ht="16.149999999999999" customHeight="1">
      <c r="A33" s="877">
        <v>33593</v>
      </c>
      <c r="B33" s="878">
        <v>620.62</v>
      </c>
    </row>
    <row r="34" spans="1:2" ht="16.149999999999999" customHeight="1">
      <c r="A34" s="877">
        <v>33594</v>
      </c>
      <c r="B34" s="880">
        <v>620.62</v>
      </c>
    </row>
    <row r="35" spans="1:2" ht="16.149999999999999" customHeight="1">
      <c r="A35" s="877">
        <v>33595</v>
      </c>
      <c r="B35" s="878">
        <v>620.62</v>
      </c>
    </row>
    <row r="36" spans="1:2" ht="16.149999999999999" customHeight="1">
      <c r="A36" s="877">
        <v>33596</v>
      </c>
      <c r="B36" s="880">
        <v>622.95000000000005</v>
      </c>
    </row>
    <row r="37" spans="1:2" ht="16.149999999999999" customHeight="1">
      <c r="A37" s="877">
        <v>33597</v>
      </c>
      <c r="B37" s="878">
        <v>622.95000000000005</v>
      </c>
    </row>
    <row r="38" spans="1:2" ht="16.149999999999999" customHeight="1">
      <c r="A38" s="877">
        <v>33598</v>
      </c>
      <c r="B38" s="880">
        <v>622.95000000000005</v>
      </c>
    </row>
    <row r="39" spans="1:2" ht="16.149999999999999" customHeight="1">
      <c r="A39" s="877">
        <v>33599</v>
      </c>
      <c r="B39" s="878">
        <v>631.63</v>
      </c>
    </row>
    <row r="40" spans="1:2" ht="16.149999999999999" customHeight="1">
      <c r="A40" s="877">
        <v>33600</v>
      </c>
      <c r="B40" s="880">
        <v>632.37</v>
      </c>
    </row>
    <row r="41" spans="1:2" ht="16.149999999999999" customHeight="1">
      <c r="A41" s="877">
        <v>33601</v>
      </c>
      <c r="B41" s="878">
        <v>632.37</v>
      </c>
    </row>
    <row r="42" spans="1:2" ht="16.149999999999999" customHeight="1">
      <c r="A42" s="877">
        <v>33602</v>
      </c>
      <c r="B42" s="880">
        <v>632.37</v>
      </c>
    </row>
    <row r="43" spans="1:2" ht="16.149999999999999" customHeight="1">
      <c r="A43" s="877">
        <v>33603</v>
      </c>
      <c r="B43" s="878">
        <v>632.37</v>
      </c>
    </row>
    <row r="44" spans="1:2" ht="16.149999999999999" customHeight="1">
      <c r="A44" s="877">
        <v>33604</v>
      </c>
      <c r="B44" s="880">
        <v>632.37</v>
      </c>
    </row>
    <row r="45" spans="1:2" ht="16.149999999999999" customHeight="1">
      <c r="A45" s="877">
        <v>33605</v>
      </c>
      <c r="B45" s="878">
        <v>638.61</v>
      </c>
    </row>
    <row r="46" spans="1:2" ht="16.149999999999999" customHeight="1">
      <c r="A46" s="877">
        <v>33606</v>
      </c>
      <c r="B46" s="880">
        <v>632.58000000000004</v>
      </c>
    </row>
    <row r="47" spans="1:2" ht="16.149999999999999" customHeight="1">
      <c r="A47" s="877">
        <v>33607</v>
      </c>
      <c r="B47" s="878">
        <v>638.07000000000005</v>
      </c>
    </row>
    <row r="48" spans="1:2" ht="16.149999999999999" customHeight="1">
      <c r="A48" s="877">
        <v>33608</v>
      </c>
      <c r="B48" s="880">
        <v>638.07000000000005</v>
      </c>
    </row>
    <row r="49" spans="1:2" ht="16.149999999999999" customHeight="1">
      <c r="A49" s="877">
        <v>33609</v>
      </c>
      <c r="B49" s="878">
        <v>638.07000000000005</v>
      </c>
    </row>
    <row r="50" spans="1:2" ht="16.149999999999999" customHeight="1">
      <c r="A50" s="877">
        <v>33610</v>
      </c>
      <c r="B50" s="880">
        <v>638.07000000000005</v>
      </c>
    </row>
    <row r="51" spans="1:2" ht="16.149999999999999" customHeight="1">
      <c r="A51" s="877">
        <v>33611</v>
      </c>
      <c r="B51" s="878">
        <v>638.16999999999996</v>
      </c>
    </row>
    <row r="52" spans="1:2" ht="16.149999999999999" customHeight="1">
      <c r="A52" s="877">
        <v>33612</v>
      </c>
      <c r="B52" s="880">
        <v>638.61</v>
      </c>
    </row>
    <row r="53" spans="1:2" ht="16.149999999999999" customHeight="1">
      <c r="A53" s="877">
        <v>33613</v>
      </c>
      <c r="B53" s="878">
        <v>637.86</v>
      </c>
    </row>
    <row r="54" spans="1:2" ht="16.149999999999999" customHeight="1">
      <c r="A54" s="877">
        <v>33614</v>
      </c>
      <c r="B54" s="880">
        <v>645.04</v>
      </c>
    </row>
    <row r="55" spans="1:2" ht="16.149999999999999" customHeight="1">
      <c r="A55" s="877">
        <v>33615</v>
      </c>
      <c r="B55" s="878">
        <v>645.04</v>
      </c>
    </row>
    <row r="56" spans="1:2" ht="16.149999999999999" customHeight="1">
      <c r="A56" s="877">
        <v>33616</v>
      </c>
      <c r="B56" s="880">
        <v>645.04</v>
      </c>
    </row>
    <row r="57" spans="1:2" ht="16.149999999999999" customHeight="1">
      <c r="A57" s="877">
        <v>33617</v>
      </c>
      <c r="B57" s="878">
        <v>659.74</v>
      </c>
    </row>
    <row r="58" spans="1:2" ht="16.149999999999999" customHeight="1">
      <c r="A58" s="877">
        <v>33618</v>
      </c>
      <c r="B58" s="880">
        <v>657.49</v>
      </c>
    </row>
    <row r="59" spans="1:2" ht="16.149999999999999" customHeight="1">
      <c r="A59" s="877">
        <v>33619</v>
      </c>
      <c r="B59" s="878">
        <v>653.45000000000005</v>
      </c>
    </row>
    <row r="60" spans="1:2" ht="16.149999999999999" customHeight="1">
      <c r="A60" s="877">
        <v>33620</v>
      </c>
      <c r="B60" s="880">
        <v>652.91</v>
      </c>
    </row>
    <row r="61" spans="1:2" ht="16.149999999999999" customHeight="1">
      <c r="A61" s="877">
        <v>33621</v>
      </c>
      <c r="B61" s="878">
        <v>645.35</v>
      </c>
    </row>
    <row r="62" spans="1:2" ht="16.149999999999999" customHeight="1">
      <c r="A62" s="877">
        <v>33622</v>
      </c>
      <c r="B62" s="880">
        <v>645.35</v>
      </c>
    </row>
    <row r="63" spans="1:2" ht="16.149999999999999" customHeight="1">
      <c r="A63" s="877">
        <v>33623</v>
      </c>
      <c r="B63" s="878">
        <v>645.35</v>
      </c>
    </row>
    <row r="64" spans="1:2" ht="16.149999999999999" customHeight="1">
      <c r="A64" s="877">
        <v>33624</v>
      </c>
      <c r="B64" s="880">
        <v>645.97</v>
      </c>
    </row>
    <row r="65" spans="1:2" ht="16.149999999999999" customHeight="1">
      <c r="A65" s="877">
        <v>33625</v>
      </c>
      <c r="B65" s="878">
        <v>647.04</v>
      </c>
    </row>
    <row r="66" spans="1:2" ht="16.149999999999999" customHeight="1">
      <c r="A66" s="877">
        <v>33626</v>
      </c>
      <c r="B66" s="880">
        <v>647.01</v>
      </c>
    </row>
    <row r="67" spans="1:2" ht="16.149999999999999" customHeight="1">
      <c r="A67" s="877">
        <v>33627</v>
      </c>
      <c r="B67" s="878">
        <v>647.01</v>
      </c>
    </row>
    <row r="68" spans="1:2" ht="16.149999999999999" customHeight="1">
      <c r="A68" s="877">
        <v>33628</v>
      </c>
      <c r="B68" s="880">
        <v>644.83000000000004</v>
      </c>
    </row>
    <row r="69" spans="1:2" ht="16.149999999999999" customHeight="1">
      <c r="A69" s="877">
        <v>33629</v>
      </c>
      <c r="B69" s="878">
        <v>644.83000000000004</v>
      </c>
    </row>
    <row r="70" spans="1:2" ht="16.149999999999999" customHeight="1">
      <c r="A70" s="877">
        <v>33630</v>
      </c>
      <c r="B70" s="880">
        <v>644.83000000000004</v>
      </c>
    </row>
    <row r="71" spans="1:2" ht="16.149999999999999" customHeight="1">
      <c r="A71" s="877">
        <v>33631</v>
      </c>
      <c r="B71" s="878">
        <v>645.53</v>
      </c>
    </row>
    <row r="72" spans="1:2" ht="16.149999999999999" customHeight="1">
      <c r="A72" s="877">
        <v>33632</v>
      </c>
      <c r="B72" s="880">
        <v>645.20000000000005</v>
      </c>
    </row>
    <row r="73" spans="1:2" ht="16.149999999999999" customHeight="1">
      <c r="A73" s="877">
        <v>33633</v>
      </c>
      <c r="B73" s="878">
        <v>644.04</v>
      </c>
    </row>
    <row r="74" spans="1:2" ht="16.149999999999999" customHeight="1">
      <c r="A74" s="877">
        <v>33634</v>
      </c>
      <c r="B74" s="880">
        <v>644.27</v>
      </c>
    </row>
    <row r="75" spans="1:2" ht="16.149999999999999" customHeight="1">
      <c r="A75" s="877">
        <v>33635</v>
      </c>
      <c r="B75" s="878">
        <v>640.52</v>
      </c>
    </row>
    <row r="76" spans="1:2" ht="16.149999999999999" customHeight="1">
      <c r="A76" s="877">
        <v>33636</v>
      </c>
      <c r="B76" s="880">
        <v>640.52</v>
      </c>
    </row>
    <row r="77" spans="1:2" ht="16.149999999999999" customHeight="1">
      <c r="A77" s="877">
        <v>33637</v>
      </c>
      <c r="B77" s="878">
        <v>640.52</v>
      </c>
    </row>
    <row r="78" spans="1:2" ht="16.149999999999999" customHeight="1">
      <c r="A78" s="877">
        <v>33638</v>
      </c>
      <c r="B78" s="880">
        <v>640.52</v>
      </c>
    </row>
    <row r="79" spans="1:2" ht="16.149999999999999" customHeight="1">
      <c r="A79" s="877">
        <v>33639</v>
      </c>
      <c r="B79" s="878">
        <v>638.01</v>
      </c>
    </row>
    <row r="80" spans="1:2" ht="16.149999999999999" customHeight="1">
      <c r="A80" s="877">
        <v>33640</v>
      </c>
      <c r="B80" s="880">
        <v>637.65</v>
      </c>
    </row>
    <row r="81" spans="1:2" ht="16.149999999999999" customHeight="1">
      <c r="A81" s="877">
        <v>33641</v>
      </c>
      <c r="B81" s="878">
        <v>636.9</v>
      </c>
    </row>
    <row r="82" spans="1:2" ht="16.149999999999999" customHeight="1">
      <c r="A82" s="877">
        <v>33642</v>
      </c>
      <c r="B82" s="880">
        <v>635.34</v>
      </c>
    </row>
    <row r="83" spans="1:2" ht="16.149999999999999" customHeight="1">
      <c r="A83" s="877">
        <v>33643</v>
      </c>
      <c r="B83" s="878">
        <v>635.34</v>
      </c>
    </row>
    <row r="84" spans="1:2" ht="16.149999999999999" customHeight="1">
      <c r="A84" s="877">
        <v>33644</v>
      </c>
      <c r="B84" s="880">
        <v>635.34</v>
      </c>
    </row>
    <row r="85" spans="1:2" ht="16.149999999999999" customHeight="1">
      <c r="A85" s="877">
        <v>33645</v>
      </c>
      <c r="B85" s="878">
        <v>634.74</v>
      </c>
    </row>
    <row r="86" spans="1:2" ht="16.149999999999999" customHeight="1">
      <c r="A86" s="877">
        <v>33646</v>
      </c>
      <c r="B86" s="880">
        <v>634.59</v>
      </c>
    </row>
    <row r="87" spans="1:2" ht="16.149999999999999" customHeight="1">
      <c r="A87" s="877">
        <v>33647</v>
      </c>
      <c r="B87" s="878">
        <v>634.66999999999996</v>
      </c>
    </row>
    <row r="88" spans="1:2" ht="16.149999999999999" customHeight="1">
      <c r="A88" s="877">
        <v>33648</v>
      </c>
      <c r="B88" s="880">
        <v>635.6</v>
      </c>
    </row>
    <row r="89" spans="1:2" ht="16.149999999999999" customHeight="1">
      <c r="A89" s="877">
        <v>33649</v>
      </c>
      <c r="B89" s="878">
        <v>634.74</v>
      </c>
    </row>
    <row r="90" spans="1:2" ht="16.149999999999999" customHeight="1">
      <c r="A90" s="877">
        <v>33650</v>
      </c>
      <c r="B90" s="880">
        <v>634.74</v>
      </c>
    </row>
    <row r="91" spans="1:2" ht="16.149999999999999" customHeight="1">
      <c r="A91" s="877">
        <v>33651</v>
      </c>
      <c r="B91" s="878">
        <v>634.74</v>
      </c>
    </row>
    <row r="92" spans="1:2" ht="16.149999999999999" customHeight="1">
      <c r="A92" s="877">
        <v>33652</v>
      </c>
      <c r="B92" s="880">
        <v>635.66</v>
      </c>
    </row>
    <row r="93" spans="1:2" ht="16.149999999999999" customHeight="1">
      <c r="A93" s="877">
        <v>33653</v>
      </c>
      <c r="B93" s="878">
        <v>635.21</v>
      </c>
    </row>
    <row r="94" spans="1:2" ht="16.149999999999999" customHeight="1">
      <c r="A94" s="877">
        <v>33654</v>
      </c>
      <c r="B94" s="880">
        <v>634.92999999999995</v>
      </c>
    </row>
    <row r="95" spans="1:2" ht="16.149999999999999" customHeight="1">
      <c r="A95" s="877">
        <v>33655</v>
      </c>
      <c r="B95" s="878">
        <v>633.30999999999995</v>
      </c>
    </row>
    <row r="96" spans="1:2" ht="16.149999999999999" customHeight="1">
      <c r="A96" s="877">
        <v>33656</v>
      </c>
      <c r="B96" s="880">
        <v>633.03</v>
      </c>
    </row>
    <row r="97" spans="1:2" ht="16.149999999999999" customHeight="1">
      <c r="A97" s="877">
        <v>33657</v>
      </c>
      <c r="B97" s="878">
        <v>633.03</v>
      </c>
    </row>
    <row r="98" spans="1:2" ht="16.149999999999999" customHeight="1">
      <c r="A98" s="877">
        <v>33658</v>
      </c>
      <c r="B98" s="880">
        <v>633.03</v>
      </c>
    </row>
    <row r="99" spans="1:2" ht="16.149999999999999" customHeight="1">
      <c r="A99" s="877">
        <v>33659</v>
      </c>
      <c r="B99" s="878">
        <v>633.54999999999995</v>
      </c>
    </row>
    <row r="100" spans="1:2" ht="16.149999999999999" customHeight="1">
      <c r="A100" s="877">
        <v>33660</v>
      </c>
      <c r="B100" s="880">
        <v>633.74</v>
      </c>
    </row>
    <row r="101" spans="1:2" ht="16.149999999999999" customHeight="1">
      <c r="A101" s="877">
        <v>33661</v>
      </c>
      <c r="B101" s="878">
        <v>634.05999999999995</v>
      </c>
    </row>
    <row r="102" spans="1:2" ht="16.149999999999999" customHeight="1">
      <c r="A102" s="877">
        <v>33662</v>
      </c>
      <c r="B102" s="880">
        <v>633.91</v>
      </c>
    </row>
    <row r="103" spans="1:2" ht="16.149999999999999" customHeight="1">
      <c r="A103" s="877">
        <v>33663</v>
      </c>
      <c r="B103" s="878">
        <v>636.54</v>
      </c>
    </row>
    <row r="104" spans="1:2" ht="16.149999999999999" customHeight="1">
      <c r="A104" s="877">
        <v>33664</v>
      </c>
      <c r="B104" s="880">
        <v>636.54</v>
      </c>
    </row>
    <row r="105" spans="1:2" ht="16.149999999999999" customHeight="1">
      <c r="A105" s="877">
        <v>33665</v>
      </c>
      <c r="B105" s="878">
        <v>636.54</v>
      </c>
    </row>
    <row r="106" spans="1:2" ht="16.149999999999999" customHeight="1">
      <c r="A106" s="877">
        <v>33666</v>
      </c>
      <c r="B106" s="880">
        <v>640.95000000000005</v>
      </c>
    </row>
    <row r="107" spans="1:2" ht="16.149999999999999" customHeight="1">
      <c r="A107" s="877">
        <v>33667</v>
      </c>
      <c r="B107" s="878">
        <v>636.04999999999995</v>
      </c>
    </row>
    <row r="108" spans="1:2" ht="16.149999999999999" customHeight="1">
      <c r="A108" s="877">
        <v>33668</v>
      </c>
      <c r="B108" s="880">
        <v>635.86</v>
      </c>
    </row>
    <row r="109" spans="1:2" ht="16.149999999999999" customHeight="1">
      <c r="A109" s="877">
        <v>33669</v>
      </c>
      <c r="B109" s="878">
        <v>636.73</v>
      </c>
    </row>
    <row r="110" spans="1:2" ht="16.149999999999999" customHeight="1">
      <c r="A110" s="877">
        <v>33670</v>
      </c>
      <c r="B110" s="880">
        <v>636.22</v>
      </c>
    </row>
    <row r="111" spans="1:2" ht="16.149999999999999" customHeight="1">
      <c r="A111" s="877">
        <v>33671</v>
      </c>
      <c r="B111" s="878">
        <v>636.22</v>
      </c>
    </row>
    <row r="112" spans="1:2" ht="16.149999999999999" customHeight="1">
      <c r="A112" s="877">
        <v>33672</v>
      </c>
      <c r="B112" s="880">
        <v>636.22</v>
      </c>
    </row>
    <row r="113" spans="1:2" ht="16.149999999999999" customHeight="1">
      <c r="A113" s="877">
        <v>33673</v>
      </c>
      <c r="B113" s="878">
        <v>635.88</v>
      </c>
    </row>
    <row r="114" spans="1:2" ht="16.149999999999999" customHeight="1">
      <c r="A114" s="877">
        <v>33674</v>
      </c>
      <c r="B114" s="880">
        <v>639.78</v>
      </c>
    </row>
    <row r="115" spans="1:2" ht="16.149999999999999" customHeight="1">
      <c r="A115" s="877">
        <v>33675</v>
      </c>
      <c r="B115" s="878">
        <v>639.38</v>
      </c>
    </row>
    <row r="116" spans="1:2" ht="16.149999999999999" customHeight="1">
      <c r="A116" s="877">
        <v>33676</v>
      </c>
      <c r="B116" s="880">
        <v>641.29</v>
      </c>
    </row>
    <row r="117" spans="1:2" ht="16.149999999999999" customHeight="1">
      <c r="A117" s="877">
        <v>33677</v>
      </c>
      <c r="B117" s="878">
        <v>642</v>
      </c>
    </row>
    <row r="118" spans="1:2" ht="16.149999999999999" customHeight="1">
      <c r="A118" s="877">
        <v>33678</v>
      </c>
      <c r="B118" s="880">
        <v>642</v>
      </c>
    </row>
    <row r="119" spans="1:2" ht="16.149999999999999" customHeight="1">
      <c r="A119" s="877">
        <v>33679</v>
      </c>
      <c r="B119" s="878">
        <v>642</v>
      </c>
    </row>
    <row r="120" spans="1:2" ht="16.149999999999999" customHeight="1">
      <c r="A120" s="877">
        <v>33680</v>
      </c>
      <c r="B120" s="880">
        <v>644.13</v>
      </c>
    </row>
    <row r="121" spans="1:2" ht="16.149999999999999" customHeight="1">
      <c r="A121" s="877">
        <v>33681</v>
      </c>
      <c r="B121" s="878">
        <v>643.83000000000004</v>
      </c>
    </row>
    <row r="122" spans="1:2" ht="16.149999999999999" customHeight="1">
      <c r="A122" s="877">
        <v>33682</v>
      </c>
      <c r="B122" s="880">
        <v>642.59</v>
      </c>
    </row>
    <row r="123" spans="1:2" ht="16.149999999999999" customHeight="1">
      <c r="A123" s="877">
        <v>33683</v>
      </c>
      <c r="B123" s="878">
        <v>641.53</v>
      </c>
    </row>
    <row r="124" spans="1:2" ht="16.149999999999999" customHeight="1">
      <c r="A124" s="877">
        <v>33684</v>
      </c>
      <c r="B124" s="880">
        <v>640.37</v>
      </c>
    </row>
    <row r="125" spans="1:2" ht="16.149999999999999" customHeight="1">
      <c r="A125" s="877">
        <v>33685</v>
      </c>
      <c r="B125" s="878">
        <v>640.37</v>
      </c>
    </row>
    <row r="126" spans="1:2" ht="16.149999999999999" customHeight="1">
      <c r="A126" s="877">
        <v>33686</v>
      </c>
      <c r="B126" s="880">
        <v>640.37</v>
      </c>
    </row>
    <row r="127" spans="1:2" ht="16.149999999999999" customHeight="1">
      <c r="A127" s="877">
        <v>33687</v>
      </c>
      <c r="B127" s="878">
        <v>640.37</v>
      </c>
    </row>
    <row r="128" spans="1:2" ht="16.149999999999999" customHeight="1">
      <c r="A128" s="877">
        <v>33688</v>
      </c>
      <c r="B128" s="880">
        <v>642</v>
      </c>
    </row>
    <row r="129" spans="1:2" ht="16.149999999999999" customHeight="1">
      <c r="A129" s="877">
        <v>33689</v>
      </c>
      <c r="B129" s="878">
        <v>641.80999999999995</v>
      </c>
    </row>
    <row r="130" spans="1:2" ht="16.149999999999999" customHeight="1">
      <c r="A130" s="877">
        <v>33690</v>
      </c>
      <c r="B130" s="880">
        <v>641.22</v>
      </c>
    </row>
    <row r="131" spans="1:2" ht="16.149999999999999" customHeight="1">
      <c r="A131" s="877">
        <v>33691</v>
      </c>
      <c r="B131" s="878">
        <v>647.24</v>
      </c>
    </row>
    <row r="132" spans="1:2" ht="16.149999999999999" customHeight="1">
      <c r="A132" s="877">
        <v>33692</v>
      </c>
      <c r="B132" s="880">
        <v>647.24</v>
      </c>
    </row>
    <row r="133" spans="1:2" ht="16.149999999999999" customHeight="1">
      <c r="A133" s="877">
        <v>33693</v>
      </c>
      <c r="B133" s="878">
        <v>647.24</v>
      </c>
    </row>
    <row r="134" spans="1:2" ht="16.149999999999999" customHeight="1">
      <c r="A134" s="877">
        <v>33694</v>
      </c>
      <c r="B134" s="880">
        <v>641.59</v>
      </c>
    </row>
    <row r="135" spans="1:2" ht="16.149999999999999" customHeight="1">
      <c r="A135" s="877">
        <v>33695</v>
      </c>
      <c r="B135" s="878">
        <v>641.98</v>
      </c>
    </row>
    <row r="136" spans="1:2" ht="16.149999999999999" customHeight="1">
      <c r="A136" s="877">
        <v>33696</v>
      </c>
      <c r="B136" s="880">
        <v>645.14</v>
      </c>
    </row>
    <row r="137" spans="1:2" ht="16.149999999999999" customHeight="1">
      <c r="A137" s="877">
        <v>33697</v>
      </c>
      <c r="B137" s="878">
        <v>644.77</v>
      </c>
    </row>
    <row r="138" spans="1:2" ht="16.149999999999999" customHeight="1">
      <c r="A138" s="877">
        <v>33698</v>
      </c>
      <c r="B138" s="880">
        <v>643.11</v>
      </c>
    </row>
    <row r="139" spans="1:2" ht="16.149999999999999" customHeight="1">
      <c r="A139" s="877">
        <v>33699</v>
      </c>
      <c r="B139" s="878">
        <v>643.11</v>
      </c>
    </row>
    <row r="140" spans="1:2" ht="16.149999999999999" customHeight="1">
      <c r="A140" s="877">
        <v>33700</v>
      </c>
      <c r="B140" s="880">
        <v>643.11</v>
      </c>
    </row>
    <row r="141" spans="1:2" ht="16.149999999999999" customHeight="1">
      <c r="A141" s="877">
        <v>33701</v>
      </c>
      <c r="B141" s="878">
        <v>645.73</v>
      </c>
    </row>
    <row r="142" spans="1:2" ht="16.149999999999999" customHeight="1">
      <c r="A142" s="877">
        <v>33702</v>
      </c>
      <c r="B142" s="880">
        <v>643.98</v>
      </c>
    </row>
    <row r="143" spans="1:2" ht="16.149999999999999" customHeight="1">
      <c r="A143" s="877">
        <v>33703</v>
      </c>
      <c r="B143" s="878">
        <v>644.61</v>
      </c>
    </row>
    <row r="144" spans="1:2" ht="16.149999999999999" customHeight="1">
      <c r="A144" s="877">
        <v>33704</v>
      </c>
      <c r="B144" s="880">
        <v>646.5</v>
      </c>
    </row>
    <row r="145" spans="1:2" ht="16.149999999999999" customHeight="1">
      <c r="A145" s="877">
        <v>33705</v>
      </c>
      <c r="B145" s="878">
        <v>647.28</v>
      </c>
    </row>
    <row r="146" spans="1:2" ht="16.149999999999999" customHeight="1">
      <c r="A146" s="877">
        <v>33706</v>
      </c>
      <c r="B146" s="880">
        <v>647.28</v>
      </c>
    </row>
    <row r="147" spans="1:2" ht="16.149999999999999" customHeight="1">
      <c r="A147" s="877">
        <v>33707</v>
      </c>
      <c r="B147" s="878">
        <v>647.28</v>
      </c>
    </row>
    <row r="148" spans="1:2" ht="16.149999999999999" customHeight="1">
      <c r="A148" s="877">
        <v>33708</v>
      </c>
      <c r="B148" s="880">
        <v>649.48</v>
      </c>
    </row>
    <row r="149" spans="1:2" ht="16.149999999999999" customHeight="1">
      <c r="A149" s="877">
        <v>33709</v>
      </c>
      <c r="B149" s="878">
        <v>655.66</v>
      </c>
    </row>
    <row r="150" spans="1:2" ht="16.149999999999999" customHeight="1">
      <c r="A150" s="877">
        <v>33710</v>
      </c>
      <c r="B150" s="880">
        <v>657.97</v>
      </c>
    </row>
    <row r="151" spans="1:2" ht="16.149999999999999" customHeight="1">
      <c r="A151" s="877">
        <v>33711</v>
      </c>
      <c r="B151" s="878">
        <v>657.97</v>
      </c>
    </row>
    <row r="152" spans="1:2" ht="16.149999999999999" customHeight="1">
      <c r="A152" s="877">
        <v>33712</v>
      </c>
      <c r="B152" s="880">
        <v>657.97</v>
      </c>
    </row>
    <row r="153" spans="1:2" ht="16.149999999999999" customHeight="1">
      <c r="A153" s="877">
        <v>33713</v>
      </c>
      <c r="B153" s="878">
        <v>657.97</v>
      </c>
    </row>
    <row r="154" spans="1:2" ht="16.149999999999999" customHeight="1">
      <c r="A154" s="877">
        <v>33714</v>
      </c>
      <c r="B154" s="880">
        <v>657.97</v>
      </c>
    </row>
    <row r="155" spans="1:2" ht="16.149999999999999" customHeight="1">
      <c r="A155" s="877">
        <v>33715</v>
      </c>
      <c r="B155" s="878">
        <v>655.32000000000005</v>
      </c>
    </row>
    <row r="156" spans="1:2" ht="16.149999999999999" customHeight="1">
      <c r="A156" s="877">
        <v>33716</v>
      </c>
      <c r="B156" s="880">
        <v>652.57000000000005</v>
      </c>
    </row>
    <row r="157" spans="1:2" ht="16.149999999999999" customHeight="1">
      <c r="A157" s="877">
        <v>33717</v>
      </c>
      <c r="B157" s="878">
        <v>651.48</v>
      </c>
    </row>
    <row r="158" spans="1:2" ht="16.149999999999999" customHeight="1">
      <c r="A158" s="877">
        <v>33718</v>
      </c>
      <c r="B158" s="880">
        <v>650.24</v>
      </c>
    </row>
    <row r="159" spans="1:2" ht="16.149999999999999" customHeight="1">
      <c r="A159" s="877">
        <v>33719</v>
      </c>
      <c r="B159" s="878">
        <v>651.36</v>
      </c>
    </row>
    <row r="160" spans="1:2" ht="16.149999999999999" customHeight="1">
      <c r="A160" s="877">
        <v>33720</v>
      </c>
      <c r="B160" s="880">
        <v>651.36</v>
      </c>
    </row>
    <row r="161" spans="1:2" ht="16.149999999999999" customHeight="1">
      <c r="A161" s="877">
        <v>33721</v>
      </c>
      <c r="B161" s="878">
        <v>651.36</v>
      </c>
    </row>
    <row r="162" spans="1:2" ht="16.149999999999999" customHeight="1">
      <c r="A162" s="877">
        <v>33722</v>
      </c>
      <c r="B162" s="880">
        <v>650.30999999999995</v>
      </c>
    </row>
    <row r="163" spans="1:2" ht="16.149999999999999" customHeight="1">
      <c r="A163" s="877">
        <v>33723</v>
      </c>
      <c r="B163" s="878">
        <v>651.95000000000005</v>
      </c>
    </row>
    <row r="164" spans="1:2" ht="16.149999999999999" customHeight="1">
      <c r="A164" s="877">
        <v>33724</v>
      </c>
      <c r="B164" s="880">
        <v>653.83000000000004</v>
      </c>
    </row>
    <row r="165" spans="1:2" ht="16.149999999999999" customHeight="1">
      <c r="A165" s="877">
        <v>33725</v>
      </c>
      <c r="B165" s="878">
        <v>653.58000000000004</v>
      </c>
    </row>
    <row r="166" spans="1:2" ht="16.149999999999999" customHeight="1">
      <c r="A166" s="877">
        <v>33726</v>
      </c>
      <c r="B166" s="880">
        <v>653.58000000000004</v>
      </c>
    </row>
    <row r="167" spans="1:2" ht="16.149999999999999" customHeight="1">
      <c r="A167" s="877">
        <v>33727</v>
      </c>
      <c r="B167" s="878">
        <v>653.58000000000004</v>
      </c>
    </row>
    <row r="168" spans="1:2" ht="16.149999999999999" customHeight="1">
      <c r="A168" s="877">
        <v>33728</v>
      </c>
      <c r="B168" s="880">
        <v>653.58000000000004</v>
      </c>
    </row>
    <row r="169" spans="1:2" ht="16.149999999999999" customHeight="1">
      <c r="A169" s="877">
        <v>33729</v>
      </c>
      <c r="B169" s="878">
        <v>653.1</v>
      </c>
    </row>
    <row r="170" spans="1:2" ht="16.149999999999999" customHeight="1">
      <c r="A170" s="877">
        <v>33730</v>
      </c>
      <c r="B170" s="880">
        <v>653.70000000000005</v>
      </c>
    </row>
    <row r="171" spans="1:2" ht="16.149999999999999" customHeight="1">
      <c r="A171" s="877">
        <v>33731</v>
      </c>
      <c r="B171" s="878">
        <v>654.74</v>
      </c>
    </row>
    <row r="172" spans="1:2" ht="16.149999999999999" customHeight="1">
      <c r="A172" s="877">
        <v>33732</v>
      </c>
      <c r="B172" s="880">
        <v>656.4</v>
      </c>
    </row>
    <row r="173" spans="1:2" ht="16.149999999999999" customHeight="1">
      <c r="A173" s="877">
        <v>33733</v>
      </c>
      <c r="B173" s="878">
        <v>657.91</v>
      </c>
    </row>
    <row r="174" spans="1:2" ht="16.149999999999999" customHeight="1">
      <c r="A174" s="877">
        <v>33734</v>
      </c>
      <c r="B174" s="880">
        <v>657.91</v>
      </c>
    </row>
    <row r="175" spans="1:2" ht="16.149999999999999" customHeight="1">
      <c r="A175" s="877">
        <v>33735</v>
      </c>
      <c r="B175" s="878">
        <v>657.91</v>
      </c>
    </row>
    <row r="176" spans="1:2" ht="16.149999999999999" customHeight="1">
      <c r="A176" s="877">
        <v>33736</v>
      </c>
      <c r="B176" s="880">
        <v>658.52</v>
      </c>
    </row>
    <row r="177" spans="1:2" ht="16.149999999999999" customHeight="1">
      <c r="A177" s="877">
        <v>33737</v>
      </c>
      <c r="B177" s="878">
        <v>660.57</v>
      </c>
    </row>
    <row r="178" spans="1:2" ht="16.149999999999999" customHeight="1">
      <c r="A178" s="877">
        <v>33738</v>
      </c>
      <c r="B178" s="880">
        <v>660.88</v>
      </c>
    </row>
    <row r="179" spans="1:2" ht="16.149999999999999" customHeight="1">
      <c r="A179" s="877">
        <v>33739</v>
      </c>
      <c r="B179" s="878">
        <v>663.43</v>
      </c>
    </row>
    <row r="180" spans="1:2" ht="16.149999999999999" customHeight="1">
      <c r="A180" s="877">
        <v>33740</v>
      </c>
      <c r="B180" s="880">
        <v>663.58</v>
      </c>
    </row>
    <row r="181" spans="1:2" ht="16.149999999999999" customHeight="1">
      <c r="A181" s="877">
        <v>33741</v>
      </c>
      <c r="B181" s="878">
        <v>663.58</v>
      </c>
    </row>
    <row r="182" spans="1:2" ht="16.149999999999999" customHeight="1">
      <c r="A182" s="877">
        <v>33742</v>
      </c>
      <c r="B182" s="880">
        <v>663.58</v>
      </c>
    </row>
    <row r="183" spans="1:2" ht="16.149999999999999" customHeight="1">
      <c r="A183" s="877">
        <v>33743</v>
      </c>
      <c r="B183" s="878">
        <v>663.75</v>
      </c>
    </row>
    <row r="184" spans="1:2" ht="16.149999999999999" customHeight="1">
      <c r="A184" s="877">
        <v>33744</v>
      </c>
      <c r="B184" s="880">
        <v>664.5</v>
      </c>
    </row>
    <row r="185" spans="1:2" ht="16.149999999999999" customHeight="1">
      <c r="A185" s="877">
        <v>33745</v>
      </c>
      <c r="B185" s="878">
        <v>663.1</v>
      </c>
    </row>
    <row r="186" spans="1:2" ht="16.149999999999999" customHeight="1">
      <c r="A186" s="877">
        <v>33746</v>
      </c>
      <c r="B186" s="880">
        <v>662.6</v>
      </c>
    </row>
    <row r="187" spans="1:2" ht="16.149999999999999" customHeight="1">
      <c r="A187" s="877">
        <v>33747</v>
      </c>
      <c r="B187" s="878">
        <v>662.11</v>
      </c>
    </row>
    <row r="188" spans="1:2" ht="16.149999999999999" customHeight="1">
      <c r="A188" s="877">
        <v>33748</v>
      </c>
      <c r="B188" s="880">
        <v>662.11</v>
      </c>
    </row>
    <row r="189" spans="1:2" ht="16.149999999999999" customHeight="1">
      <c r="A189" s="877">
        <v>33749</v>
      </c>
      <c r="B189" s="878">
        <v>662.11</v>
      </c>
    </row>
    <row r="190" spans="1:2" ht="16.149999999999999" customHeight="1">
      <c r="A190" s="877">
        <v>33750</v>
      </c>
      <c r="B190" s="880">
        <v>662.15</v>
      </c>
    </row>
    <row r="191" spans="1:2" ht="16.149999999999999" customHeight="1">
      <c r="A191" s="877">
        <v>33751</v>
      </c>
      <c r="B191" s="878">
        <v>660.46</v>
      </c>
    </row>
    <row r="192" spans="1:2" ht="16.149999999999999" customHeight="1">
      <c r="A192" s="877">
        <v>33752</v>
      </c>
      <c r="B192" s="880">
        <v>660.16</v>
      </c>
    </row>
    <row r="193" spans="1:2" ht="16.149999999999999" customHeight="1">
      <c r="A193" s="877">
        <v>33753</v>
      </c>
      <c r="B193" s="878">
        <v>660.99</v>
      </c>
    </row>
    <row r="194" spans="1:2" ht="16.149999999999999" customHeight="1">
      <c r="A194" s="877">
        <v>33754</v>
      </c>
      <c r="B194" s="880">
        <v>664.37</v>
      </c>
    </row>
    <row r="195" spans="1:2" ht="16.149999999999999" customHeight="1">
      <c r="A195" s="877">
        <v>33755</v>
      </c>
      <c r="B195" s="878">
        <v>664.37</v>
      </c>
    </row>
    <row r="196" spans="1:2" ht="16.149999999999999" customHeight="1">
      <c r="A196" s="877">
        <v>33756</v>
      </c>
      <c r="B196" s="880">
        <v>664.37</v>
      </c>
    </row>
    <row r="197" spans="1:2" ht="16.149999999999999" customHeight="1">
      <c r="A197" s="877">
        <v>33757</v>
      </c>
      <c r="B197" s="878">
        <v>664.37</v>
      </c>
    </row>
    <row r="198" spans="1:2" ht="16.149999999999999" customHeight="1">
      <c r="A198" s="877">
        <v>33758</v>
      </c>
      <c r="B198" s="880">
        <v>666.11</v>
      </c>
    </row>
    <row r="199" spans="1:2" ht="16.149999999999999" customHeight="1">
      <c r="A199" s="877">
        <v>33759</v>
      </c>
      <c r="B199" s="878">
        <v>664.3</v>
      </c>
    </row>
    <row r="200" spans="1:2" ht="16.149999999999999" customHeight="1">
      <c r="A200" s="877">
        <v>33760</v>
      </c>
      <c r="B200" s="880">
        <v>666.47</v>
      </c>
    </row>
    <row r="201" spans="1:2" ht="16.149999999999999" customHeight="1">
      <c r="A201" s="877">
        <v>33761</v>
      </c>
      <c r="B201" s="878">
        <v>664.36</v>
      </c>
    </row>
    <row r="202" spans="1:2" ht="16.149999999999999" customHeight="1">
      <c r="A202" s="877">
        <v>33762</v>
      </c>
      <c r="B202" s="880">
        <v>664.36</v>
      </c>
    </row>
    <row r="203" spans="1:2" ht="16.149999999999999" customHeight="1">
      <c r="A203" s="877">
        <v>33763</v>
      </c>
      <c r="B203" s="878">
        <v>664.36</v>
      </c>
    </row>
    <row r="204" spans="1:2" ht="16.149999999999999" customHeight="1">
      <c r="A204" s="877">
        <v>33764</v>
      </c>
      <c r="B204" s="880">
        <v>665.91</v>
      </c>
    </row>
    <row r="205" spans="1:2" ht="16.149999999999999" customHeight="1">
      <c r="A205" s="877">
        <v>33765</v>
      </c>
      <c r="B205" s="878">
        <v>665.92</v>
      </c>
    </row>
    <row r="206" spans="1:2" ht="16.149999999999999" customHeight="1">
      <c r="A206" s="877">
        <v>33766</v>
      </c>
      <c r="B206" s="880">
        <v>667.96</v>
      </c>
    </row>
    <row r="207" spans="1:2" ht="16.149999999999999" customHeight="1">
      <c r="A207" s="877">
        <v>33767</v>
      </c>
      <c r="B207" s="878">
        <v>667.52</v>
      </c>
    </row>
    <row r="208" spans="1:2" ht="16.149999999999999" customHeight="1">
      <c r="A208" s="877">
        <v>33768</v>
      </c>
      <c r="B208" s="880">
        <v>669.55</v>
      </c>
    </row>
    <row r="209" spans="1:2" ht="16.149999999999999" customHeight="1">
      <c r="A209" s="877">
        <v>33769</v>
      </c>
      <c r="B209" s="878">
        <v>669.55</v>
      </c>
    </row>
    <row r="210" spans="1:2" ht="16.149999999999999" customHeight="1">
      <c r="A210" s="877">
        <v>33770</v>
      </c>
      <c r="B210" s="880">
        <v>669.55</v>
      </c>
    </row>
    <row r="211" spans="1:2" ht="16.149999999999999" customHeight="1">
      <c r="A211" s="877">
        <v>33771</v>
      </c>
      <c r="B211" s="878">
        <v>671.36</v>
      </c>
    </row>
    <row r="212" spans="1:2" ht="16.149999999999999" customHeight="1">
      <c r="A212" s="877">
        <v>33772</v>
      </c>
      <c r="B212" s="880">
        <v>675.76</v>
      </c>
    </row>
    <row r="213" spans="1:2" ht="16.149999999999999" customHeight="1">
      <c r="A213" s="877">
        <v>33773</v>
      </c>
      <c r="B213" s="878">
        <v>680.17</v>
      </c>
    </row>
    <row r="214" spans="1:2" ht="16.149999999999999" customHeight="1">
      <c r="A214" s="877">
        <v>33774</v>
      </c>
      <c r="B214" s="880">
        <v>678.25</v>
      </c>
    </row>
    <row r="215" spans="1:2" ht="16.149999999999999" customHeight="1">
      <c r="A215" s="877">
        <v>33775</v>
      </c>
      <c r="B215" s="878">
        <v>683.37</v>
      </c>
    </row>
    <row r="216" spans="1:2" ht="16.149999999999999" customHeight="1">
      <c r="A216" s="877">
        <v>33776</v>
      </c>
      <c r="B216" s="880">
        <v>683.37</v>
      </c>
    </row>
    <row r="217" spans="1:2" ht="16.149999999999999" customHeight="1">
      <c r="A217" s="877">
        <v>33777</v>
      </c>
      <c r="B217" s="878">
        <v>683.37</v>
      </c>
    </row>
    <row r="218" spans="1:2" ht="16.149999999999999" customHeight="1">
      <c r="A218" s="877">
        <v>33778</v>
      </c>
      <c r="B218" s="880">
        <v>683.37</v>
      </c>
    </row>
    <row r="219" spans="1:2" ht="16.149999999999999" customHeight="1">
      <c r="A219" s="877">
        <v>33779</v>
      </c>
      <c r="B219" s="878">
        <v>690.08</v>
      </c>
    </row>
    <row r="220" spans="1:2" ht="16.149999999999999" customHeight="1">
      <c r="A220" s="877">
        <v>33780</v>
      </c>
      <c r="B220" s="880">
        <v>699.09</v>
      </c>
    </row>
    <row r="221" spans="1:2" ht="16.149999999999999" customHeight="1">
      <c r="A221" s="877">
        <v>33781</v>
      </c>
      <c r="B221" s="878">
        <v>701.83</v>
      </c>
    </row>
    <row r="222" spans="1:2" ht="16.149999999999999" customHeight="1">
      <c r="A222" s="877">
        <v>33782</v>
      </c>
      <c r="B222" s="880">
        <v>697.57</v>
      </c>
    </row>
    <row r="223" spans="1:2" ht="16.149999999999999" customHeight="1">
      <c r="A223" s="877">
        <v>33783</v>
      </c>
      <c r="B223" s="878">
        <v>697.57</v>
      </c>
    </row>
    <row r="224" spans="1:2" ht="16.149999999999999" customHeight="1">
      <c r="A224" s="877">
        <v>33784</v>
      </c>
      <c r="B224" s="880">
        <v>697.57</v>
      </c>
    </row>
    <row r="225" spans="1:2" ht="16.149999999999999" customHeight="1">
      <c r="A225" s="877">
        <v>33785</v>
      </c>
      <c r="B225" s="878">
        <v>697.57</v>
      </c>
    </row>
    <row r="226" spans="1:2" ht="16.149999999999999" customHeight="1">
      <c r="A226" s="877">
        <v>33786</v>
      </c>
      <c r="B226" s="880">
        <v>695.36</v>
      </c>
    </row>
    <row r="227" spans="1:2" ht="16.149999999999999" customHeight="1">
      <c r="A227" s="877">
        <v>33787</v>
      </c>
      <c r="B227" s="878">
        <v>694.43</v>
      </c>
    </row>
    <row r="228" spans="1:2" ht="16.149999999999999" customHeight="1">
      <c r="A228" s="877">
        <v>33788</v>
      </c>
      <c r="B228" s="880">
        <v>693.71</v>
      </c>
    </row>
    <row r="229" spans="1:2" ht="16.149999999999999" customHeight="1">
      <c r="A229" s="877">
        <v>33789</v>
      </c>
      <c r="B229" s="878">
        <v>693.4</v>
      </c>
    </row>
    <row r="230" spans="1:2" ht="16.149999999999999" customHeight="1">
      <c r="A230" s="877">
        <v>33790</v>
      </c>
      <c r="B230" s="880">
        <v>693.4</v>
      </c>
    </row>
    <row r="231" spans="1:2" ht="16.149999999999999" customHeight="1">
      <c r="A231" s="877">
        <v>33791</v>
      </c>
      <c r="B231" s="878">
        <v>693.4</v>
      </c>
    </row>
    <row r="232" spans="1:2" ht="16.149999999999999" customHeight="1">
      <c r="A232" s="877">
        <v>33792</v>
      </c>
      <c r="B232" s="880">
        <v>696.12</v>
      </c>
    </row>
    <row r="233" spans="1:2" ht="16.149999999999999" customHeight="1">
      <c r="A233" s="877">
        <v>33793</v>
      </c>
      <c r="B233" s="878">
        <v>695.65</v>
      </c>
    </row>
    <row r="234" spans="1:2" ht="16.149999999999999" customHeight="1">
      <c r="A234" s="877">
        <v>33794</v>
      </c>
      <c r="B234" s="880">
        <v>699.01</v>
      </c>
    </row>
    <row r="235" spans="1:2" ht="16.149999999999999" customHeight="1">
      <c r="A235" s="877">
        <v>33795</v>
      </c>
      <c r="B235" s="878">
        <v>703.74</v>
      </c>
    </row>
    <row r="236" spans="1:2" ht="16.149999999999999" customHeight="1">
      <c r="A236" s="877">
        <v>33796</v>
      </c>
      <c r="B236" s="880">
        <v>708.72</v>
      </c>
    </row>
    <row r="237" spans="1:2" ht="16.149999999999999" customHeight="1">
      <c r="A237" s="877">
        <v>33797</v>
      </c>
      <c r="B237" s="878">
        <v>708.72</v>
      </c>
    </row>
    <row r="238" spans="1:2" ht="16.149999999999999" customHeight="1">
      <c r="A238" s="877">
        <v>33798</v>
      </c>
      <c r="B238" s="880">
        <v>708.72</v>
      </c>
    </row>
    <row r="239" spans="1:2" ht="16.149999999999999" customHeight="1">
      <c r="A239" s="877">
        <v>33799</v>
      </c>
      <c r="B239" s="878">
        <v>720.47</v>
      </c>
    </row>
    <row r="240" spans="1:2" ht="16.149999999999999" customHeight="1">
      <c r="A240" s="877">
        <v>33800</v>
      </c>
      <c r="B240" s="880">
        <v>719.15</v>
      </c>
    </row>
    <row r="241" spans="1:2" ht="16.149999999999999" customHeight="1">
      <c r="A241" s="877">
        <v>33801</v>
      </c>
      <c r="B241" s="878">
        <v>717.45</v>
      </c>
    </row>
    <row r="242" spans="1:2" ht="16.149999999999999" customHeight="1">
      <c r="A242" s="877">
        <v>33802</v>
      </c>
      <c r="B242" s="880">
        <v>717.7</v>
      </c>
    </row>
    <row r="243" spans="1:2" ht="16.149999999999999" customHeight="1">
      <c r="A243" s="877">
        <v>33803</v>
      </c>
      <c r="B243" s="878">
        <v>715.11</v>
      </c>
    </row>
    <row r="244" spans="1:2" ht="16.149999999999999" customHeight="1">
      <c r="A244" s="877">
        <v>33804</v>
      </c>
      <c r="B244" s="880">
        <v>715.11</v>
      </c>
    </row>
    <row r="245" spans="1:2" ht="16.149999999999999" customHeight="1">
      <c r="A245" s="877">
        <v>33805</v>
      </c>
      <c r="B245" s="878">
        <v>715.11</v>
      </c>
    </row>
    <row r="246" spans="1:2" ht="16.149999999999999" customHeight="1">
      <c r="A246" s="877">
        <v>33806</v>
      </c>
      <c r="B246" s="880">
        <v>715.11</v>
      </c>
    </row>
    <row r="247" spans="1:2" ht="16.149999999999999" customHeight="1">
      <c r="A247" s="877">
        <v>33807</v>
      </c>
      <c r="B247" s="878">
        <v>710.91</v>
      </c>
    </row>
    <row r="248" spans="1:2" ht="16.149999999999999" customHeight="1">
      <c r="A248" s="877">
        <v>33808</v>
      </c>
      <c r="B248" s="880">
        <v>707.96</v>
      </c>
    </row>
    <row r="249" spans="1:2" ht="16.149999999999999" customHeight="1">
      <c r="A249" s="877">
        <v>33809</v>
      </c>
      <c r="B249" s="878">
        <v>699.73</v>
      </c>
    </row>
    <row r="250" spans="1:2" ht="16.149999999999999" customHeight="1">
      <c r="A250" s="877">
        <v>33810</v>
      </c>
      <c r="B250" s="880">
        <v>699.68</v>
      </c>
    </row>
    <row r="251" spans="1:2" ht="16.149999999999999" customHeight="1">
      <c r="A251" s="877">
        <v>33811</v>
      </c>
      <c r="B251" s="878">
        <v>699.68</v>
      </c>
    </row>
    <row r="252" spans="1:2" ht="16.149999999999999" customHeight="1">
      <c r="A252" s="877">
        <v>33812</v>
      </c>
      <c r="B252" s="880">
        <v>699.68</v>
      </c>
    </row>
    <row r="253" spans="1:2" ht="16.149999999999999" customHeight="1">
      <c r="A253" s="877">
        <v>33813</v>
      </c>
      <c r="B253" s="878">
        <v>701.66</v>
      </c>
    </row>
    <row r="254" spans="1:2" ht="16.149999999999999" customHeight="1">
      <c r="A254" s="877">
        <v>33814</v>
      </c>
      <c r="B254" s="880">
        <v>701.89</v>
      </c>
    </row>
    <row r="255" spans="1:2" ht="16.149999999999999" customHeight="1">
      <c r="A255" s="877">
        <v>33815</v>
      </c>
      <c r="B255" s="878">
        <v>702.02</v>
      </c>
    </row>
    <row r="256" spans="1:2" ht="16.149999999999999" customHeight="1">
      <c r="A256" s="877">
        <v>33816</v>
      </c>
      <c r="B256" s="880">
        <v>705.14</v>
      </c>
    </row>
    <row r="257" spans="1:2" ht="16.149999999999999" customHeight="1">
      <c r="A257" s="877">
        <v>33817</v>
      </c>
      <c r="B257" s="878">
        <v>702.52</v>
      </c>
    </row>
    <row r="258" spans="1:2" ht="16.149999999999999" customHeight="1">
      <c r="A258" s="877">
        <v>33818</v>
      </c>
      <c r="B258" s="880">
        <v>702.52</v>
      </c>
    </row>
    <row r="259" spans="1:2" ht="16.149999999999999" customHeight="1">
      <c r="A259" s="877">
        <v>33819</v>
      </c>
      <c r="B259" s="878">
        <v>702.52</v>
      </c>
    </row>
    <row r="260" spans="1:2" ht="16.149999999999999" customHeight="1">
      <c r="A260" s="877">
        <v>33820</v>
      </c>
      <c r="B260" s="880">
        <v>701.82</v>
      </c>
    </row>
    <row r="261" spans="1:2" ht="16.149999999999999" customHeight="1">
      <c r="A261" s="877">
        <v>33821</v>
      </c>
      <c r="B261" s="878">
        <v>698.84</v>
      </c>
    </row>
    <row r="262" spans="1:2" ht="16.149999999999999" customHeight="1">
      <c r="A262" s="877">
        <v>33822</v>
      </c>
      <c r="B262" s="880">
        <v>695.32</v>
      </c>
    </row>
    <row r="263" spans="1:2" ht="16.149999999999999" customHeight="1">
      <c r="A263" s="877">
        <v>33823</v>
      </c>
      <c r="B263" s="878">
        <v>694.25</v>
      </c>
    </row>
    <row r="264" spans="1:2" ht="16.149999999999999" customHeight="1">
      <c r="A264" s="877">
        <v>33824</v>
      </c>
      <c r="B264" s="880">
        <v>694.25</v>
      </c>
    </row>
    <row r="265" spans="1:2" ht="16.149999999999999" customHeight="1">
      <c r="A265" s="877">
        <v>33825</v>
      </c>
      <c r="B265" s="878">
        <v>694.25</v>
      </c>
    </row>
    <row r="266" spans="1:2" ht="16.149999999999999" customHeight="1">
      <c r="A266" s="877">
        <v>33826</v>
      </c>
      <c r="B266" s="880">
        <v>694.25</v>
      </c>
    </row>
    <row r="267" spans="1:2" ht="16.149999999999999" customHeight="1">
      <c r="A267" s="877">
        <v>33827</v>
      </c>
      <c r="B267" s="878">
        <v>692.72</v>
      </c>
    </row>
    <row r="268" spans="1:2" ht="16.149999999999999" customHeight="1">
      <c r="A268" s="877">
        <v>33828</v>
      </c>
      <c r="B268" s="880">
        <v>692.25</v>
      </c>
    </row>
    <row r="269" spans="1:2" ht="16.149999999999999" customHeight="1">
      <c r="A269" s="877">
        <v>33829</v>
      </c>
      <c r="B269" s="878">
        <v>694.28</v>
      </c>
    </row>
    <row r="270" spans="1:2" ht="16.149999999999999" customHeight="1">
      <c r="A270" s="877">
        <v>33830</v>
      </c>
      <c r="B270" s="880">
        <v>692.51</v>
      </c>
    </row>
    <row r="271" spans="1:2" ht="16.149999999999999" customHeight="1">
      <c r="A271" s="877">
        <v>33831</v>
      </c>
      <c r="B271" s="878">
        <v>693.25</v>
      </c>
    </row>
    <row r="272" spans="1:2" ht="16.149999999999999" customHeight="1">
      <c r="A272" s="877">
        <v>33832</v>
      </c>
      <c r="B272" s="880">
        <v>693.25</v>
      </c>
    </row>
    <row r="273" spans="1:2" ht="16.149999999999999" customHeight="1">
      <c r="A273" s="877">
        <v>33833</v>
      </c>
      <c r="B273" s="878">
        <v>693.25</v>
      </c>
    </row>
    <row r="274" spans="1:2" ht="16.149999999999999" customHeight="1">
      <c r="A274" s="877">
        <v>33834</v>
      </c>
      <c r="B274" s="880">
        <v>693.25</v>
      </c>
    </row>
    <row r="275" spans="1:2" ht="16.149999999999999" customHeight="1">
      <c r="A275" s="877">
        <v>33835</v>
      </c>
      <c r="B275" s="878">
        <v>693.69</v>
      </c>
    </row>
    <row r="276" spans="1:2" ht="16.149999999999999" customHeight="1">
      <c r="A276" s="877">
        <v>33836</v>
      </c>
      <c r="B276" s="880">
        <v>692.48</v>
      </c>
    </row>
    <row r="277" spans="1:2" ht="16.149999999999999" customHeight="1">
      <c r="A277" s="877">
        <v>33837</v>
      </c>
      <c r="B277" s="878">
        <v>692.56</v>
      </c>
    </row>
    <row r="278" spans="1:2" ht="16.149999999999999" customHeight="1">
      <c r="A278" s="877">
        <v>33838</v>
      </c>
      <c r="B278" s="880">
        <v>693.94</v>
      </c>
    </row>
    <row r="279" spans="1:2" ht="16.149999999999999" customHeight="1">
      <c r="A279" s="877">
        <v>33839</v>
      </c>
      <c r="B279" s="878">
        <v>693.94</v>
      </c>
    </row>
    <row r="280" spans="1:2" ht="16.149999999999999" customHeight="1">
      <c r="A280" s="877">
        <v>33840</v>
      </c>
      <c r="B280" s="880">
        <v>693.94</v>
      </c>
    </row>
    <row r="281" spans="1:2" ht="16.149999999999999" customHeight="1">
      <c r="A281" s="877">
        <v>33841</v>
      </c>
      <c r="B281" s="878">
        <v>689.56</v>
      </c>
    </row>
    <row r="282" spans="1:2" ht="16.149999999999999" customHeight="1">
      <c r="A282" s="877">
        <v>33842</v>
      </c>
      <c r="B282" s="880">
        <v>689.21</v>
      </c>
    </row>
    <row r="283" spans="1:2" ht="16.149999999999999" customHeight="1">
      <c r="A283" s="877">
        <v>33843</v>
      </c>
      <c r="B283" s="878">
        <v>689.45</v>
      </c>
    </row>
    <row r="284" spans="1:2" ht="16.149999999999999" customHeight="1">
      <c r="A284" s="877">
        <v>33844</v>
      </c>
      <c r="B284" s="880">
        <v>690.3</v>
      </c>
    </row>
    <row r="285" spans="1:2" ht="16.149999999999999" customHeight="1">
      <c r="A285" s="877">
        <v>33845</v>
      </c>
      <c r="B285" s="878">
        <v>691.68</v>
      </c>
    </row>
    <row r="286" spans="1:2" ht="16.149999999999999" customHeight="1">
      <c r="A286" s="877">
        <v>33846</v>
      </c>
      <c r="B286" s="880">
        <v>691.68</v>
      </c>
    </row>
    <row r="287" spans="1:2" ht="16.149999999999999" customHeight="1">
      <c r="A287" s="877">
        <v>33847</v>
      </c>
      <c r="B287" s="878">
        <v>691.68</v>
      </c>
    </row>
    <row r="288" spans="1:2" ht="16.149999999999999" customHeight="1">
      <c r="A288" s="877">
        <v>33848</v>
      </c>
      <c r="B288" s="880">
        <v>691.9</v>
      </c>
    </row>
    <row r="289" spans="1:2" ht="16.149999999999999" customHeight="1">
      <c r="A289" s="877">
        <v>33849</v>
      </c>
      <c r="B289" s="878">
        <v>692.89</v>
      </c>
    </row>
    <row r="290" spans="1:2" ht="16.149999999999999" customHeight="1">
      <c r="A290" s="877">
        <v>33850</v>
      </c>
      <c r="B290" s="880">
        <v>693.02</v>
      </c>
    </row>
    <row r="291" spans="1:2" ht="16.149999999999999" customHeight="1">
      <c r="A291" s="877">
        <v>33851</v>
      </c>
      <c r="B291" s="878">
        <v>695.62</v>
      </c>
    </row>
    <row r="292" spans="1:2" ht="16.149999999999999" customHeight="1">
      <c r="A292" s="877">
        <v>33852</v>
      </c>
      <c r="B292" s="880">
        <v>696.77</v>
      </c>
    </row>
    <row r="293" spans="1:2" ht="16.149999999999999" customHeight="1">
      <c r="A293" s="877">
        <v>33853</v>
      </c>
      <c r="B293" s="878">
        <v>696.77</v>
      </c>
    </row>
    <row r="294" spans="1:2" ht="16.149999999999999" customHeight="1">
      <c r="A294" s="877">
        <v>33854</v>
      </c>
      <c r="B294" s="880">
        <v>696.77</v>
      </c>
    </row>
    <row r="295" spans="1:2" ht="16.149999999999999" customHeight="1">
      <c r="A295" s="877">
        <v>33855</v>
      </c>
      <c r="B295" s="878">
        <v>697.69</v>
      </c>
    </row>
    <row r="296" spans="1:2" ht="16.149999999999999" customHeight="1">
      <c r="A296" s="877">
        <v>33856</v>
      </c>
      <c r="B296" s="880">
        <v>698.28</v>
      </c>
    </row>
    <row r="297" spans="1:2" ht="16.149999999999999" customHeight="1">
      <c r="A297" s="877">
        <v>33857</v>
      </c>
      <c r="B297" s="878">
        <v>695.38</v>
      </c>
    </row>
    <row r="298" spans="1:2" ht="16.149999999999999" customHeight="1">
      <c r="A298" s="877">
        <v>33858</v>
      </c>
      <c r="B298" s="880">
        <v>695.54</v>
      </c>
    </row>
    <row r="299" spans="1:2" ht="16.149999999999999" customHeight="1">
      <c r="A299" s="877">
        <v>33859</v>
      </c>
      <c r="B299" s="878">
        <v>696.39</v>
      </c>
    </row>
    <row r="300" spans="1:2" ht="16.149999999999999" customHeight="1">
      <c r="A300" s="877">
        <v>33860</v>
      </c>
      <c r="B300" s="880">
        <v>696.39</v>
      </c>
    </row>
    <row r="301" spans="1:2" ht="16.149999999999999" customHeight="1">
      <c r="A301" s="877">
        <v>33861</v>
      </c>
      <c r="B301" s="878">
        <v>696.39</v>
      </c>
    </row>
    <row r="302" spans="1:2" ht="16.149999999999999" customHeight="1">
      <c r="A302" s="877">
        <v>33862</v>
      </c>
      <c r="B302" s="880">
        <v>696.29</v>
      </c>
    </row>
    <row r="303" spans="1:2" ht="16.149999999999999" customHeight="1">
      <c r="A303" s="877">
        <v>33863</v>
      </c>
      <c r="B303" s="878">
        <v>696.84</v>
      </c>
    </row>
    <row r="304" spans="1:2" ht="16.149999999999999" customHeight="1">
      <c r="A304" s="877">
        <v>33864</v>
      </c>
      <c r="B304" s="880">
        <v>695.7</v>
      </c>
    </row>
    <row r="305" spans="1:2" ht="16.149999999999999" customHeight="1">
      <c r="A305" s="877">
        <v>33865</v>
      </c>
      <c r="B305" s="878">
        <v>696.66</v>
      </c>
    </row>
    <row r="306" spans="1:2" ht="16.149999999999999" customHeight="1">
      <c r="A306" s="877">
        <v>33866</v>
      </c>
      <c r="B306" s="880">
        <v>696.42</v>
      </c>
    </row>
    <row r="307" spans="1:2" ht="16.149999999999999" customHeight="1">
      <c r="A307" s="877">
        <v>33867</v>
      </c>
      <c r="B307" s="878">
        <v>696.42</v>
      </c>
    </row>
    <row r="308" spans="1:2" ht="16.149999999999999" customHeight="1">
      <c r="A308" s="877">
        <v>33868</v>
      </c>
      <c r="B308" s="880">
        <v>696.42</v>
      </c>
    </row>
    <row r="309" spans="1:2" ht="16.149999999999999" customHeight="1">
      <c r="A309" s="877">
        <v>33869</v>
      </c>
      <c r="B309" s="878">
        <v>699.16</v>
      </c>
    </row>
    <row r="310" spans="1:2" ht="16.149999999999999" customHeight="1">
      <c r="A310" s="877">
        <v>33870</v>
      </c>
      <c r="B310" s="880">
        <v>697.77</v>
      </c>
    </row>
    <row r="311" spans="1:2" ht="16.149999999999999" customHeight="1">
      <c r="A311" s="877">
        <v>33871</v>
      </c>
      <c r="B311" s="878">
        <v>698.4</v>
      </c>
    </row>
    <row r="312" spans="1:2" ht="16.149999999999999" customHeight="1">
      <c r="A312" s="877">
        <v>33872</v>
      </c>
      <c r="B312" s="880">
        <v>697.01</v>
      </c>
    </row>
    <row r="313" spans="1:2" ht="16.149999999999999" customHeight="1">
      <c r="A313" s="877">
        <v>33873</v>
      </c>
      <c r="B313" s="878">
        <v>704.8</v>
      </c>
    </row>
    <row r="314" spans="1:2" ht="16.149999999999999" customHeight="1">
      <c r="A314" s="877">
        <v>33874</v>
      </c>
      <c r="B314" s="880">
        <v>704.8</v>
      </c>
    </row>
    <row r="315" spans="1:2" ht="16.149999999999999" customHeight="1">
      <c r="A315" s="877">
        <v>33875</v>
      </c>
      <c r="B315" s="878">
        <v>704.8</v>
      </c>
    </row>
    <row r="316" spans="1:2" ht="16.149999999999999" customHeight="1">
      <c r="A316" s="877">
        <v>33876</v>
      </c>
      <c r="B316" s="880">
        <v>701</v>
      </c>
    </row>
    <row r="317" spans="1:2" ht="16.149999999999999" customHeight="1">
      <c r="A317" s="877">
        <v>33877</v>
      </c>
      <c r="B317" s="878">
        <v>702.81</v>
      </c>
    </row>
    <row r="318" spans="1:2" ht="16.149999999999999" customHeight="1">
      <c r="A318" s="877">
        <v>33878</v>
      </c>
      <c r="B318" s="880">
        <v>699.7</v>
      </c>
    </row>
    <row r="319" spans="1:2" ht="16.149999999999999" customHeight="1">
      <c r="A319" s="877">
        <v>33879</v>
      </c>
      <c r="B319" s="878">
        <v>703.08</v>
      </c>
    </row>
    <row r="320" spans="1:2" ht="16.149999999999999" customHeight="1">
      <c r="A320" s="877">
        <v>33880</v>
      </c>
      <c r="B320" s="880">
        <v>710.22</v>
      </c>
    </row>
    <row r="321" spans="1:2" ht="16.149999999999999" customHeight="1">
      <c r="A321" s="877">
        <v>33881</v>
      </c>
      <c r="B321" s="878">
        <v>710.22</v>
      </c>
    </row>
    <row r="322" spans="1:2" ht="16.149999999999999" customHeight="1">
      <c r="A322" s="877">
        <v>33882</v>
      </c>
      <c r="B322" s="880">
        <v>710.22</v>
      </c>
    </row>
    <row r="323" spans="1:2" ht="16.149999999999999" customHeight="1">
      <c r="A323" s="877">
        <v>33883</v>
      </c>
      <c r="B323" s="878">
        <v>704.52</v>
      </c>
    </row>
    <row r="324" spans="1:2" ht="16.149999999999999" customHeight="1">
      <c r="A324" s="877">
        <v>33884</v>
      </c>
      <c r="B324" s="880">
        <v>703.66</v>
      </c>
    </row>
    <row r="325" spans="1:2" ht="16.149999999999999" customHeight="1">
      <c r="A325" s="877">
        <v>33885</v>
      </c>
      <c r="B325" s="878">
        <v>702.71</v>
      </c>
    </row>
    <row r="326" spans="1:2" ht="16.149999999999999" customHeight="1">
      <c r="A326" s="877">
        <v>33886</v>
      </c>
      <c r="B326" s="880">
        <v>704.06</v>
      </c>
    </row>
    <row r="327" spans="1:2" ht="16.149999999999999" customHeight="1">
      <c r="A327" s="877">
        <v>33887</v>
      </c>
      <c r="B327" s="878">
        <v>701.88</v>
      </c>
    </row>
    <row r="328" spans="1:2" ht="16.149999999999999" customHeight="1">
      <c r="A328" s="877">
        <v>33888</v>
      </c>
      <c r="B328" s="880">
        <v>701.88</v>
      </c>
    </row>
    <row r="329" spans="1:2" ht="16.149999999999999" customHeight="1">
      <c r="A329" s="877">
        <v>33889</v>
      </c>
      <c r="B329" s="878">
        <v>701.88</v>
      </c>
    </row>
    <row r="330" spans="1:2" ht="16.149999999999999" customHeight="1">
      <c r="A330" s="877">
        <v>33890</v>
      </c>
      <c r="B330" s="880">
        <v>701.88</v>
      </c>
    </row>
    <row r="331" spans="1:2" ht="16.149999999999999" customHeight="1">
      <c r="A331" s="877">
        <v>33891</v>
      </c>
      <c r="B331" s="878">
        <v>702.48</v>
      </c>
    </row>
    <row r="332" spans="1:2" ht="16.149999999999999" customHeight="1">
      <c r="A332" s="877">
        <v>33892</v>
      </c>
      <c r="B332" s="880">
        <v>705.52</v>
      </c>
    </row>
    <row r="333" spans="1:2" ht="16.149999999999999" customHeight="1">
      <c r="A333" s="877">
        <v>33893</v>
      </c>
      <c r="B333" s="878">
        <v>708.21</v>
      </c>
    </row>
    <row r="334" spans="1:2" ht="16.149999999999999" customHeight="1">
      <c r="A334" s="877">
        <v>33894</v>
      </c>
      <c r="B334" s="880">
        <v>707.13</v>
      </c>
    </row>
    <row r="335" spans="1:2" ht="16.149999999999999" customHeight="1">
      <c r="A335" s="877">
        <v>33895</v>
      </c>
      <c r="B335" s="878">
        <v>707.13</v>
      </c>
    </row>
    <row r="336" spans="1:2" ht="16.149999999999999" customHeight="1">
      <c r="A336" s="877">
        <v>33896</v>
      </c>
      <c r="B336" s="880">
        <v>707.13</v>
      </c>
    </row>
    <row r="337" spans="1:2" ht="16.149999999999999" customHeight="1">
      <c r="A337" s="877">
        <v>33897</v>
      </c>
      <c r="B337" s="878">
        <v>707.35</v>
      </c>
    </row>
    <row r="338" spans="1:2" ht="16.149999999999999" customHeight="1">
      <c r="A338" s="877">
        <v>33898</v>
      </c>
      <c r="B338" s="880">
        <v>706.06</v>
      </c>
    </row>
    <row r="339" spans="1:2" ht="16.149999999999999" customHeight="1">
      <c r="A339" s="877">
        <v>33899</v>
      </c>
      <c r="B339" s="878">
        <v>709.22</v>
      </c>
    </row>
    <row r="340" spans="1:2" ht="16.149999999999999" customHeight="1">
      <c r="A340" s="877">
        <v>33900</v>
      </c>
      <c r="B340" s="880">
        <v>710.19</v>
      </c>
    </row>
    <row r="341" spans="1:2" ht="16.149999999999999" customHeight="1">
      <c r="A341" s="877">
        <v>33901</v>
      </c>
      <c r="B341" s="878">
        <v>712.04</v>
      </c>
    </row>
    <row r="342" spans="1:2" ht="16.149999999999999" customHeight="1">
      <c r="A342" s="877">
        <v>33902</v>
      </c>
      <c r="B342" s="880">
        <v>712.04</v>
      </c>
    </row>
    <row r="343" spans="1:2" ht="16.149999999999999" customHeight="1">
      <c r="A343" s="877">
        <v>33903</v>
      </c>
      <c r="B343" s="878">
        <v>712.04</v>
      </c>
    </row>
    <row r="344" spans="1:2" ht="16.149999999999999" customHeight="1">
      <c r="A344" s="877">
        <v>33904</v>
      </c>
      <c r="B344" s="880">
        <v>713.55</v>
      </c>
    </row>
    <row r="345" spans="1:2" ht="16.149999999999999" customHeight="1">
      <c r="A345" s="877">
        <v>33905</v>
      </c>
      <c r="B345" s="878">
        <v>716.39</v>
      </c>
    </row>
    <row r="346" spans="1:2" ht="16.149999999999999" customHeight="1">
      <c r="A346" s="877">
        <v>33906</v>
      </c>
      <c r="B346" s="880">
        <v>715.31</v>
      </c>
    </row>
    <row r="347" spans="1:2" ht="16.149999999999999" customHeight="1">
      <c r="A347" s="877">
        <v>33907</v>
      </c>
      <c r="B347" s="878">
        <v>717.37</v>
      </c>
    </row>
    <row r="348" spans="1:2" ht="16.149999999999999" customHeight="1">
      <c r="A348" s="877">
        <v>33908</v>
      </c>
      <c r="B348" s="880">
        <v>716.88</v>
      </c>
    </row>
    <row r="349" spans="1:2" ht="16.149999999999999" customHeight="1">
      <c r="A349" s="877">
        <v>33909</v>
      </c>
      <c r="B349" s="878">
        <v>716.88</v>
      </c>
    </row>
    <row r="350" spans="1:2" ht="16.149999999999999" customHeight="1">
      <c r="A350" s="877">
        <v>33910</v>
      </c>
      <c r="B350" s="880">
        <v>716.88</v>
      </c>
    </row>
    <row r="351" spans="1:2" ht="16.149999999999999" customHeight="1">
      <c r="A351" s="877">
        <v>33911</v>
      </c>
      <c r="B351" s="878">
        <v>716.88</v>
      </c>
    </row>
    <row r="352" spans="1:2" ht="16.149999999999999" customHeight="1">
      <c r="A352" s="877">
        <v>33912</v>
      </c>
      <c r="B352" s="880">
        <v>718.98</v>
      </c>
    </row>
    <row r="353" spans="1:2" ht="16.149999999999999" customHeight="1">
      <c r="A353" s="877">
        <v>33913</v>
      </c>
      <c r="B353" s="878">
        <v>719.21</v>
      </c>
    </row>
    <row r="354" spans="1:2" ht="16.149999999999999" customHeight="1">
      <c r="A354" s="877">
        <v>33914</v>
      </c>
      <c r="B354" s="880">
        <v>720.96</v>
      </c>
    </row>
    <row r="355" spans="1:2" ht="16.149999999999999" customHeight="1">
      <c r="A355" s="877">
        <v>33915</v>
      </c>
      <c r="B355" s="878">
        <v>722.57</v>
      </c>
    </row>
    <row r="356" spans="1:2" ht="16.149999999999999" customHeight="1">
      <c r="A356" s="877">
        <v>33916</v>
      </c>
      <c r="B356" s="880">
        <v>722.57</v>
      </c>
    </row>
    <row r="357" spans="1:2" ht="16.149999999999999" customHeight="1">
      <c r="A357" s="877">
        <v>33917</v>
      </c>
      <c r="B357" s="878">
        <v>722.57</v>
      </c>
    </row>
    <row r="358" spans="1:2" ht="16.149999999999999" customHeight="1">
      <c r="A358" s="877">
        <v>33918</v>
      </c>
      <c r="B358" s="880">
        <v>720.48</v>
      </c>
    </row>
    <row r="359" spans="1:2" ht="16.149999999999999" customHeight="1">
      <c r="A359" s="877">
        <v>33919</v>
      </c>
      <c r="B359" s="878">
        <v>722.37</v>
      </c>
    </row>
    <row r="360" spans="1:2" ht="16.149999999999999" customHeight="1">
      <c r="A360" s="877">
        <v>33920</v>
      </c>
      <c r="B360" s="880">
        <v>723.72</v>
      </c>
    </row>
    <row r="361" spans="1:2" ht="16.149999999999999" customHeight="1">
      <c r="A361" s="877">
        <v>33921</v>
      </c>
      <c r="B361" s="878">
        <v>722.72</v>
      </c>
    </row>
    <row r="362" spans="1:2" ht="16.149999999999999" customHeight="1">
      <c r="A362" s="877">
        <v>33922</v>
      </c>
      <c r="B362" s="880">
        <v>724.07</v>
      </c>
    </row>
    <row r="363" spans="1:2" ht="16.149999999999999" customHeight="1">
      <c r="A363" s="877">
        <v>33923</v>
      </c>
      <c r="B363" s="878">
        <v>724.07</v>
      </c>
    </row>
    <row r="364" spans="1:2" ht="16.149999999999999" customHeight="1">
      <c r="A364" s="877">
        <v>33924</v>
      </c>
      <c r="B364" s="880">
        <v>724.07</v>
      </c>
    </row>
    <row r="365" spans="1:2" ht="16.149999999999999" customHeight="1">
      <c r="A365" s="877">
        <v>33925</v>
      </c>
      <c r="B365" s="878">
        <v>724.07</v>
      </c>
    </row>
    <row r="366" spans="1:2" ht="16.149999999999999" customHeight="1">
      <c r="A366" s="877">
        <v>33926</v>
      </c>
      <c r="B366" s="880">
        <v>730.11</v>
      </c>
    </row>
    <row r="367" spans="1:2" ht="16.149999999999999" customHeight="1">
      <c r="A367" s="877">
        <v>33927</v>
      </c>
      <c r="B367" s="878">
        <v>724.97</v>
      </c>
    </row>
    <row r="368" spans="1:2" ht="16.149999999999999" customHeight="1">
      <c r="A368" s="877">
        <v>33928</v>
      </c>
      <c r="B368" s="880">
        <v>724.9</v>
      </c>
    </row>
    <row r="369" spans="1:2" ht="16.149999999999999" customHeight="1">
      <c r="A369" s="877">
        <v>33929</v>
      </c>
      <c r="B369" s="878">
        <v>721.98</v>
      </c>
    </row>
    <row r="370" spans="1:2" ht="16.149999999999999" customHeight="1">
      <c r="A370" s="877">
        <v>33930</v>
      </c>
      <c r="B370" s="880">
        <v>721.98</v>
      </c>
    </row>
    <row r="371" spans="1:2" ht="16.149999999999999" customHeight="1">
      <c r="A371" s="877">
        <v>33931</v>
      </c>
      <c r="B371" s="878">
        <v>721.98</v>
      </c>
    </row>
    <row r="372" spans="1:2" ht="16.149999999999999" customHeight="1">
      <c r="A372" s="877">
        <v>33932</v>
      </c>
      <c r="B372" s="880">
        <v>726.97</v>
      </c>
    </row>
    <row r="373" spans="1:2" ht="16.149999999999999" customHeight="1">
      <c r="A373" s="877">
        <v>33933</v>
      </c>
      <c r="B373" s="878">
        <v>720.63</v>
      </c>
    </row>
    <row r="374" spans="1:2" ht="16.149999999999999" customHeight="1">
      <c r="A374" s="877">
        <v>33934</v>
      </c>
      <c r="B374" s="880">
        <v>721.47</v>
      </c>
    </row>
    <row r="375" spans="1:2" ht="16.149999999999999" customHeight="1">
      <c r="A375" s="877">
        <v>33935</v>
      </c>
      <c r="B375" s="878">
        <v>722.61</v>
      </c>
    </row>
    <row r="376" spans="1:2" ht="16.149999999999999" customHeight="1">
      <c r="A376" s="877">
        <v>33936</v>
      </c>
      <c r="B376" s="880">
        <v>725.45</v>
      </c>
    </row>
    <row r="377" spans="1:2" ht="16.149999999999999" customHeight="1">
      <c r="A377" s="877">
        <v>33937</v>
      </c>
      <c r="B377" s="878">
        <v>725.45</v>
      </c>
    </row>
    <row r="378" spans="1:2" ht="16.149999999999999" customHeight="1">
      <c r="A378" s="877">
        <v>33938</v>
      </c>
      <c r="B378" s="880">
        <v>725.45</v>
      </c>
    </row>
    <row r="379" spans="1:2" ht="16.149999999999999" customHeight="1">
      <c r="A379" s="877">
        <v>33939</v>
      </c>
      <c r="B379" s="878">
        <v>729.42</v>
      </c>
    </row>
    <row r="380" spans="1:2" ht="16.149999999999999" customHeight="1">
      <c r="A380" s="877">
        <v>33940</v>
      </c>
      <c r="B380" s="880">
        <v>725.75</v>
      </c>
    </row>
    <row r="381" spans="1:2" ht="16.149999999999999" customHeight="1">
      <c r="A381" s="877">
        <v>33941</v>
      </c>
      <c r="B381" s="878">
        <v>729.74</v>
      </c>
    </row>
    <row r="382" spans="1:2" ht="16.149999999999999" customHeight="1">
      <c r="A382" s="877">
        <v>33942</v>
      </c>
      <c r="B382" s="880">
        <v>738.19</v>
      </c>
    </row>
    <row r="383" spans="1:2" ht="16.149999999999999" customHeight="1">
      <c r="A383" s="877">
        <v>33943</v>
      </c>
      <c r="B383" s="878">
        <v>736.29</v>
      </c>
    </row>
    <row r="384" spans="1:2" ht="16.149999999999999" customHeight="1">
      <c r="A384" s="877">
        <v>33944</v>
      </c>
      <c r="B384" s="880">
        <v>736.29</v>
      </c>
    </row>
    <row r="385" spans="1:2" ht="16.149999999999999" customHeight="1">
      <c r="A385" s="877">
        <v>33945</v>
      </c>
      <c r="B385" s="878">
        <v>736.29</v>
      </c>
    </row>
    <row r="386" spans="1:2" ht="16.149999999999999" customHeight="1">
      <c r="A386" s="877">
        <v>33946</v>
      </c>
      <c r="B386" s="880">
        <v>732.11</v>
      </c>
    </row>
    <row r="387" spans="1:2" ht="16.149999999999999" customHeight="1">
      <c r="A387" s="877">
        <v>33947</v>
      </c>
      <c r="B387" s="878">
        <v>732.11</v>
      </c>
    </row>
    <row r="388" spans="1:2" ht="16.149999999999999" customHeight="1">
      <c r="A388" s="877">
        <v>33948</v>
      </c>
      <c r="B388" s="880">
        <v>732.4</v>
      </c>
    </row>
    <row r="389" spans="1:2" ht="16.149999999999999" customHeight="1">
      <c r="A389" s="877">
        <v>33949</v>
      </c>
      <c r="B389" s="878">
        <v>727.21</v>
      </c>
    </row>
    <row r="390" spans="1:2" ht="16.149999999999999" customHeight="1">
      <c r="A390" s="877">
        <v>33950</v>
      </c>
      <c r="B390" s="880">
        <v>729.8</v>
      </c>
    </row>
    <row r="391" spans="1:2" ht="16.149999999999999" customHeight="1">
      <c r="A391" s="877">
        <v>33951</v>
      </c>
      <c r="B391" s="878">
        <v>729.8</v>
      </c>
    </row>
    <row r="392" spans="1:2" ht="16.149999999999999" customHeight="1">
      <c r="A392" s="877">
        <v>33952</v>
      </c>
      <c r="B392" s="880">
        <v>729.8</v>
      </c>
    </row>
    <row r="393" spans="1:2" ht="16.149999999999999" customHeight="1">
      <c r="A393" s="877">
        <v>33953</v>
      </c>
      <c r="B393" s="878">
        <v>732.69</v>
      </c>
    </row>
    <row r="394" spans="1:2" ht="16.149999999999999" customHeight="1">
      <c r="A394" s="877">
        <v>33954</v>
      </c>
      <c r="B394" s="880">
        <v>736.2</v>
      </c>
    </row>
    <row r="395" spans="1:2" ht="16.149999999999999" customHeight="1">
      <c r="A395" s="877">
        <v>33955</v>
      </c>
      <c r="B395" s="878">
        <v>734.98</v>
      </c>
    </row>
    <row r="396" spans="1:2" ht="16.149999999999999" customHeight="1">
      <c r="A396" s="877">
        <v>33956</v>
      </c>
      <c r="B396" s="880">
        <v>732.54</v>
      </c>
    </row>
    <row r="397" spans="1:2" ht="16.149999999999999" customHeight="1">
      <c r="A397" s="877">
        <v>33957</v>
      </c>
      <c r="B397" s="878">
        <v>735.31</v>
      </c>
    </row>
    <row r="398" spans="1:2" ht="16.149999999999999" customHeight="1">
      <c r="A398" s="877">
        <v>33958</v>
      </c>
      <c r="B398" s="880">
        <v>735.31</v>
      </c>
    </row>
    <row r="399" spans="1:2" ht="16.149999999999999" customHeight="1">
      <c r="A399" s="877">
        <v>33959</v>
      </c>
      <c r="B399" s="878">
        <v>735.31</v>
      </c>
    </row>
    <row r="400" spans="1:2" ht="16.149999999999999" customHeight="1">
      <c r="A400" s="877">
        <v>33960</v>
      </c>
      <c r="B400" s="880">
        <v>736.82</v>
      </c>
    </row>
    <row r="401" spans="1:2" ht="16.149999999999999" customHeight="1">
      <c r="A401" s="877">
        <v>33961</v>
      </c>
      <c r="B401" s="878">
        <v>735</v>
      </c>
    </row>
    <row r="402" spans="1:2" ht="16.149999999999999" customHeight="1">
      <c r="A402" s="877">
        <v>33962</v>
      </c>
      <c r="B402" s="880">
        <v>735.19</v>
      </c>
    </row>
    <row r="403" spans="1:2" ht="16.149999999999999" customHeight="1">
      <c r="A403" s="877">
        <v>33963</v>
      </c>
      <c r="B403" s="878">
        <v>735.19</v>
      </c>
    </row>
    <row r="404" spans="1:2" ht="16.149999999999999" customHeight="1">
      <c r="A404" s="877">
        <v>33964</v>
      </c>
      <c r="B404" s="880">
        <v>735.19</v>
      </c>
    </row>
    <row r="405" spans="1:2" ht="16.149999999999999" customHeight="1">
      <c r="A405" s="877">
        <v>33965</v>
      </c>
      <c r="B405" s="878">
        <v>735.19</v>
      </c>
    </row>
    <row r="406" spans="1:2" ht="16.149999999999999" customHeight="1">
      <c r="A406" s="877">
        <v>33966</v>
      </c>
      <c r="B406" s="880">
        <v>735.19</v>
      </c>
    </row>
    <row r="407" spans="1:2" ht="16.149999999999999" customHeight="1">
      <c r="A407" s="877">
        <v>33967</v>
      </c>
      <c r="B407" s="878">
        <v>737.44</v>
      </c>
    </row>
    <row r="408" spans="1:2" ht="16.149999999999999" customHeight="1">
      <c r="A408" s="877">
        <v>33968</v>
      </c>
      <c r="B408" s="880">
        <v>737.98</v>
      </c>
    </row>
    <row r="409" spans="1:2" ht="16.149999999999999" customHeight="1">
      <c r="A409" s="877">
        <v>33969</v>
      </c>
      <c r="B409" s="878">
        <v>737.98</v>
      </c>
    </row>
    <row r="410" spans="1:2" ht="16.149999999999999" customHeight="1">
      <c r="A410" s="877">
        <v>33970</v>
      </c>
      <c r="B410" s="880">
        <v>737.98</v>
      </c>
    </row>
    <row r="411" spans="1:2" ht="16.149999999999999" customHeight="1">
      <c r="A411" s="877">
        <v>33971</v>
      </c>
      <c r="B411" s="878">
        <v>737.98</v>
      </c>
    </row>
    <row r="412" spans="1:2" ht="16.149999999999999" customHeight="1">
      <c r="A412" s="877">
        <v>33972</v>
      </c>
      <c r="B412" s="880">
        <v>737.98</v>
      </c>
    </row>
    <row r="413" spans="1:2" ht="16.149999999999999" customHeight="1">
      <c r="A413" s="877">
        <v>33973</v>
      </c>
      <c r="B413" s="878">
        <v>737.98</v>
      </c>
    </row>
    <row r="414" spans="1:2" ht="16.149999999999999" customHeight="1">
      <c r="A414" s="877">
        <v>33974</v>
      </c>
      <c r="B414" s="880">
        <v>737.55</v>
      </c>
    </row>
    <row r="415" spans="1:2" ht="16.149999999999999" customHeight="1">
      <c r="A415" s="877">
        <v>33975</v>
      </c>
      <c r="B415" s="878">
        <v>738.65</v>
      </c>
    </row>
    <row r="416" spans="1:2" ht="16.149999999999999" customHeight="1">
      <c r="A416" s="877">
        <v>33976</v>
      </c>
      <c r="B416" s="880">
        <v>740.08</v>
      </c>
    </row>
    <row r="417" spans="1:2" ht="16.149999999999999" customHeight="1">
      <c r="A417" s="877">
        <v>33977</v>
      </c>
      <c r="B417" s="878">
        <v>742.61</v>
      </c>
    </row>
    <row r="418" spans="1:2" ht="16.149999999999999" customHeight="1">
      <c r="A418" s="877">
        <v>33978</v>
      </c>
      <c r="B418" s="880">
        <v>746.63</v>
      </c>
    </row>
    <row r="419" spans="1:2" ht="16.149999999999999" customHeight="1">
      <c r="A419" s="877">
        <v>33979</v>
      </c>
      <c r="B419" s="878">
        <v>746.63</v>
      </c>
    </row>
    <row r="420" spans="1:2" ht="16.149999999999999" customHeight="1">
      <c r="A420" s="877">
        <v>33980</v>
      </c>
      <c r="B420" s="880">
        <v>746.63</v>
      </c>
    </row>
    <row r="421" spans="1:2" ht="16.149999999999999" customHeight="1">
      <c r="A421" s="877">
        <v>33981</v>
      </c>
      <c r="B421" s="878">
        <v>746.63</v>
      </c>
    </row>
    <row r="422" spans="1:2" ht="16.149999999999999" customHeight="1">
      <c r="A422" s="877">
        <v>33982</v>
      </c>
      <c r="B422" s="880">
        <v>749.63</v>
      </c>
    </row>
    <row r="423" spans="1:2" ht="16.149999999999999" customHeight="1">
      <c r="A423" s="877">
        <v>33983</v>
      </c>
      <c r="B423" s="878">
        <v>748.98</v>
      </c>
    </row>
    <row r="424" spans="1:2" ht="16.149999999999999" customHeight="1">
      <c r="A424" s="877">
        <v>33984</v>
      </c>
      <c r="B424" s="880">
        <v>746.71</v>
      </c>
    </row>
    <row r="425" spans="1:2" ht="16.149999999999999" customHeight="1">
      <c r="A425" s="877">
        <v>33985</v>
      </c>
      <c r="B425" s="878">
        <v>746.39</v>
      </c>
    </row>
    <row r="426" spans="1:2" ht="16.149999999999999" customHeight="1">
      <c r="A426" s="877">
        <v>33986</v>
      </c>
      <c r="B426" s="880">
        <v>746.39</v>
      </c>
    </row>
    <row r="427" spans="1:2" ht="16.149999999999999" customHeight="1">
      <c r="A427" s="877">
        <v>33987</v>
      </c>
      <c r="B427" s="878">
        <v>746.39</v>
      </c>
    </row>
    <row r="428" spans="1:2" ht="16.149999999999999" customHeight="1">
      <c r="A428" s="877">
        <v>33988</v>
      </c>
      <c r="B428" s="880">
        <v>747.2</v>
      </c>
    </row>
    <row r="429" spans="1:2" ht="16.149999999999999" customHeight="1">
      <c r="A429" s="877">
        <v>33989</v>
      </c>
      <c r="B429" s="878">
        <v>748.07</v>
      </c>
    </row>
    <row r="430" spans="1:2" ht="16.149999999999999" customHeight="1">
      <c r="A430" s="877">
        <v>33990</v>
      </c>
      <c r="B430" s="880">
        <v>750.06</v>
      </c>
    </row>
    <row r="431" spans="1:2" ht="16.149999999999999" customHeight="1">
      <c r="A431" s="877">
        <v>33991</v>
      </c>
      <c r="B431" s="878">
        <v>750</v>
      </c>
    </row>
    <row r="432" spans="1:2" ht="16.149999999999999" customHeight="1">
      <c r="A432" s="877">
        <v>33992</v>
      </c>
      <c r="B432" s="880">
        <v>748.56</v>
      </c>
    </row>
    <row r="433" spans="1:2" ht="16.149999999999999" customHeight="1">
      <c r="A433" s="877">
        <v>33993</v>
      </c>
      <c r="B433" s="878">
        <v>748.56</v>
      </c>
    </row>
    <row r="434" spans="1:2" ht="16.149999999999999" customHeight="1">
      <c r="A434" s="877">
        <v>33994</v>
      </c>
      <c r="B434" s="880">
        <v>748.56</v>
      </c>
    </row>
    <row r="435" spans="1:2" ht="16.149999999999999" customHeight="1">
      <c r="A435" s="877">
        <v>33995</v>
      </c>
      <c r="B435" s="878">
        <v>747.25</v>
      </c>
    </row>
    <row r="436" spans="1:2" ht="16.149999999999999" customHeight="1">
      <c r="A436" s="877">
        <v>33996</v>
      </c>
      <c r="B436" s="880">
        <v>747.13</v>
      </c>
    </row>
    <row r="437" spans="1:2" ht="16.149999999999999" customHeight="1">
      <c r="A437" s="877">
        <v>33997</v>
      </c>
      <c r="B437" s="878">
        <v>746.21</v>
      </c>
    </row>
    <row r="438" spans="1:2" ht="16.149999999999999" customHeight="1">
      <c r="A438" s="877">
        <v>33998</v>
      </c>
      <c r="B438" s="880">
        <v>745.14</v>
      </c>
    </row>
    <row r="439" spans="1:2" ht="16.149999999999999" customHeight="1">
      <c r="A439" s="877">
        <v>33999</v>
      </c>
      <c r="B439" s="878">
        <v>746.05</v>
      </c>
    </row>
    <row r="440" spans="1:2" ht="16.149999999999999" customHeight="1">
      <c r="A440" s="877">
        <v>34000</v>
      </c>
      <c r="B440" s="880">
        <v>746.05</v>
      </c>
    </row>
    <row r="441" spans="1:2" ht="16.149999999999999" customHeight="1">
      <c r="A441" s="877">
        <v>34001</v>
      </c>
      <c r="B441" s="878">
        <v>746.05</v>
      </c>
    </row>
    <row r="442" spans="1:2" ht="16.149999999999999" customHeight="1">
      <c r="A442" s="877">
        <v>34002</v>
      </c>
      <c r="B442" s="880">
        <v>745.27</v>
      </c>
    </row>
    <row r="443" spans="1:2" ht="16.149999999999999" customHeight="1">
      <c r="A443" s="877">
        <v>34003</v>
      </c>
      <c r="B443" s="878">
        <v>745.64</v>
      </c>
    </row>
    <row r="444" spans="1:2" ht="16.149999999999999" customHeight="1">
      <c r="A444" s="877">
        <v>34004</v>
      </c>
      <c r="B444" s="880">
        <v>745.73</v>
      </c>
    </row>
    <row r="445" spans="1:2" ht="16.149999999999999" customHeight="1">
      <c r="A445" s="877">
        <v>34005</v>
      </c>
      <c r="B445" s="878">
        <v>745.79</v>
      </c>
    </row>
    <row r="446" spans="1:2" ht="16.149999999999999" customHeight="1">
      <c r="A446" s="877">
        <v>34006</v>
      </c>
      <c r="B446" s="880">
        <v>746.56</v>
      </c>
    </row>
    <row r="447" spans="1:2" ht="16.149999999999999" customHeight="1">
      <c r="A447" s="877">
        <v>34007</v>
      </c>
      <c r="B447" s="878">
        <v>746.56</v>
      </c>
    </row>
    <row r="448" spans="1:2" ht="16.149999999999999" customHeight="1">
      <c r="A448" s="877">
        <v>34008</v>
      </c>
      <c r="B448" s="880">
        <v>746.56</v>
      </c>
    </row>
    <row r="449" spans="1:2" ht="16.149999999999999" customHeight="1">
      <c r="A449" s="877">
        <v>34009</v>
      </c>
      <c r="B449" s="878">
        <v>745.45</v>
      </c>
    </row>
    <row r="450" spans="1:2" ht="16.149999999999999" customHeight="1">
      <c r="A450" s="877">
        <v>34010</v>
      </c>
      <c r="B450" s="880">
        <v>745.49</v>
      </c>
    </row>
    <row r="451" spans="1:2" ht="16.149999999999999" customHeight="1">
      <c r="A451" s="877">
        <v>34011</v>
      </c>
      <c r="B451" s="878">
        <v>745.38</v>
      </c>
    </row>
    <row r="452" spans="1:2" ht="16.149999999999999" customHeight="1">
      <c r="A452" s="877">
        <v>34012</v>
      </c>
      <c r="B452" s="880">
        <v>748.22</v>
      </c>
    </row>
    <row r="453" spans="1:2" ht="16.149999999999999" customHeight="1">
      <c r="A453" s="877">
        <v>34013</v>
      </c>
      <c r="B453" s="878">
        <v>748.88</v>
      </c>
    </row>
    <row r="454" spans="1:2" ht="16.149999999999999" customHeight="1">
      <c r="A454" s="877">
        <v>34014</v>
      </c>
      <c r="B454" s="880">
        <v>748.88</v>
      </c>
    </row>
    <row r="455" spans="1:2" ht="16.149999999999999" customHeight="1">
      <c r="A455" s="877">
        <v>34015</v>
      </c>
      <c r="B455" s="878">
        <v>748.88</v>
      </c>
    </row>
    <row r="456" spans="1:2" ht="16.149999999999999" customHeight="1">
      <c r="A456" s="877">
        <v>34016</v>
      </c>
      <c r="B456" s="880">
        <v>748.18</v>
      </c>
    </row>
    <row r="457" spans="1:2" ht="16.149999999999999" customHeight="1">
      <c r="A457" s="877">
        <v>34017</v>
      </c>
      <c r="B457" s="878">
        <v>749.69</v>
      </c>
    </row>
    <row r="458" spans="1:2" ht="16.149999999999999" customHeight="1">
      <c r="A458" s="877">
        <v>34018</v>
      </c>
      <c r="B458" s="880">
        <v>750.75</v>
      </c>
    </row>
    <row r="459" spans="1:2" ht="16.149999999999999" customHeight="1">
      <c r="A459" s="877">
        <v>34019</v>
      </c>
      <c r="B459" s="878">
        <v>752.47</v>
      </c>
    </row>
    <row r="460" spans="1:2" ht="16.149999999999999" customHeight="1">
      <c r="A460" s="877">
        <v>34020</v>
      </c>
      <c r="B460" s="880">
        <v>751.96</v>
      </c>
    </row>
    <row r="461" spans="1:2" ht="16.149999999999999" customHeight="1">
      <c r="A461" s="877">
        <v>34021</v>
      </c>
      <c r="B461" s="878">
        <v>751.96</v>
      </c>
    </row>
    <row r="462" spans="1:2" ht="16.149999999999999" customHeight="1">
      <c r="A462" s="877">
        <v>34022</v>
      </c>
      <c r="B462" s="880">
        <v>751.96</v>
      </c>
    </row>
    <row r="463" spans="1:2" ht="16.149999999999999" customHeight="1">
      <c r="A463" s="877">
        <v>34023</v>
      </c>
      <c r="B463" s="878">
        <v>752.52</v>
      </c>
    </row>
    <row r="464" spans="1:2" ht="16.149999999999999" customHeight="1">
      <c r="A464" s="877">
        <v>34024</v>
      </c>
      <c r="B464" s="880">
        <v>753.33</v>
      </c>
    </row>
    <row r="465" spans="1:2" ht="16.149999999999999" customHeight="1">
      <c r="A465" s="877">
        <v>34025</v>
      </c>
      <c r="B465" s="878">
        <v>755.07</v>
      </c>
    </row>
    <row r="466" spans="1:2" ht="16.149999999999999" customHeight="1">
      <c r="A466" s="877">
        <v>34026</v>
      </c>
      <c r="B466" s="880">
        <v>759.2</v>
      </c>
    </row>
    <row r="467" spans="1:2" ht="16.149999999999999" customHeight="1">
      <c r="A467" s="877">
        <v>34027</v>
      </c>
      <c r="B467" s="878">
        <v>758.03</v>
      </c>
    </row>
    <row r="468" spans="1:2" ht="16.149999999999999" customHeight="1">
      <c r="A468" s="877">
        <v>34028</v>
      </c>
      <c r="B468" s="880">
        <v>758.03</v>
      </c>
    </row>
    <row r="469" spans="1:2" ht="16.149999999999999" customHeight="1">
      <c r="A469" s="877">
        <v>34029</v>
      </c>
      <c r="B469" s="878">
        <v>758.03</v>
      </c>
    </row>
    <row r="470" spans="1:2" ht="16.149999999999999" customHeight="1">
      <c r="A470" s="877">
        <v>34030</v>
      </c>
      <c r="B470" s="880">
        <v>757.89</v>
      </c>
    </row>
    <row r="471" spans="1:2" ht="16.149999999999999" customHeight="1">
      <c r="A471" s="877">
        <v>34031</v>
      </c>
      <c r="B471" s="878">
        <v>760.71</v>
      </c>
    </row>
    <row r="472" spans="1:2" ht="16.149999999999999" customHeight="1">
      <c r="A472" s="877">
        <v>34032</v>
      </c>
      <c r="B472" s="880">
        <v>762.68</v>
      </c>
    </row>
    <row r="473" spans="1:2" ht="16.149999999999999" customHeight="1">
      <c r="A473" s="877">
        <v>34033</v>
      </c>
      <c r="B473" s="878">
        <v>762.04</v>
      </c>
    </row>
    <row r="474" spans="1:2" ht="16.149999999999999" customHeight="1">
      <c r="A474" s="877">
        <v>34034</v>
      </c>
      <c r="B474" s="880">
        <v>762.2</v>
      </c>
    </row>
    <row r="475" spans="1:2" ht="16.149999999999999" customHeight="1">
      <c r="A475" s="877">
        <v>34035</v>
      </c>
      <c r="B475" s="878">
        <v>762.2</v>
      </c>
    </row>
    <row r="476" spans="1:2" ht="16.149999999999999" customHeight="1">
      <c r="A476" s="877">
        <v>34036</v>
      </c>
      <c r="B476" s="880">
        <v>762.2</v>
      </c>
    </row>
    <row r="477" spans="1:2" ht="16.149999999999999" customHeight="1">
      <c r="A477" s="877">
        <v>34037</v>
      </c>
      <c r="B477" s="878">
        <v>763.38</v>
      </c>
    </row>
    <row r="478" spans="1:2" ht="16.149999999999999" customHeight="1">
      <c r="A478" s="877">
        <v>34038</v>
      </c>
      <c r="B478" s="880">
        <v>763.9</v>
      </c>
    </row>
    <row r="479" spans="1:2" ht="16.149999999999999" customHeight="1">
      <c r="A479" s="877">
        <v>34039</v>
      </c>
      <c r="B479" s="878">
        <v>764.74</v>
      </c>
    </row>
    <row r="480" spans="1:2" ht="16.149999999999999" customHeight="1">
      <c r="A480" s="877">
        <v>34040</v>
      </c>
      <c r="B480" s="880">
        <v>765.19</v>
      </c>
    </row>
    <row r="481" spans="1:2" ht="16.149999999999999" customHeight="1">
      <c r="A481" s="877">
        <v>34041</v>
      </c>
      <c r="B481" s="878">
        <v>764.79</v>
      </c>
    </row>
    <row r="482" spans="1:2" ht="16.149999999999999" customHeight="1">
      <c r="A482" s="877">
        <v>34042</v>
      </c>
      <c r="B482" s="880">
        <v>764.79</v>
      </c>
    </row>
    <row r="483" spans="1:2" ht="16.149999999999999" customHeight="1">
      <c r="A483" s="877">
        <v>34043</v>
      </c>
      <c r="B483" s="878">
        <v>764.79</v>
      </c>
    </row>
    <row r="484" spans="1:2" ht="16.149999999999999" customHeight="1">
      <c r="A484" s="877">
        <v>34044</v>
      </c>
      <c r="B484" s="880">
        <v>764.29</v>
      </c>
    </row>
    <row r="485" spans="1:2" ht="16.149999999999999" customHeight="1">
      <c r="A485" s="877">
        <v>34045</v>
      </c>
      <c r="B485" s="878">
        <v>765.06</v>
      </c>
    </row>
    <row r="486" spans="1:2" ht="16.149999999999999" customHeight="1">
      <c r="A486" s="877">
        <v>34046</v>
      </c>
      <c r="B486" s="880">
        <v>766.12</v>
      </c>
    </row>
    <row r="487" spans="1:2" ht="16.149999999999999" customHeight="1">
      <c r="A487" s="877">
        <v>34047</v>
      </c>
      <c r="B487" s="878">
        <v>766.42</v>
      </c>
    </row>
    <row r="488" spans="1:2" ht="16.149999999999999" customHeight="1">
      <c r="A488" s="877">
        <v>34048</v>
      </c>
      <c r="B488" s="880">
        <v>766.84</v>
      </c>
    </row>
    <row r="489" spans="1:2" ht="16.149999999999999" customHeight="1">
      <c r="A489" s="877">
        <v>34049</v>
      </c>
      <c r="B489" s="878">
        <v>766.84</v>
      </c>
    </row>
    <row r="490" spans="1:2" ht="16.149999999999999" customHeight="1">
      <c r="A490" s="877">
        <v>34050</v>
      </c>
      <c r="B490" s="880">
        <v>766.84</v>
      </c>
    </row>
    <row r="491" spans="1:2" ht="16.149999999999999" customHeight="1">
      <c r="A491" s="877">
        <v>34051</v>
      </c>
      <c r="B491" s="878">
        <v>766.84</v>
      </c>
    </row>
    <row r="492" spans="1:2" ht="16.149999999999999" customHeight="1">
      <c r="A492" s="877">
        <v>34052</v>
      </c>
      <c r="B492" s="880">
        <v>766.63</v>
      </c>
    </row>
    <row r="493" spans="1:2" ht="16.149999999999999" customHeight="1">
      <c r="A493" s="877">
        <v>34053</v>
      </c>
      <c r="B493" s="878">
        <v>766.91</v>
      </c>
    </row>
    <row r="494" spans="1:2" ht="16.149999999999999" customHeight="1">
      <c r="A494" s="877">
        <v>34054</v>
      </c>
      <c r="B494" s="880">
        <v>767.99</v>
      </c>
    </row>
    <row r="495" spans="1:2" ht="16.149999999999999" customHeight="1">
      <c r="A495" s="877">
        <v>34055</v>
      </c>
      <c r="B495" s="878">
        <v>767.4</v>
      </c>
    </row>
    <row r="496" spans="1:2" ht="16.149999999999999" customHeight="1">
      <c r="A496" s="877">
        <v>34056</v>
      </c>
      <c r="B496" s="880">
        <v>767.4</v>
      </c>
    </row>
    <row r="497" spans="1:2" ht="16.149999999999999" customHeight="1">
      <c r="A497" s="877">
        <v>34057</v>
      </c>
      <c r="B497" s="878">
        <v>767.4</v>
      </c>
    </row>
    <row r="498" spans="1:2" ht="16.149999999999999" customHeight="1">
      <c r="A498" s="877">
        <v>34058</v>
      </c>
      <c r="B498" s="880">
        <v>766.79</v>
      </c>
    </row>
    <row r="499" spans="1:2" ht="16.149999999999999" customHeight="1">
      <c r="A499" s="877">
        <v>34059</v>
      </c>
      <c r="B499" s="878">
        <v>766.41</v>
      </c>
    </row>
    <row r="500" spans="1:2" ht="16.149999999999999" customHeight="1">
      <c r="A500" s="877">
        <v>34060</v>
      </c>
      <c r="B500" s="880">
        <v>766.44</v>
      </c>
    </row>
    <row r="501" spans="1:2" ht="16.149999999999999" customHeight="1">
      <c r="A501" s="877">
        <v>34061</v>
      </c>
      <c r="B501" s="878">
        <v>767.98</v>
      </c>
    </row>
    <row r="502" spans="1:2" ht="16.149999999999999" customHeight="1">
      <c r="A502" s="877">
        <v>34062</v>
      </c>
      <c r="B502" s="880">
        <v>768.46</v>
      </c>
    </row>
    <row r="503" spans="1:2" ht="16.149999999999999" customHeight="1">
      <c r="A503" s="877">
        <v>34063</v>
      </c>
      <c r="B503" s="878">
        <v>768.46</v>
      </c>
    </row>
    <row r="504" spans="1:2" ht="16.149999999999999" customHeight="1">
      <c r="A504" s="877">
        <v>34064</v>
      </c>
      <c r="B504" s="880">
        <v>768.46</v>
      </c>
    </row>
    <row r="505" spans="1:2" ht="16.149999999999999" customHeight="1">
      <c r="A505" s="877">
        <v>34065</v>
      </c>
      <c r="B505" s="878">
        <v>768.31</v>
      </c>
    </row>
    <row r="506" spans="1:2" ht="16.149999999999999" customHeight="1">
      <c r="A506" s="877">
        <v>34066</v>
      </c>
      <c r="B506" s="880">
        <v>768.52</v>
      </c>
    </row>
    <row r="507" spans="1:2" ht="16.149999999999999" customHeight="1">
      <c r="A507" s="877">
        <v>34067</v>
      </c>
      <c r="B507" s="878">
        <v>768.6</v>
      </c>
    </row>
    <row r="508" spans="1:2" ht="16.149999999999999" customHeight="1">
      <c r="A508" s="877">
        <v>34068</v>
      </c>
      <c r="B508" s="880">
        <v>768.6</v>
      </c>
    </row>
    <row r="509" spans="1:2" ht="16.149999999999999" customHeight="1">
      <c r="A509" s="877">
        <v>34069</v>
      </c>
      <c r="B509" s="878">
        <v>768.6</v>
      </c>
    </row>
    <row r="510" spans="1:2" ht="16.149999999999999" customHeight="1">
      <c r="A510" s="877">
        <v>34070</v>
      </c>
      <c r="B510" s="880">
        <v>768.6</v>
      </c>
    </row>
    <row r="511" spans="1:2" ht="16.149999999999999" customHeight="1">
      <c r="A511" s="877">
        <v>34071</v>
      </c>
      <c r="B511" s="878">
        <v>768.6</v>
      </c>
    </row>
    <row r="512" spans="1:2" ht="16.149999999999999" customHeight="1">
      <c r="A512" s="877">
        <v>34072</v>
      </c>
      <c r="B512" s="880">
        <v>769.34</v>
      </c>
    </row>
    <row r="513" spans="1:2" ht="16.149999999999999" customHeight="1">
      <c r="A513" s="877">
        <v>34073</v>
      </c>
      <c r="B513" s="878">
        <v>769.8</v>
      </c>
    </row>
    <row r="514" spans="1:2" ht="16.149999999999999" customHeight="1">
      <c r="A514" s="877">
        <v>34074</v>
      </c>
      <c r="B514" s="880">
        <v>771.56</v>
      </c>
    </row>
    <row r="515" spans="1:2" ht="16.149999999999999" customHeight="1">
      <c r="A515" s="877">
        <v>34075</v>
      </c>
      <c r="B515" s="878">
        <v>772.71</v>
      </c>
    </row>
    <row r="516" spans="1:2" ht="16.149999999999999" customHeight="1">
      <c r="A516" s="877">
        <v>34076</v>
      </c>
      <c r="B516" s="880">
        <v>773.22</v>
      </c>
    </row>
    <row r="517" spans="1:2" ht="16.149999999999999" customHeight="1">
      <c r="A517" s="877">
        <v>34077</v>
      </c>
      <c r="B517" s="878">
        <v>773.22</v>
      </c>
    </row>
    <row r="518" spans="1:2" ht="16.149999999999999" customHeight="1">
      <c r="A518" s="877">
        <v>34078</v>
      </c>
      <c r="B518" s="880">
        <v>773.22</v>
      </c>
    </row>
    <row r="519" spans="1:2" ht="16.149999999999999" customHeight="1">
      <c r="A519" s="877">
        <v>34079</v>
      </c>
      <c r="B519" s="878">
        <v>773.7</v>
      </c>
    </row>
    <row r="520" spans="1:2" ht="16.149999999999999" customHeight="1">
      <c r="A520" s="877">
        <v>34080</v>
      </c>
      <c r="B520" s="880">
        <v>773.97</v>
      </c>
    </row>
    <row r="521" spans="1:2" ht="16.149999999999999" customHeight="1">
      <c r="A521" s="877">
        <v>34081</v>
      </c>
      <c r="B521" s="878">
        <v>774.34</v>
      </c>
    </row>
    <row r="522" spans="1:2" ht="16.149999999999999" customHeight="1">
      <c r="A522" s="877">
        <v>34082</v>
      </c>
      <c r="B522" s="880">
        <v>775.05</v>
      </c>
    </row>
    <row r="523" spans="1:2" ht="16.149999999999999" customHeight="1">
      <c r="A523" s="877">
        <v>34083</v>
      </c>
      <c r="B523" s="878">
        <v>775.32</v>
      </c>
    </row>
    <row r="524" spans="1:2" ht="16.149999999999999" customHeight="1">
      <c r="A524" s="877">
        <v>34084</v>
      </c>
      <c r="B524" s="880">
        <v>775.32</v>
      </c>
    </row>
    <row r="525" spans="1:2" ht="16.149999999999999" customHeight="1">
      <c r="A525" s="877">
        <v>34085</v>
      </c>
      <c r="B525" s="878">
        <v>775.32</v>
      </c>
    </row>
    <row r="526" spans="1:2" ht="16.149999999999999" customHeight="1">
      <c r="A526" s="877">
        <v>34086</v>
      </c>
      <c r="B526" s="880">
        <v>775.2</v>
      </c>
    </row>
    <row r="527" spans="1:2" ht="16.149999999999999" customHeight="1">
      <c r="A527" s="877">
        <v>34087</v>
      </c>
      <c r="B527" s="878">
        <v>774.52</v>
      </c>
    </row>
    <row r="528" spans="1:2" ht="16.149999999999999" customHeight="1">
      <c r="A528" s="877">
        <v>34088</v>
      </c>
      <c r="B528" s="880">
        <v>773.78</v>
      </c>
    </row>
    <row r="529" spans="1:2" ht="16.149999999999999" customHeight="1">
      <c r="A529" s="877">
        <v>34089</v>
      </c>
      <c r="B529" s="878">
        <v>774.94</v>
      </c>
    </row>
    <row r="530" spans="1:2" ht="16.149999999999999" customHeight="1">
      <c r="A530" s="877">
        <v>34090</v>
      </c>
      <c r="B530" s="880">
        <v>773.82</v>
      </c>
    </row>
    <row r="531" spans="1:2" ht="16.149999999999999" customHeight="1">
      <c r="A531" s="877">
        <v>34091</v>
      </c>
      <c r="B531" s="878">
        <v>773.82</v>
      </c>
    </row>
    <row r="532" spans="1:2" ht="16.149999999999999" customHeight="1">
      <c r="A532" s="877">
        <v>34092</v>
      </c>
      <c r="B532" s="880">
        <v>773.82</v>
      </c>
    </row>
    <row r="533" spans="1:2" ht="16.149999999999999" customHeight="1">
      <c r="A533" s="877">
        <v>34093</v>
      </c>
      <c r="B533" s="878">
        <v>775.53</v>
      </c>
    </row>
    <row r="534" spans="1:2" ht="16.149999999999999" customHeight="1">
      <c r="A534" s="877">
        <v>34094</v>
      </c>
      <c r="B534" s="880">
        <v>776.99</v>
      </c>
    </row>
    <row r="535" spans="1:2" ht="16.149999999999999" customHeight="1">
      <c r="A535" s="877">
        <v>34095</v>
      </c>
      <c r="B535" s="878">
        <v>777.88</v>
      </c>
    </row>
    <row r="536" spans="1:2" ht="16.149999999999999" customHeight="1">
      <c r="A536" s="877">
        <v>34096</v>
      </c>
      <c r="B536" s="880">
        <v>778.17</v>
      </c>
    </row>
    <row r="537" spans="1:2" ht="16.149999999999999" customHeight="1">
      <c r="A537" s="877">
        <v>34097</v>
      </c>
      <c r="B537" s="878">
        <v>777.17</v>
      </c>
    </row>
    <row r="538" spans="1:2" ht="16.149999999999999" customHeight="1">
      <c r="A538" s="877">
        <v>34098</v>
      </c>
      <c r="B538" s="880">
        <v>777.17</v>
      </c>
    </row>
    <row r="539" spans="1:2" ht="16.149999999999999" customHeight="1">
      <c r="A539" s="877">
        <v>34099</v>
      </c>
      <c r="B539" s="878">
        <v>777.17</v>
      </c>
    </row>
    <row r="540" spans="1:2" ht="16.149999999999999" customHeight="1">
      <c r="A540" s="877">
        <v>34100</v>
      </c>
      <c r="B540" s="880">
        <v>777.75</v>
      </c>
    </row>
    <row r="541" spans="1:2" ht="16.149999999999999" customHeight="1">
      <c r="A541" s="877">
        <v>34101</v>
      </c>
      <c r="B541" s="878">
        <v>779.41</v>
      </c>
    </row>
    <row r="542" spans="1:2" ht="16.149999999999999" customHeight="1">
      <c r="A542" s="877">
        <v>34102</v>
      </c>
      <c r="B542" s="880">
        <v>780.49</v>
      </c>
    </row>
    <row r="543" spans="1:2" ht="16.149999999999999" customHeight="1">
      <c r="A543" s="877">
        <v>34103</v>
      </c>
      <c r="B543" s="878">
        <v>780.8</v>
      </c>
    </row>
    <row r="544" spans="1:2" ht="16.149999999999999" customHeight="1">
      <c r="A544" s="877">
        <v>34104</v>
      </c>
      <c r="B544" s="880">
        <v>780.79</v>
      </c>
    </row>
    <row r="545" spans="1:2" ht="16.149999999999999" customHeight="1">
      <c r="A545" s="877">
        <v>34105</v>
      </c>
      <c r="B545" s="878">
        <v>780.79</v>
      </c>
    </row>
    <row r="546" spans="1:2" ht="16.149999999999999" customHeight="1">
      <c r="A546" s="877">
        <v>34106</v>
      </c>
      <c r="B546" s="880">
        <v>780.79</v>
      </c>
    </row>
    <row r="547" spans="1:2" ht="16.149999999999999" customHeight="1">
      <c r="A547" s="877">
        <v>34107</v>
      </c>
      <c r="B547" s="878">
        <v>781.42</v>
      </c>
    </row>
    <row r="548" spans="1:2" ht="16.149999999999999" customHeight="1">
      <c r="A548" s="877">
        <v>34108</v>
      </c>
      <c r="B548" s="880">
        <v>781.8</v>
      </c>
    </row>
    <row r="549" spans="1:2" ht="16.149999999999999" customHeight="1">
      <c r="A549" s="877">
        <v>34109</v>
      </c>
      <c r="B549" s="878">
        <v>781.84</v>
      </c>
    </row>
    <row r="550" spans="1:2" ht="16.149999999999999" customHeight="1">
      <c r="A550" s="877">
        <v>34110</v>
      </c>
      <c r="B550" s="880">
        <v>781.94</v>
      </c>
    </row>
    <row r="551" spans="1:2" ht="16.149999999999999" customHeight="1">
      <c r="A551" s="877">
        <v>34111</v>
      </c>
      <c r="B551" s="878">
        <v>782</v>
      </c>
    </row>
    <row r="552" spans="1:2" ht="16.149999999999999" customHeight="1">
      <c r="A552" s="877">
        <v>34112</v>
      </c>
      <c r="B552" s="880">
        <v>782</v>
      </c>
    </row>
    <row r="553" spans="1:2" ht="16.149999999999999" customHeight="1">
      <c r="A553" s="877">
        <v>34113</v>
      </c>
      <c r="B553" s="878">
        <v>782</v>
      </c>
    </row>
    <row r="554" spans="1:2" ht="16.149999999999999" customHeight="1">
      <c r="A554" s="877">
        <v>34114</v>
      </c>
      <c r="B554" s="880">
        <v>782</v>
      </c>
    </row>
    <row r="555" spans="1:2" ht="16.149999999999999" customHeight="1">
      <c r="A555" s="877">
        <v>34115</v>
      </c>
      <c r="B555" s="878">
        <v>783.15</v>
      </c>
    </row>
    <row r="556" spans="1:2" ht="16.149999999999999" customHeight="1">
      <c r="A556" s="877">
        <v>34116</v>
      </c>
      <c r="B556" s="880">
        <v>782.85</v>
      </c>
    </row>
    <row r="557" spans="1:2" ht="16.149999999999999" customHeight="1">
      <c r="A557" s="877">
        <v>34117</v>
      </c>
      <c r="B557" s="878">
        <v>780.78</v>
      </c>
    </row>
    <row r="558" spans="1:2" ht="16.149999999999999" customHeight="1">
      <c r="A558" s="877">
        <v>34118</v>
      </c>
      <c r="B558" s="880">
        <v>779.56</v>
      </c>
    </row>
    <row r="559" spans="1:2" ht="16.149999999999999" customHeight="1">
      <c r="A559" s="877">
        <v>34119</v>
      </c>
      <c r="B559" s="878">
        <v>779.56</v>
      </c>
    </row>
    <row r="560" spans="1:2" ht="16.149999999999999" customHeight="1">
      <c r="A560" s="877">
        <v>34120</v>
      </c>
      <c r="B560" s="880">
        <v>779.56</v>
      </c>
    </row>
    <row r="561" spans="1:2" ht="16.149999999999999" customHeight="1">
      <c r="A561" s="877">
        <v>34121</v>
      </c>
      <c r="B561" s="878">
        <v>779</v>
      </c>
    </row>
    <row r="562" spans="1:2" ht="16.149999999999999" customHeight="1">
      <c r="A562" s="877">
        <v>34122</v>
      </c>
      <c r="B562" s="880">
        <v>779.01</v>
      </c>
    </row>
    <row r="563" spans="1:2" ht="16.149999999999999" customHeight="1">
      <c r="A563" s="877">
        <v>34123</v>
      </c>
      <c r="B563" s="878">
        <v>777.82</v>
      </c>
    </row>
    <row r="564" spans="1:2" ht="16.149999999999999" customHeight="1">
      <c r="A564" s="877">
        <v>34124</v>
      </c>
      <c r="B564" s="880">
        <v>778.12</v>
      </c>
    </row>
    <row r="565" spans="1:2" ht="16.149999999999999" customHeight="1">
      <c r="A565" s="877">
        <v>34125</v>
      </c>
      <c r="B565" s="878">
        <v>780.6</v>
      </c>
    </row>
    <row r="566" spans="1:2" ht="16.149999999999999" customHeight="1">
      <c r="A566" s="877">
        <v>34126</v>
      </c>
      <c r="B566" s="880">
        <v>780.6</v>
      </c>
    </row>
    <row r="567" spans="1:2" ht="16.149999999999999" customHeight="1">
      <c r="A567" s="877">
        <v>34127</v>
      </c>
      <c r="B567" s="878">
        <v>780.6</v>
      </c>
    </row>
    <row r="568" spans="1:2" ht="16.149999999999999" customHeight="1">
      <c r="A568" s="877">
        <v>34128</v>
      </c>
      <c r="B568" s="880">
        <v>782.29</v>
      </c>
    </row>
    <row r="569" spans="1:2" ht="16.149999999999999" customHeight="1">
      <c r="A569" s="877">
        <v>34129</v>
      </c>
      <c r="B569" s="878">
        <v>784.62</v>
      </c>
    </row>
    <row r="570" spans="1:2" ht="16.149999999999999" customHeight="1">
      <c r="A570" s="877">
        <v>34130</v>
      </c>
      <c r="B570" s="880">
        <v>784.95</v>
      </c>
    </row>
    <row r="571" spans="1:2" ht="16.149999999999999" customHeight="1">
      <c r="A571" s="877">
        <v>34131</v>
      </c>
      <c r="B571" s="878">
        <v>785.79</v>
      </c>
    </row>
    <row r="572" spans="1:2" ht="16.149999999999999" customHeight="1">
      <c r="A572" s="877">
        <v>34132</v>
      </c>
      <c r="B572" s="880">
        <v>784.8</v>
      </c>
    </row>
    <row r="573" spans="1:2" ht="16.149999999999999" customHeight="1">
      <c r="A573" s="877">
        <v>34133</v>
      </c>
      <c r="B573" s="878">
        <v>784.8</v>
      </c>
    </row>
    <row r="574" spans="1:2" ht="16.149999999999999" customHeight="1">
      <c r="A574" s="877">
        <v>34134</v>
      </c>
      <c r="B574" s="880">
        <v>784.8</v>
      </c>
    </row>
    <row r="575" spans="1:2" ht="16.149999999999999" customHeight="1">
      <c r="A575" s="877">
        <v>34135</v>
      </c>
      <c r="B575" s="878">
        <v>784.8</v>
      </c>
    </row>
    <row r="576" spans="1:2" ht="16.149999999999999" customHeight="1">
      <c r="A576" s="877">
        <v>34136</v>
      </c>
      <c r="B576" s="880">
        <v>785.9</v>
      </c>
    </row>
    <row r="577" spans="1:2" ht="16.149999999999999" customHeight="1">
      <c r="A577" s="877">
        <v>34137</v>
      </c>
      <c r="B577" s="878">
        <v>786.64</v>
      </c>
    </row>
    <row r="578" spans="1:2" ht="16.149999999999999" customHeight="1">
      <c r="A578" s="877">
        <v>34138</v>
      </c>
      <c r="B578" s="880">
        <v>787.49</v>
      </c>
    </row>
    <row r="579" spans="1:2" ht="16.149999999999999" customHeight="1">
      <c r="A579" s="877">
        <v>34139</v>
      </c>
      <c r="B579" s="878">
        <v>786.77</v>
      </c>
    </row>
    <row r="580" spans="1:2" ht="16.149999999999999" customHeight="1">
      <c r="A580" s="877">
        <v>34140</v>
      </c>
      <c r="B580" s="880">
        <v>786.77</v>
      </c>
    </row>
    <row r="581" spans="1:2" ht="16.149999999999999" customHeight="1">
      <c r="A581" s="877">
        <v>34141</v>
      </c>
      <c r="B581" s="878">
        <v>786.77</v>
      </c>
    </row>
    <row r="582" spans="1:2" ht="16.149999999999999" customHeight="1">
      <c r="A582" s="877">
        <v>34142</v>
      </c>
      <c r="B582" s="880">
        <v>786.77</v>
      </c>
    </row>
    <row r="583" spans="1:2" ht="16.149999999999999" customHeight="1">
      <c r="A583" s="877">
        <v>34143</v>
      </c>
      <c r="B583" s="878">
        <v>787.06</v>
      </c>
    </row>
    <row r="584" spans="1:2" ht="16.149999999999999" customHeight="1">
      <c r="A584" s="877">
        <v>34144</v>
      </c>
      <c r="B584" s="880">
        <v>786.42</v>
      </c>
    </row>
    <row r="585" spans="1:2" ht="16.149999999999999" customHeight="1">
      <c r="A585" s="877">
        <v>34145</v>
      </c>
      <c r="B585" s="878">
        <v>786.72</v>
      </c>
    </row>
    <row r="586" spans="1:2" ht="16.149999999999999" customHeight="1">
      <c r="A586" s="877">
        <v>34146</v>
      </c>
      <c r="B586" s="880">
        <v>786.96</v>
      </c>
    </row>
    <row r="587" spans="1:2" ht="16.149999999999999" customHeight="1">
      <c r="A587" s="877">
        <v>34147</v>
      </c>
      <c r="B587" s="878">
        <v>786.96</v>
      </c>
    </row>
    <row r="588" spans="1:2" ht="16.149999999999999" customHeight="1">
      <c r="A588" s="877">
        <v>34148</v>
      </c>
      <c r="B588" s="880">
        <v>786.96</v>
      </c>
    </row>
    <row r="589" spans="1:2" ht="16.149999999999999" customHeight="1">
      <c r="A589" s="877">
        <v>34149</v>
      </c>
      <c r="B589" s="878">
        <v>786.8</v>
      </c>
    </row>
    <row r="590" spans="1:2" ht="16.149999999999999" customHeight="1">
      <c r="A590" s="877">
        <v>34150</v>
      </c>
      <c r="B590" s="880">
        <v>787.12</v>
      </c>
    </row>
    <row r="591" spans="1:2" ht="16.149999999999999" customHeight="1">
      <c r="A591" s="877">
        <v>34151</v>
      </c>
      <c r="B591" s="878">
        <v>786.1</v>
      </c>
    </row>
    <row r="592" spans="1:2" ht="16.149999999999999" customHeight="1">
      <c r="A592" s="877">
        <v>34152</v>
      </c>
      <c r="B592" s="880">
        <v>787.51</v>
      </c>
    </row>
    <row r="593" spans="1:2" ht="16.149999999999999" customHeight="1">
      <c r="A593" s="877">
        <v>34153</v>
      </c>
      <c r="B593" s="878">
        <v>788.65</v>
      </c>
    </row>
    <row r="594" spans="1:2" ht="16.149999999999999" customHeight="1">
      <c r="A594" s="877">
        <v>34154</v>
      </c>
      <c r="B594" s="880">
        <v>788.65</v>
      </c>
    </row>
    <row r="595" spans="1:2" ht="16.149999999999999" customHeight="1">
      <c r="A595" s="877">
        <v>34155</v>
      </c>
      <c r="B595" s="878">
        <v>788.65</v>
      </c>
    </row>
    <row r="596" spans="1:2" ht="16.149999999999999" customHeight="1">
      <c r="A596" s="877">
        <v>34156</v>
      </c>
      <c r="B596" s="880">
        <v>788.65</v>
      </c>
    </row>
    <row r="597" spans="1:2" ht="16.149999999999999" customHeight="1">
      <c r="A597" s="877">
        <v>34157</v>
      </c>
      <c r="B597" s="878">
        <v>789.47</v>
      </c>
    </row>
    <row r="598" spans="1:2" ht="16.149999999999999" customHeight="1">
      <c r="A598" s="877">
        <v>34158</v>
      </c>
      <c r="B598" s="880">
        <v>790.58</v>
      </c>
    </row>
    <row r="599" spans="1:2" ht="16.149999999999999" customHeight="1">
      <c r="A599" s="877">
        <v>34159</v>
      </c>
      <c r="B599" s="878">
        <v>791.73</v>
      </c>
    </row>
    <row r="600" spans="1:2" ht="16.149999999999999" customHeight="1">
      <c r="A600" s="877">
        <v>34160</v>
      </c>
      <c r="B600" s="880">
        <v>793.18</v>
      </c>
    </row>
    <row r="601" spans="1:2" ht="16.149999999999999" customHeight="1">
      <c r="A601" s="877">
        <v>34161</v>
      </c>
      <c r="B601" s="878">
        <v>793.18</v>
      </c>
    </row>
    <row r="602" spans="1:2" ht="16.149999999999999" customHeight="1">
      <c r="A602" s="877">
        <v>34162</v>
      </c>
      <c r="B602" s="880">
        <v>793.18</v>
      </c>
    </row>
    <row r="603" spans="1:2" ht="16.149999999999999" customHeight="1">
      <c r="A603" s="877">
        <v>34163</v>
      </c>
      <c r="B603" s="878">
        <v>794.67</v>
      </c>
    </row>
    <row r="604" spans="1:2" ht="16.149999999999999" customHeight="1">
      <c r="A604" s="877">
        <v>34164</v>
      </c>
      <c r="B604" s="880">
        <v>795.66</v>
      </c>
    </row>
    <row r="605" spans="1:2" ht="16.149999999999999" customHeight="1">
      <c r="A605" s="877">
        <v>34165</v>
      </c>
      <c r="B605" s="878">
        <v>797</v>
      </c>
    </row>
    <row r="606" spans="1:2" ht="16.149999999999999" customHeight="1">
      <c r="A606" s="877">
        <v>34166</v>
      </c>
      <c r="B606" s="880">
        <v>797.06</v>
      </c>
    </row>
    <row r="607" spans="1:2" ht="16.149999999999999" customHeight="1">
      <c r="A607" s="877">
        <v>34167</v>
      </c>
      <c r="B607" s="878">
        <v>797.31</v>
      </c>
    </row>
    <row r="608" spans="1:2" ht="16.149999999999999" customHeight="1">
      <c r="A608" s="877">
        <v>34168</v>
      </c>
      <c r="B608" s="880">
        <v>797.31</v>
      </c>
    </row>
    <row r="609" spans="1:2" ht="16.149999999999999" customHeight="1">
      <c r="A609" s="877">
        <v>34169</v>
      </c>
      <c r="B609" s="878">
        <v>797.31</v>
      </c>
    </row>
    <row r="610" spans="1:2" ht="16.149999999999999" customHeight="1">
      <c r="A610" s="877">
        <v>34170</v>
      </c>
      <c r="B610" s="880">
        <v>797.41</v>
      </c>
    </row>
    <row r="611" spans="1:2" ht="16.149999999999999" customHeight="1">
      <c r="A611" s="877">
        <v>34171</v>
      </c>
      <c r="B611" s="878">
        <v>797.41</v>
      </c>
    </row>
    <row r="612" spans="1:2" ht="16.149999999999999" customHeight="1">
      <c r="A612" s="877">
        <v>34172</v>
      </c>
      <c r="B612" s="880">
        <v>797.63</v>
      </c>
    </row>
    <row r="613" spans="1:2" ht="16.149999999999999" customHeight="1">
      <c r="A613" s="877">
        <v>34173</v>
      </c>
      <c r="B613" s="878">
        <v>798.17</v>
      </c>
    </row>
    <row r="614" spans="1:2" ht="16.149999999999999" customHeight="1">
      <c r="A614" s="877">
        <v>34174</v>
      </c>
      <c r="B614" s="880">
        <v>798.83</v>
      </c>
    </row>
    <row r="615" spans="1:2" ht="16.149999999999999" customHeight="1">
      <c r="A615" s="877">
        <v>34175</v>
      </c>
      <c r="B615" s="878">
        <v>798.83</v>
      </c>
    </row>
    <row r="616" spans="1:2" ht="16.149999999999999" customHeight="1">
      <c r="A616" s="877">
        <v>34176</v>
      </c>
      <c r="B616" s="880">
        <v>798.83</v>
      </c>
    </row>
    <row r="617" spans="1:2" ht="16.149999999999999" customHeight="1">
      <c r="A617" s="877">
        <v>34177</v>
      </c>
      <c r="B617" s="878">
        <v>799.17</v>
      </c>
    </row>
    <row r="618" spans="1:2" ht="16.149999999999999" customHeight="1">
      <c r="A618" s="877">
        <v>34178</v>
      </c>
      <c r="B618" s="880">
        <v>799.96</v>
      </c>
    </row>
    <row r="619" spans="1:2" ht="16.149999999999999" customHeight="1">
      <c r="A619" s="877">
        <v>34179</v>
      </c>
      <c r="B619" s="878">
        <v>800.42</v>
      </c>
    </row>
    <row r="620" spans="1:2" ht="16.149999999999999" customHeight="1">
      <c r="A620" s="877">
        <v>34180</v>
      </c>
      <c r="B620" s="880">
        <v>801.04</v>
      </c>
    </row>
    <row r="621" spans="1:2" ht="16.149999999999999" customHeight="1">
      <c r="A621" s="877">
        <v>34181</v>
      </c>
      <c r="B621" s="878">
        <v>801.35</v>
      </c>
    </row>
    <row r="622" spans="1:2" ht="16.149999999999999" customHeight="1">
      <c r="A622" s="877">
        <v>34182</v>
      </c>
      <c r="B622" s="880">
        <v>801.35</v>
      </c>
    </row>
    <row r="623" spans="1:2" ht="16.149999999999999" customHeight="1">
      <c r="A623" s="877">
        <v>34183</v>
      </c>
      <c r="B623" s="878">
        <v>801.35</v>
      </c>
    </row>
    <row r="624" spans="1:2" ht="16.149999999999999" customHeight="1">
      <c r="A624" s="877">
        <v>34184</v>
      </c>
      <c r="B624" s="880">
        <v>801.15</v>
      </c>
    </row>
    <row r="625" spans="1:2" ht="16.149999999999999" customHeight="1">
      <c r="A625" s="877">
        <v>34185</v>
      </c>
      <c r="B625" s="878">
        <v>801.86</v>
      </c>
    </row>
    <row r="626" spans="1:2" ht="16.149999999999999" customHeight="1">
      <c r="A626" s="877">
        <v>34186</v>
      </c>
      <c r="B626" s="880">
        <v>801.82</v>
      </c>
    </row>
    <row r="627" spans="1:2" ht="16.149999999999999" customHeight="1">
      <c r="A627" s="877">
        <v>34187</v>
      </c>
      <c r="B627" s="878">
        <v>801.86</v>
      </c>
    </row>
    <row r="628" spans="1:2" ht="16.149999999999999" customHeight="1">
      <c r="A628" s="877">
        <v>34188</v>
      </c>
      <c r="B628" s="880">
        <v>801.78</v>
      </c>
    </row>
    <row r="629" spans="1:2" ht="16.149999999999999" customHeight="1">
      <c r="A629" s="877">
        <v>34189</v>
      </c>
      <c r="B629" s="878">
        <v>801.78</v>
      </c>
    </row>
    <row r="630" spans="1:2" ht="16.149999999999999" customHeight="1">
      <c r="A630" s="877">
        <v>34190</v>
      </c>
      <c r="B630" s="880">
        <v>801.78</v>
      </c>
    </row>
    <row r="631" spans="1:2" ht="16.149999999999999" customHeight="1">
      <c r="A631" s="877">
        <v>34191</v>
      </c>
      <c r="B631" s="878">
        <v>802.3</v>
      </c>
    </row>
    <row r="632" spans="1:2" ht="16.149999999999999" customHeight="1">
      <c r="A632" s="877">
        <v>34192</v>
      </c>
      <c r="B632" s="880">
        <v>803.22</v>
      </c>
    </row>
    <row r="633" spans="1:2" ht="16.149999999999999" customHeight="1">
      <c r="A633" s="877">
        <v>34193</v>
      </c>
      <c r="B633" s="878">
        <v>804.48</v>
      </c>
    </row>
    <row r="634" spans="1:2" ht="16.149999999999999" customHeight="1">
      <c r="A634" s="877">
        <v>34194</v>
      </c>
      <c r="B634" s="880">
        <v>804.93</v>
      </c>
    </row>
    <row r="635" spans="1:2" ht="16.149999999999999" customHeight="1">
      <c r="A635" s="877">
        <v>34195</v>
      </c>
      <c r="B635" s="878">
        <v>804.51</v>
      </c>
    </row>
    <row r="636" spans="1:2" ht="16.149999999999999" customHeight="1">
      <c r="A636" s="877">
        <v>34196</v>
      </c>
      <c r="B636" s="880">
        <v>804.51</v>
      </c>
    </row>
    <row r="637" spans="1:2" ht="16.149999999999999" customHeight="1">
      <c r="A637" s="877">
        <v>34197</v>
      </c>
      <c r="B637" s="878">
        <v>804.51</v>
      </c>
    </row>
    <row r="638" spans="1:2" ht="16.149999999999999" customHeight="1">
      <c r="A638" s="877">
        <v>34198</v>
      </c>
      <c r="B638" s="880">
        <v>804.51</v>
      </c>
    </row>
    <row r="639" spans="1:2" ht="16.149999999999999" customHeight="1">
      <c r="A639" s="877">
        <v>34199</v>
      </c>
      <c r="B639" s="878">
        <v>804.76</v>
      </c>
    </row>
    <row r="640" spans="1:2" ht="16.149999999999999" customHeight="1">
      <c r="A640" s="877">
        <v>34200</v>
      </c>
      <c r="B640" s="880">
        <v>805.62</v>
      </c>
    </row>
    <row r="641" spans="1:2" ht="16.149999999999999" customHeight="1">
      <c r="A641" s="877">
        <v>34201</v>
      </c>
      <c r="B641" s="878">
        <v>806.15</v>
      </c>
    </row>
    <row r="642" spans="1:2" ht="16.149999999999999" customHeight="1">
      <c r="A642" s="877">
        <v>34202</v>
      </c>
      <c r="B642" s="880">
        <v>806.72</v>
      </c>
    </row>
    <row r="643" spans="1:2" ht="16.149999999999999" customHeight="1">
      <c r="A643" s="877">
        <v>34203</v>
      </c>
      <c r="B643" s="878">
        <v>806.72</v>
      </c>
    </row>
    <row r="644" spans="1:2" ht="16.149999999999999" customHeight="1">
      <c r="A644" s="877">
        <v>34204</v>
      </c>
      <c r="B644" s="880">
        <v>806.72</v>
      </c>
    </row>
    <row r="645" spans="1:2" ht="16.149999999999999" customHeight="1">
      <c r="A645" s="877">
        <v>34205</v>
      </c>
      <c r="B645" s="878">
        <v>807.04</v>
      </c>
    </row>
    <row r="646" spans="1:2" ht="16.149999999999999" customHeight="1">
      <c r="A646" s="877">
        <v>34206</v>
      </c>
      <c r="B646" s="880">
        <v>807.57</v>
      </c>
    </row>
    <row r="647" spans="1:2" ht="16.149999999999999" customHeight="1">
      <c r="A647" s="877">
        <v>34207</v>
      </c>
      <c r="B647" s="878">
        <v>807.77</v>
      </c>
    </row>
    <row r="648" spans="1:2" ht="16.149999999999999" customHeight="1">
      <c r="A648" s="877">
        <v>34208</v>
      </c>
      <c r="B648" s="880">
        <v>807.55</v>
      </c>
    </row>
    <row r="649" spans="1:2" ht="16.149999999999999" customHeight="1">
      <c r="A649" s="877">
        <v>34209</v>
      </c>
      <c r="B649" s="878">
        <v>807.53</v>
      </c>
    </row>
    <row r="650" spans="1:2" ht="16.149999999999999" customHeight="1">
      <c r="A650" s="877">
        <v>34210</v>
      </c>
      <c r="B650" s="880">
        <v>807.53</v>
      </c>
    </row>
    <row r="651" spans="1:2" ht="16.149999999999999" customHeight="1">
      <c r="A651" s="877">
        <v>34211</v>
      </c>
      <c r="B651" s="878">
        <v>807.53</v>
      </c>
    </row>
    <row r="652" spans="1:2" ht="16.149999999999999" customHeight="1">
      <c r="A652" s="877">
        <v>34212</v>
      </c>
      <c r="B652" s="880">
        <v>806.86</v>
      </c>
    </row>
    <row r="653" spans="1:2" ht="16.149999999999999" customHeight="1">
      <c r="A653" s="877">
        <v>34213</v>
      </c>
      <c r="B653" s="878">
        <v>806.83</v>
      </c>
    </row>
    <row r="654" spans="1:2" ht="16.149999999999999" customHeight="1">
      <c r="A654" s="877">
        <v>34214</v>
      </c>
      <c r="B654" s="880">
        <v>808.04</v>
      </c>
    </row>
    <row r="655" spans="1:2" ht="16.149999999999999" customHeight="1">
      <c r="A655" s="877">
        <v>34215</v>
      </c>
      <c r="B655" s="878">
        <v>807.96</v>
      </c>
    </row>
    <row r="656" spans="1:2" ht="16.149999999999999" customHeight="1">
      <c r="A656" s="877">
        <v>34216</v>
      </c>
      <c r="B656" s="880">
        <v>807.68</v>
      </c>
    </row>
    <row r="657" spans="1:2" ht="16.149999999999999" customHeight="1">
      <c r="A657" s="877">
        <v>34217</v>
      </c>
      <c r="B657" s="878">
        <v>807.68</v>
      </c>
    </row>
    <row r="658" spans="1:2" ht="16.149999999999999" customHeight="1">
      <c r="A658" s="877">
        <v>34218</v>
      </c>
      <c r="B658" s="880">
        <v>807.68</v>
      </c>
    </row>
    <row r="659" spans="1:2" ht="16.149999999999999" customHeight="1">
      <c r="A659" s="877">
        <v>34219</v>
      </c>
      <c r="B659" s="878">
        <v>807.62</v>
      </c>
    </row>
    <row r="660" spans="1:2" ht="16.149999999999999" customHeight="1">
      <c r="A660" s="877">
        <v>34220</v>
      </c>
      <c r="B660" s="880">
        <v>808.24</v>
      </c>
    </row>
    <row r="661" spans="1:2" ht="16.149999999999999" customHeight="1">
      <c r="A661" s="877">
        <v>34221</v>
      </c>
      <c r="B661" s="878">
        <v>809.33</v>
      </c>
    </row>
    <row r="662" spans="1:2" ht="16.149999999999999" customHeight="1">
      <c r="A662" s="877">
        <v>34222</v>
      </c>
      <c r="B662" s="880">
        <v>810.25</v>
      </c>
    </row>
    <row r="663" spans="1:2" ht="16.149999999999999" customHeight="1">
      <c r="A663" s="877">
        <v>34223</v>
      </c>
      <c r="B663" s="878">
        <v>810.03</v>
      </c>
    </row>
    <row r="664" spans="1:2" ht="16.149999999999999" customHeight="1">
      <c r="A664" s="877">
        <v>34224</v>
      </c>
      <c r="B664" s="880">
        <v>810.03</v>
      </c>
    </row>
    <row r="665" spans="1:2" ht="16.149999999999999" customHeight="1">
      <c r="A665" s="877">
        <v>34225</v>
      </c>
      <c r="B665" s="878">
        <v>810.03</v>
      </c>
    </row>
    <row r="666" spans="1:2" ht="16.149999999999999" customHeight="1">
      <c r="A666" s="877">
        <v>34226</v>
      </c>
      <c r="B666" s="880">
        <v>810.09</v>
      </c>
    </row>
    <row r="667" spans="1:2" ht="16.149999999999999" customHeight="1">
      <c r="A667" s="877">
        <v>34227</v>
      </c>
      <c r="B667" s="878">
        <v>810.81</v>
      </c>
    </row>
    <row r="668" spans="1:2" ht="16.149999999999999" customHeight="1">
      <c r="A668" s="877">
        <v>34228</v>
      </c>
      <c r="B668" s="880">
        <v>811.75</v>
      </c>
    </row>
    <row r="669" spans="1:2" ht="16.149999999999999" customHeight="1">
      <c r="A669" s="877">
        <v>34229</v>
      </c>
      <c r="B669" s="878">
        <v>811.93</v>
      </c>
    </row>
    <row r="670" spans="1:2" ht="16.149999999999999" customHeight="1">
      <c r="A670" s="877">
        <v>34230</v>
      </c>
      <c r="B670" s="880">
        <v>811.18</v>
      </c>
    </row>
    <row r="671" spans="1:2" ht="16.149999999999999" customHeight="1">
      <c r="A671" s="877">
        <v>34231</v>
      </c>
      <c r="B671" s="878">
        <v>811.18</v>
      </c>
    </row>
    <row r="672" spans="1:2" ht="16.149999999999999" customHeight="1">
      <c r="A672" s="877">
        <v>34232</v>
      </c>
      <c r="B672" s="880">
        <v>811.18</v>
      </c>
    </row>
    <row r="673" spans="1:2" ht="16.149999999999999" customHeight="1">
      <c r="A673" s="877">
        <v>34233</v>
      </c>
      <c r="B673" s="878">
        <v>810.88</v>
      </c>
    </row>
    <row r="674" spans="1:2" ht="16.149999999999999" customHeight="1">
      <c r="A674" s="877">
        <v>34234</v>
      </c>
      <c r="B674" s="880">
        <v>809.75</v>
      </c>
    </row>
    <row r="675" spans="1:2" ht="16.149999999999999" customHeight="1">
      <c r="A675" s="877">
        <v>34235</v>
      </c>
      <c r="B675" s="878">
        <v>810.04</v>
      </c>
    </row>
    <row r="676" spans="1:2" ht="16.149999999999999" customHeight="1">
      <c r="A676" s="877">
        <v>34236</v>
      </c>
      <c r="B676" s="880">
        <v>810.55</v>
      </c>
    </row>
    <row r="677" spans="1:2" ht="16.149999999999999" customHeight="1">
      <c r="A677" s="877">
        <v>34237</v>
      </c>
      <c r="B677" s="878">
        <v>809.93</v>
      </c>
    </row>
    <row r="678" spans="1:2" ht="16.149999999999999" customHeight="1">
      <c r="A678" s="877">
        <v>34238</v>
      </c>
      <c r="B678" s="880">
        <v>809.93</v>
      </c>
    </row>
    <row r="679" spans="1:2" ht="16.149999999999999" customHeight="1">
      <c r="A679" s="877">
        <v>34239</v>
      </c>
      <c r="B679" s="878">
        <v>809.93</v>
      </c>
    </row>
    <row r="680" spans="1:2" ht="16.149999999999999" customHeight="1">
      <c r="A680" s="877">
        <v>34240</v>
      </c>
      <c r="B680" s="880">
        <v>809.55</v>
      </c>
    </row>
    <row r="681" spans="1:2" ht="16.149999999999999" customHeight="1">
      <c r="A681" s="877">
        <v>34241</v>
      </c>
      <c r="B681" s="878">
        <v>809.69</v>
      </c>
    </row>
    <row r="682" spans="1:2" ht="16.149999999999999" customHeight="1">
      <c r="A682" s="877">
        <v>34242</v>
      </c>
      <c r="B682" s="880">
        <v>810.84</v>
      </c>
    </row>
    <row r="683" spans="1:2" ht="16.149999999999999" customHeight="1">
      <c r="A683" s="877">
        <v>34243</v>
      </c>
      <c r="B683" s="878">
        <v>811.31</v>
      </c>
    </row>
    <row r="684" spans="1:2" ht="16.149999999999999" customHeight="1">
      <c r="A684" s="877">
        <v>34244</v>
      </c>
      <c r="B684" s="880">
        <v>812.29</v>
      </c>
    </row>
    <row r="685" spans="1:2" ht="16.149999999999999" customHeight="1">
      <c r="A685" s="877">
        <v>34245</v>
      </c>
      <c r="B685" s="878">
        <v>812.29</v>
      </c>
    </row>
    <row r="686" spans="1:2" ht="16.149999999999999" customHeight="1">
      <c r="A686" s="877">
        <v>34246</v>
      </c>
      <c r="B686" s="880">
        <v>812.29</v>
      </c>
    </row>
    <row r="687" spans="1:2" ht="16.149999999999999" customHeight="1">
      <c r="A687" s="877">
        <v>34247</v>
      </c>
      <c r="B687" s="878">
        <v>812.27</v>
      </c>
    </row>
    <row r="688" spans="1:2" ht="16.149999999999999" customHeight="1">
      <c r="A688" s="877">
        <v>34248</v>
      </c>
      <c r="B688" s="880">
        <v>812.75</v>
      </c>
    </row>
    <row r="689" spans="1:2" ht="16.149999999999999" customHeight="1">
      <c r="A689" s="877">
        <v>34249</v>
      </c>
      <c r="B689" s="878">
        <v>812.54</v>
      </c>
    </row>
    <row r="690" spans="1:2" ht="16.149999999999999" customHeight="1">
      <c r="A690" s="877">
        <v>34250</v>
      </c>
      <c r="B690" s="880">
        <v>811.91</v>
      </c>
    </row>
    <row r="691" spans="1:2" ht="16.149999999999999" customHeight="1">
      <c r="A691" s="877">
        <v>34251</v>
      </c>
      <c r="B691" s="878">
        <v>811.28</v>
      </c>
    </row>
    <row r="692" spans="1:2" ht="16.149999999999999" customHeight="1">
      <c r="A692" s="877">
        <v>34252</v>
      </c>
      <c r="B692" s="880">
        <v>811.28</v>
      </c>
    </row>
    <row r="693" spans="1:2" ht="16.149999999999999" customHeight="1">
      <c r="A693" s="877">
        <v>34253</v>
      </c>
      <c r="B693" s="878">
        <v>811.28</v>
      </c>
    </row>
    <row r="694" spans="1:2" ht="16.149999999999999" customHeight="1">
      <c r="A694" s="877">
        <v>34254</v>
      </c>
      <c r="B694" s="880">
        <v>811.19</v>
      </c>
    </row>
    <row r="695" spans="1:2" ht="16.149999999999999" customHeight="1">
      <c r="A695" s="877">
        <v>34255</v>
      </c>
      <c r="B695" s="878">
        <v>811.47</v>
      </c>
    </row>
    <row r="696" spans="1:2" ht="16.149999999999999" customHeight="1">
      <c r="A696" s="877">
        <v>34256</v>
      </c>
      <c r="B696" s="880">
        <v>811.46</v>
      </c>
    </row>
    <row r="697" spans="1:2" ht="16.149999999999999" customHeight="1">
      <c r="A697" s="877">
        <v>34257</v>
      </c>
      <c r="B697" s="878">
        <v>812.41</v>
      </c>
    </row>
    <row r="698" spans="1:2" ht="16.149999999999999" customHeight="1">
      <c r="A698" s="877">
        <v>34258</v>
      </c>
      <c r="B698" s="880">
        <v>813.28</v>
      </c>
    </row>
    <row r="699" spans="1:2" ht="16.149999999999999" customHeight="1">
      <c r="A699" s="877">
        <v>34259</v>
      </c>
      <c r="B699" s="878">
        <v>813.28</v>
      </c>
    </row>
    <row r="700" spans="1:2" ht="16.149999999999999" customHeight="1">
      <c r="A700" s="877">
        <v>34260</v>
      </c>
      <c r="B700" s="880">
        <v>813.28</v>
      </c>
    </row>
    <row r="701" spans="1:2" ht="16.149999999999999" customHeight="1">
      <c r="A701" s="877">
        <v>34261</v>
      </c>
      <c r="B701" s="878">
        <v>813.28</v>
      </c>
    </row>
    <row r="702" spans="1:2" ht="16.149999999999999" customHeight="1">
      <c r="A702" s="877">
        <v>34262</v>
      </c>
      <c r="B702" s="880">
        <v>813.79</v>
      </c>
    </row>
    <row r="703" spans="1:2" ht="16.149999999999999" customHeight="1">
      <c r="A703" s="877">
        <v>34263</v>
      </c>
      <c r="B703" s="878">
        <v>816.41</v>
      </c>
    </row>
    <row r="704" spans="1:2" ht="16.149999999999999" customHeight="1">
      <c r="A704" s="877">
        <v>34264</v>
      </c>
      <c r="B704" s="880">
        <v>819.26</v>
      </c>
    </row>
    <row r="705" spans="1:2" ht="16.149999999999999" customHeight="1">
      <c r="A705" s="877">
        <v>34265</v>
      </c>
      <c r="B705" s="878">
        <v>819.41</v>
      </c>
    </row>
    <row r="706" spans="1:2" ht="16.149999999999999" customHeight="1">
      <c r="A706" s="877">
        <v>34266</v>
      </c>
      <c r="B706" s="880">
        <v>819.41</v>
      </c>
    </row>
    <row r="707" spans="1:2" ht="16.149999999999999" customHeight="1">
      <c r="A707" s="877">
        <v>34267</v>
      </c>
      <c r="B707" s="878">
        <v>819.41</v>
      </c>
    </row>
    <row r="708" spans="1:2" ht="16.149999999999999" customHeight="1">
      <c r="A708" s="877">
        <v>34268</v>
      </c>
      <c r="B708" s="880">
        <v>819.44</v>
      </c>
    </row>
    <row r="709" spans="1:2" ht="16.149999999999999" customHeight="1">
      <c r="A709" s="877">
        <v>34269</v>
      </c>
      <c r="B709" s="878">
        <v>819.55</v>
      </c>
    </row>
    <row r="710" spans="1:2" ht="16.149999999999999" customHeight="1">
      <c r="A710" s="877">
        <v>34270</v>
      </c>
      <c r="B710" s="880">
        <v>818.98</v>
      </c>
    </row>
    <row r="711" spans="1:2" ht="16.149999999999999" customHeight="1">
      <c r="A711" s="877">
        <v>34271</v>
      </c>
      <c r="B711" s="878">
        <v>818.06</v>
      </c>
    </row>
    <row r="712" spans="1:2" ht="16.149999999999999" customHeight="1">
      <c r="A712" s="877">
        <v>34272</v>
      </c>
      <c r="B712" s="880">
        <v>817.03</v>
      </c>
    </row>
    <row r="713" spans="1:2" ht="16.149999999999999" customHeight="1">
      <c r="A713" s="877">
        <v>34273</v>
      </c>
      <c r="B713" s="878">
        <v>817.03</v>
      </c>
    </row>
    <row r="714" spans="1:2" ht="16.149999999999999" customHeight="1">
      <c r="A714" s="877">
        <v>34274</v>
      </c>
      <c r="B714" s="880">
        <v>817.03</v>
      </c>
    </row>
    <row r="715" spans="1:2" ht="16.149999999999999" customHeight="1">
      <c r="A715" s="877">
        <v>34275</v>
      </c>
      <c r="B715" s="878">
        <v>817.03</v>
      </c>
    </row>
    <row r="716" spans="1:2" ht="16.149999999999999" customHeight="1">
      <c r="A716" s="877">
        <v>34276</v>
      </c>
      <c r="B716" s="880">
        <v>816.7</v>
      </c>
    </row>
    <row r="717" spans="1:2" ht="16.149999999999999" customHeight="1">
      <c r="A717" s="877">
        <v>34277</v>
      </c>
      <c r="B717" s="878">
        <v>817.01</v>
      </c>
    </row>
    <row r="718" spans="1:2" ht="16.149999999999999" customHeight="1">
      <c r="A718" s="877">
        <v>34278</v>
      </c>
      <c r="B718" s="880">
        <v>816.79</v>
      </c>
    </row>
    <row r="719" spans="1:2" ht="16.149999999999999" customHeight="1">
      <c r="A719" s="877">
        <v>34279</v>
      </c>
      <c r="B719" s="878">
        <v>815.7</v>
      </c>
    </row>
    <row r="720" spans="1:2" ht="16.149999999999999" customHeight="1">
      <c r="A720" s="877">
        <v>34280</v>
      </c>
      <c r="B720" s="880">
        <v>815.7</v>
      </c>
    </row>
    <row r="721" spans="1:2" ht="16.149999999999999" customHeight="1">
      <c r="A721" s="877">
        <v>34281</v>
      </c>
      <c r="B721" s="878">
        <v>815.7</v>
      </c>
    </row>
    <row r="722" spans="1:2" ht="16.149999999999999" customHeight="1">
      <c r="A722" s="877">
        <v>34282</v>
      </c>
      <c r="B722" s="880">
        <v>814.26</v>
      </c>
    </row>
    <row r="723" spans="1:2" ht="16.149999999999999" customHeight="1">
      <c r="A723" s="877">
        <v>34283</v>
      </c>
      <c r="B723" s="878">
        <v>813.95</v>
      </c>
    </row>
    <row r="724" spans="1:2" ht="16.149999999999999" customHeight="1">
      <c r="A724" s="877">
        <v>34284</v>
      </c>
      <c r="B724" s="880">
        <v>811.07</v>
      </c>
    </row>
    <row r="725" spans="1:2" ht="16.149999999999999" customHeight="1">
      <c r="A725" s="877">
        <v>34285</v>
      </c>
      <c r="B725" s="878">
        <v>809.87</v>
      </c>
    </row>
    <row r="726" spans="1:2" ht="16.149999999999999" customHeight="1">
      <c r="A726" s="877">
        <v>34286</v>
      </c>
      <c r="B726" s="880">
        <v>809.95</v>
      </c>
    </row>
    <row r="727" spans="1:2" ht="16.149999999999999" customHeight="1">
      <c r="A727" s="877">
        <v>34287</v>
      </c>
      <c r="B727" s="878">
        <v>809.95</v>
      </c>
    </row>
    <row r="728" spans="1:2" ht="16.149999999999999" customHeight="1">
      <c r="A728" s="877">
        <v>34288</v>
      </c>
      <c r="B728" s="880">
        <v>809.95</v>
      </c>
    </row>
    <row r="729" spans="1:2" ht="16.149999999999999" customHeight="1">
      <c r="A729" s="877">
        <v>34289</v>
      </c>
      <c r="B729" s="878">
        <v>809.95</v>
      </c>
    </row>
    <row r="730" spans="1:2" ht="16.149999999999999" customHeight="1">
      <c r="A730" s="877">
        <v>34290</v>
      </c>
      <c r="B730" s="880">
        <v>815.18</v>
      </c>
    </row>
    <row r="731" spans="1:2" ht="16.149999999999999" customHeight="1">
      <c r="A731" s="877">
        <v>34291</v>
      </c>
      <c r="B731" s="878">
        <v>816.32</v>
      </c>
    </row>
    <row r="732" spans="1:2" ht="16.149999999999999" customHeight="1">
      <c r="A732" s="877">
        <v>34292</v>
      </c>
      <c r="B732" s="880">
        <v>816.62</v>
      </c>
    </row>
    <row r="733" spans="1:2" ht="16.149999999999999" customHeight="1">
      <c r="A733" s="877">
        <v>34293</v>
      </c>
      <c r="B733" s="878">
        <v>817.06</v>
      </c>
    </row>
    <row r="734" spans="1:2" ht="16.149999999999999" customHeight="1">
      <c r="A734" s="877">
        <v>34294</v>
      </c>
      <c r="B734" s="880">
        <v>817.06</v>
      </c>
    </row>
    <row r="735" spans="1:2" ht="16.149999999999999" customHeight="1">
      <c r="A735" s="877">
        <v>34295</v>
      </c>
      <c r="B735" s="878">
        <v>817.06</v>
      </c>
    </row>
    <row r="736" spans="1:2" ht="16.149999999999999" customHeight="1">
      <c r="A736" s="877">
        <v>34296</v>
      </c>
      <c r="B736" s="880">
        <v>814.48</v>
      </c>
    </row>
    <row r="737" spans="1:2" ht="16.149999999999999" customHeight="1">
      <c r="A737" s="877">
        <v>34297</v>
      </c>
      <c r="B737" s="878">
        <v>812.12</v>
      </c>
    </row>
    <row r="738" spans="1:2" ht="16.149999999999999" customHeight="1">
      <c r="A738" s="877">
        <v>34298</v>
      </c>
      <c r="B738" s="880">
        <v>811.67</v>
      </c>
    </row>
    <row r="739" spans="1:2" ht="16.149999999999999" customHeight="1">
      <c r="A739" s="877">
        <v>34299</v>
      </c>
      <c r="B739" s="878">
        <v>812.04</v>
      </c>
    </row>
    <row r="740" spans="1:2" ht="16.149999999999999" customHeight="1">
      <c r="A740" s="877">
        <v>34300</v>
      </c>
      <c r="B740" s="880">
        <v>812.11</v>
      </c>
    </row>
    <row r="741" spans="1:2" ht="16.149999999999999" customHeight="1">
      <c r="A741" s="877">
        <v>34301</v>
      </c>
      <c r="B741" s="878">
        <v>812.11</v>
      </c>
    </row>
    <row r="742" spans="1:2" ht="16.149999999999999" customHeight="1">
      <c r="A742" s="877">
        <v>34302</v>
      </c>
      <c r="B742" s="880">
        <v>812.11</v>
      </c>
    </row>
    <row r="743" spans="1:2" ht="16.149999999999999" customHeight="1">
      <c r="A743" s="877">
        <v>34303</v>
      </c>
      <c r="B743" s="878">
        <v>811.73</v>
      </c>
    </row>
    <row r="744" spans="1:2" ht="16.149999999999999" customHeight="1">
      <c r="A744" s="877">
        <v>34304</v>
      </c>
      <c r="B744" s="880">
        <v>812.21</v>
      </c>
    </row>
    <row r="745" spans="1:2" ht="16.149999999999999" customHeight="1">
      <c r="A745" s="877">
        <v>34305</v>
      </c>
      <c r="B745" s="878">
        <v>811.78</v>
      </c>
    </row>
    <row r="746" spans="1:2" ht="16.149999999999999" customHeight="1">
      <c r="A746" s="877">
        <v>34306</v>
      </c>
      <c r="B746" s="880">
        <v>809.63</v>
      </c>
    </row>
    <row r="747" spans="1:2" ht="16.149999999999999" customHeight="1">
      <c r="A747" s="877">
        <v>34307</v>
      </c>
      <c r="B747" s="878">
        <v>806.49</v>
      </c>
    </row>
    <row r="748" spans="1:2" ht="16.149999999999999" customHeight="1">
      <c r="A748" s="877">
        <v>34308</v>
      </c>
      <c r="B748" s="880">
        <v>806.49</v>
      </c>
    </row>
    <row r="749" spans="1:2" ht="16.149999999999999" customHeight="1">
      <c r="A749" s="877">
        <v>34309</v>
      </c>
      <c r="B749" s="878">
        <v>806.49</v>
      </c>
    </row>
    <row r="750" spans="1:2" ht="16.149999999999999" customHeight="1">
      <c r="A750" s="877">
        <v>34310</v>
      </c>
      <c r="B750" s="880">
        <v>803.1</v>
      </c>
    </row>
    <row r="751" spans="1:2" ht="16.149999999999999" customHeight="1">
      <c r="A751" s="877">
        <v>34311</v>
      </c>
      <c r="B751" s="878">
        <v>800.6</v>
      </c>
    </row>
    <row r="752" spans="1:2" ht="16.149999999999999" customHeight="1">
      <c r="A752" s="877">
        <v>34312</v>
      </c>
      <c r="B752" s="880">
        <v>800.6</v>
      </c>
    </row>
    <row r="753" spans="1:2" ht="16.149999999999999" customHeight="1">
      <c r="A753" s="877">
        <v>34313</v>
      </c>
      <c r="B753" s="878">
        <v>798.51</v>
      </c>
    </row>
    <row r="754" spans="1:2" ht="16.149999999999999" customHeight="1">
      <c r="A754" s="877">
        <v>34314</v>
      </c>
      <c r="B754" s="880">
        <v>797.53</v>
      </c>
    </row>
    <row r="755" spans="1:2" ht="16.149999999999999" customHeight="1">
      <c r="A755" s="877">
        <v>34315</v>
      </c>
      <c r="B755" s="878">
        <v>797.53</v>
      </c>
    </row>
    <row r="756" spans="1:2" ht="16.149999999999999" customHeight="1">
      <c r="A756" s="877">
        <v>34316</v>
      </c>
      <c r="B756" s="880">
        <v>797.53</v>
      </c>
    </row>
    <row r="757" spans="1:2" ht="16.149999999999999" customHeight="1">
      <c r="A757" s="877">
        <v>34317</v>
      </c>
      <c r="B757" s="878">
        <v>798.2</v>
      </c>
    </row>
    <row r="758" spans="1:2" ht="16.149999999999999" customHeight="1">
      <c r="A758" s="877">
        <v>34318</v>
      </c>
      <c r="B758" s="880">
        <v>798.12</v>
      </c>
    </row>
    <row r="759" spans="1:2" ht="16.149999999999999" customHeight="1">
      <c r="A759" s="877">
        <v>34319</v>
      </c>
      <c r="B759" s="878">
        <v>799.43</v>
      </c>
    </row>
    <row r="760" spans="1:2" ht="16.149999999999999" customHeight="1">
      <c r="A760" s="877">
        <v>34320</v>
      </c>
      <c r="B760" s="880">
        <v>804.89</v>
      </c>
    </row>
    <row r="761" spans="1:2" ht="16.149999999999999" customHeight="1">
      <c r="A761" s="877">
        <v>34321</v>
      </c>
      <c r="B761" s="878">
        <v>806.5</v>
      </c>
    </row>
    <row r="762" spans="1:2" ht="16.149999999999999" customHeight="1">
      <c r="A762" s="877">
        <v>34322</v>
      </c>
      <c r="B762" s="880">
        <v>806.5</v>
      </c>
    </row>
    <row r="763" spans="1:2" ht="16.149999999999999" customHeight="1">
      <c r="A763" s="877">
        <v>34323</v>
      </c>
      <c r="B763" s="878">
        <v>806.5</v>
      </c>
    </row>
    <row r="764" spans="1:2" ht="16.149999999999999" customHeight="1">
      <c r="A764" s="877">
        <v>34324</v>
      </c>
      <c r="B764" s="880">
        <v>803.81</v>
      </c>
    </row>
    <row r="765" spans="1:2" ht="16.149999999999999" customHeight="1">
      <c r="A765" s="877">
        <v>34325</v>
      </c>
      <c r="B765" s="878">
        <v>802.46</v>
      </c>
    </row>
    <row r="766" spans="1:2" ht="16.149999999999999" customHeight="1">
      <c r="A766" s="877">
        <v>34326</v>
      </c>
      <c r="B766" s="880">
        <v>801.4</v>
      </c>
    </row>
    <row r="767" spans="1:2" ht="16.149999999999999" customHeight="1">
      <c r="A767" s="877">
        <v>34327</v>
      </c>
      <c r="B767" s="878">
        <v>801.69</v>
      </c>
    </row>
    <row r="768" spans="1:2" ht="16.149999999999999" customHeight="1">
      <c r="A768" s="877">
        <v>34328</v>
      </c>
      <c r="B768" s="880">
        <v>801.69</v>
      </c>
    </row>
    <row r="769" spans="1:2" ht="16.149999999999999" customHeight="1">
      <c r="A769" s="877">
        <v>34329</v>
      </c>
      <c r="B769" s="878">
        <v>801.69</v>
      </c>
    </row>
    <row r="770" spans="1:2" ht="16.149999999999999" customHeight="1">
      <c r="A770" s="877">
        <v>34330</v>
      </c>
      <c r="B770" s="880">
        <v>801.69</v>
      </c>
    </row>
    <row r="771" spans="1:2" ht="16.149999999999999" customHeight="1">
      <c r="A771" s="877">
        <v>34331</v>
      </c>
      <c r="B771" s="878">
        <v>809.13</v>
      </c>
    </row>
    <row r="772" spans="1:2" ht="16.149999999999999" customHeight="1">
      <c r="A772" s="877">
        <v>34332</v>
      </c>
      <c r="B772" s="880">
        <v>802.33</v>
      </c>
    </row>
    <row r="773" spans="1:2" ht="16.149999999999999" customHeight="1">
      <c r="A773" s="877">
        <v>34333</v>
      </c>
      <c r="B773" s="878">
        <v>802.71</v>
      </c>
    </row>
    <row r="774" spans="1:2" ht="16.149999999999999" customHeight="1">
      <c r="A774" s="877">
        <v>34334</v>
      </c>
      <c r="B774" s="880">
        <v>804.33</v>
      </c>
    </row>
    <row r="775" spans="1:2" ht="16.149999999999999" customHeight="1">
      <c r="A775" s="877">
        <v>34335</v>
      </c>
      <c r="B775" s="878">
        <v>804.33</v>
      </c>
    </row>
    <row r="776" spans="1:2" ht="16.149999999999999" customHeight="1">
      <c r="A776" s="877">
        <v>34336</v>
      </c>
      <c r="B776" s="880">
        <v>804.33</v>
      </c>
    </row>
    <row r="777" spans="1:2" ht="16.149999999999999" customHeight="1">
      <c r="A777" s="877">
        <v>34337</v>
      </c>
      <c r="B777" s="878">
        <v>804.33</v>
      </c>
    </row>
    <row r="778" spans="1:2" ht="16.149999999999999" customHeight="1">
      <c r="A778" s="877">
        <v>34338</v>
      </c>
      <c r="B778" s="880">
        <v>805.91</v>
      </c>
    </row>
    <row r="779" spans="1:2" ht="16.149999999999999" customHeight="1">
      <c r="A779" s="877">
        <v>34339</v>
      </c>
      <c r="B779" s="878">
        <v>810.01</v>
      </c>
    </row>
    <row r="780" spans="1:2" ht="16.149999999999999" customHeight="1">
      <c r="A780" s="877">
        <v>34340</v>
      </c>
      <c r="B780" s="880">
        <v>814.21</v>
      </c>
    </row>
    <row r="781" spans="1:2" ht="16.149999999999999" customHeight="1">
      <c r="A781" s="877">
        <v>34341</v>
      </c>
      <c r="B781" s="878">
        <v>818.83</v>
      </c>
    </row>
    <row r="782" spans="1:2" ht="16.149999999999999" customHeight="1">
      <c r="A782" s="877">
        <v>34342</v>
      </c>
      <c r="B782" s="880">
        <v>818.89</v>
      </c>
    </row>
    <row r="783" spans="1:2" ht="16.149999999999999" customHeight="1">
      <c r="A783" s="877">
        <v>34343</v>
      </c>
      <c r="B783" s="878">
        <v>818.89</v>
      </c>
    </row>
    <row r="784" spans="1:2" ht="16.149999999999999" customHeight="1">
      <c r="A784" s="877">
        <v>34344</v>
      </c>
      <c r="B784" s="880">
        <v>818.89</v>
      </c>
    </row>
    <row r="785" spans="1:2" ht="16.149999999999999" customHeight="1">
      <c r="A785" s="877">
        <v>34345</v>
      </c>
      <c r="B785" s="878">
        <v>818.89</v>
      </c>
    </row>
    <row r="786" spans="1:2" ht="16.149999999999999" customHeight="1">
      <c r="A786" s="877">
        <v>34346</v>
      </c>
      <c r="B786" s="880">
        <v>818.5</v>
      </c>
    </row>
    <row r="787" spans="1:2" ht="16.149999999999999" customHeight="1">
      <c r="A787" s="877">
        <v>34347</v>
      </c>
      <c r="B787" s="878">
        <v>819.81</v>
      </c>
    </row>
    <row r="788" spans="1:2" ht="16.149999999999999" customHeight="1">
      <c r="A788" s="877">
        <v>34348</v>
      </c>
      <c r="B788" s="880">
        <v>820.1</v>
      </c>
    </row>
    <row r="789" spans="1:2" ht="16.149999999999999" customHeight="1">
      <c r="A789" s="877">
        <v>34349</v>
      </c>
      <c r="B789" s="878">
        <v>815.81</v>
      </c>
    </row>
    <row r="790" spans="1:2" ht="16.149999999999999" customHeight="1">
      <c r="A790" s="877">
        <v>34350</v>
      </c>
      <c r="B790" s="880">
        <v>815.81</v>
      </c>
    </row>
    <row r="791" spans="1:2" ht="16.149999999999999" customHeight="1">
      <c r="A791" s="877">
        <v>34351</v>
      </c>
      <c r="B791" s="878">
        <v>815.81</v>
      </c>
    </row>
    <row r="792" spans="1:2" ht="16.149999999999999" customHeight="1">
      <c r="A792" s="877">
        <v>34352</v>
      </c>
      <c r="B792" s="880">
        <v>816.91</v>
      </c>
    </row>
    <row r="793" spans="1:2" ht="16.149999999999999" customHeight="1">
      <c r="A793" s="877">
        <v>34353</v>
      </c>
      <c r="B793" s="878">
        <v>816.15</v>
      </c>
    </row>
    <row r="794" spans="1:2" ht="16.149999999999999" customHeight="1">
      <c r="A794" s="877">
        <v>34354</v>
      </c>
      <c r="B794" s="880">
        <v>814.56</v>
      </c>
    </row>
    <row r="795" spans="1:2" ht="16.149999999999999" customHeight="1">
      <c r="A795" s="877">
        <v>34355</v>
      </c>
      <c r="B795" s="878">
        <v>815.91</v>
      </c>
    </row>
    <row r="796" spans="1:2" ht="16.149999999999999" customHeight="1">
      <c r="A796" s="877">
        <v>34356</v>
      </c>
      <c r="B796" s="880">
        <v>815.65</v>
      </c>
    </row>
    <row r="797" spans="1:2" ht="16.149999999999999" customHeight="1">
      <c r="A797" s="877">
        <v>34357</v>
      </c>
      <c r="B797" s="878">
        <v>815.65</v>
      </c>
    </row>
    <row r="798" spans="1:2" ht="16.149999999999999" customHeight="1">
      <c r="A798" s="877">
        <v>34358</v>
      </c>
      <c r="B798" s="880">
        <v>815.65</v>
      </c>
    </row>
    <row r="799" spans="1:2" ht="16.149999999999999" customHeight="1">
      <c r="A799" s="877">
        <v>34359</v>
      </c>
      <c r="B799" s="878">
        <v>816.69</v>
      </c>
    </row>
    <row r="800" spans="1:2" ht="16.149999999999999" customHeight="1">
      <c r="A800" s="877">
        <v>34360</v>
      </c>
      <c r="B800" s="880">
        <v>819.1</v>
      </c>
    </row>
    <row r="801" spans="1:2" ht="16.149999999999999" customHeight="1">
      <c r="A801" s="877">
        <v>34361</v>
      </c>
      <c r="B801" s="878">
        <v>821.52</v>
      </c>
    </row>
    <row r="802" spans="1:2" ht="16.149999999999999" customHeight="1">
      <c r="A802" s="877">
        <v>34362</v>
      </c>
      <c r="B802" s="880">
        <v>821.72</v>
      </c>
    </row>
    <row r="803" spans="1:2" ht="16.149999999999999" customHeight="1">
      <c r="A803" s="877">
        <v>34363</v>
      </c>
      <c r="B803" s="878">
        <v>818.38</v>
      </c>
    </row>
    <row r="804" spans="1:2" ht="16.149999999999999" customHeight="1">
      <c r="A804" s="877">
        <v>34364</v>
      </c>
      <c r="B804" s="880">
        <v>818.38</v>
      </c>
    </row>
    <row r="805" spans="1:2" ht="16.149999999999999" customHeight="1">
      <c r="A805" s="877">
        <v>34365</v>
      </c>
      <c r="B805" s="878">
        <v>818.38</v>
      </c>
    </row>
    <row r="806" spans="1:2" ht="16.149999999999999" customHeight="1">
      <c r="A806" s="877">
        <v>34366</v>
      </c>
      <c r="B806" s="880">
        <v>817</v>
      </c>
    </row>
    <row r="807" spans="1:2" ht="16.149999999999999" customHeight="1">
      <c r="A807" s="877">
        <v>34367</v>
      </c>
      <c r="B807" s="878">
        <v>819.27</v>
      </c>
    </row>
    <row r="808" spans="1:2" ht="16.149999999999999" customHeight="1">
      <c r="A808" s="877">
        <v>34368</v>
      </c>
      <c r="B808" s="880">
        <v>817.96</v>
      </c>
    </row>
    <row r="809" spans="1:2" ht="16.149999999999999" customHeight="1">
      <c r="A809" s="877">
        <v>34369</v>
      </c>
      <c r="B809" s="878">
        <v>817.69</v>
      </c>
    </row>
    <row r="810" spans="1:2" ht="16.149999999999999" customHeight="1">
      <c r="A810" s="877">
        <v>34370</v>
      </c>
      <c r="B810" s="880">
        <v>818</v>
      </c>
    </row>
    <row r="811" spans="1:2" ht="16.149999999999999" customHeight="1">
      <c r="A811" s="877">
        <v>34371</v>
      </c>
      <c r="B811" s="878">
        <v>818</v>
      </c>
    </row>
    <row r="812" spans="1:2" ht="16.149999999999999" customHeight="1">
      <c r="A812" s="877">
        <v>34372</v>
      </c>
      <c r="B812" s="880">
        <v>818</v>
      </c>
    </row>
    <row r="813" spans="1:2" ht="16.149999999999999" customHeight="1">
      <c r="A813" s="877">
        <v>34373</v>
      </c>
      <c r="B813" s="878">
        <v>817.64</v>
      </c>
    </row>
    <row r="814" spans="1:2" ht="16.149999999999999" customHeight="1">
      <c r="A814" s="877">
        <v>34374</v>
      </c>
      <c r="B814" s="880">
        <v>817.81</v>
      </c>
    </row>
    <row r="815" spans="1:2" ht="16.149999999999999" customHeight="1">
      <c r="A815" s="877">
        <v>34375</v>
      </c>
      <c r="B815" s="878">
        <v>817.88</v>
      </c>
    </row>
    <row r="816" spans="1:2" ht="16.149999999999999" customHeight="1">
      <c r="A816" s="877">
        <v>34376</v>
      </c>
      <c r="B816" s="880">
        <v>817.88</v>
      </c>
    </row>
    <row r="817" spans="1:2" ht="16.149999999999999" customHeight="1">
      <c r="A817" s="877">
        <v>34377</v>
      </c>
      <c r="B817" s="878">
        <v>817.78</v>
      </c>
    </row>
    <row r="818" spans="1:2" ht="16.149999999999999" customHeight="1">
      <c r="A818" s="877">
        <v>34378</v>
      </c>
      <c r="B818" s="880">
        <v>817.78</v>
      </c>
    </row>
    <row r="819" spans="1:2" ht="16.149999999999999" customHeight="1">
      <c r="A819" s="877">
        <v>34379</v>
      </c>
      <c r="B819" s="878">
        <v>817.78</v>
      </c>
    </row>
    <row r="820" spans="1:2" ht="16.149999999999999" customHeight="1">
      <c r="A820" s="877">
        <v>34380</v>
      </c>
      <c r="B820" s="880">
        <v>817.59</v>
      </c>
    </row>
    <row r="821" spans="1:2" ht="16.149999999999999" customHeight="1">
      <c r="A821" s="877">
        <v>34381</v>
      </c>
      <c r="B821" s="878">
        <v>816.92</v>
      </c>
    </row>
    <row r="822" spans="1:2" ht="16.149999999999999" customHeight="1">
      <c r="A822" s="877">
        <v>34382</v>
      </c>
      <c r="B822" s="880">
        <v>816.1</v>
      </c>
    </row>
    <row r="823" spans="1:2" ht="16.149999999999999" customHeight="1">
      <c r="A823" s="877">
        <v>34383</v>
      </c>
      <c r="B823" s="878">
        <v>815.19</v>
      </c>
    </row>
    <row r="824" spans="1:2" ht="16.149999999999999" customHeight="1">
      <c r="A824" s="877">
        <v>34384</v>
      </c>
      <c r="B824" s="880">
        <v>814.13</v>
      </c>
    </row>
    <row r="825" spans="1:2" ht="16.149999999999999" customHeight="1">
      <c r="A825" s="877">
        <v>34385</v>
      </c>
      <c r="B825" s="878">
        <v>814.13</v>
      </c>
    </row>
    <row r="826" spans="1:2" ht="16.149999999999999" customHeight="1">
      <c r="A826" s="877">
        <v>34386</v>
      </c>
      <c r="B826" s="880">
        <v>814.13</v>
      </c>
    </row>
    <row r="827" spans="1:2" ht="16.149999999999999" customHeight="1">
      <c r="A827" s="877">
        <v>34387</v>
      </c>
      <c r="B827" s="878">
        <v>816.04</v>
      </c>
    </row>
    <row r="828" spans="1:2" ht="16.149999999999999" customHeight="1">
      <c r="A828" s="877">
        <v>34388</v>
      </c>
      <c r="B828" s="880">
        <v>818.33</v>
      </c>
    </row>
    <row r="829" spans="1:2" ht="16.149999999999999" customHeight="1">
      <c r="A829" s="877">
        <v>34389</v>
      </c>
      <c r="B829" s="878">
        <v>820.76</v>
      </c>
    </row>
    <row r="830" spans="1:2" ht="16.149999999999999" customHeight="1">
      <c r="A830" s="877">
        <v>34390</v>
      </c>
      <c r="B830" s="880">
        <v>819.68</v>
      </c>
    </row>
    <row r="831" spans="1:2" ht="16.149999999999999" customHeight="1">
      <c r="A831" s="877">
        <v>34391</v>
      </c>
      <c r="B831" s="878">
        <v>819.7</v>
      </c>
    </row>
    <row r="832" spans="1:2" ht="16.149999999999999" customHeight="1">
      <c r="A832" s="877">
        <v>34392</v>
      </c>
      <c r="B832" s="880">
        <v>819.7</v>
      </c>
    </row>
    <row r="833" spans="1:2" ht="16.149999999999999" customHeight="1">
      <c r="A833" s="877">
        <v>34393</v>
      </c>
      <c r="B833" s="878">
        <v>819.7</v>
      </c>
    </row>
    <row r="834" spans="1:2" ht="16.149999999999999" customHeight="1">
      <c r="A834" s="877">
        <v>34394</v>
      </c>
      <c r="B834" s="880">
        <v>820.12</v>
      </c>
    </row>
    <row r="835" spans="1:2" ht="16.149999999999999" customHeight="1">
      <c r="A835" s="877">
        <v>34395</v>
      </c>
      <c r="B835" s="878">
        <v>819.83</v>
      </c>
    </row>
    <row r="836" spans="1:2" ht="16.149999999999999" customHeight="1">
      <c r="A836" s="877">
        <v>34396</v>
      </c>
      <c r="B836" s="880">
        <v>819.61</v>
      </c>
    </row>
    <row r="837" spans="1:2" ht="16.149999999999999" customHeight="1">
      <c r="A837" s="877">
        <v>34397</v>
      </c>
      <c r="B837" s="878">
        <v>818.7</v>
      </c>
    </row>
    <row r="838" spans="1:2" ht="16.149999999999999" customHeight="1">
      <c r="A838" s="877">
        <v>34398</v>
      </c>
      <c r="B838" s="880">
        <v>817.86</v>
      </c>
    </row>
    <row r="839" spans="1:2" ht="16.149999999999999" customHeight="1">
      <c r="A839" s="877">
        <v>34399</v>
      </c>
      <c r="B839" s="878">
        <v>817.86</v>
      </c>
    </row>
    <row r="840" spans="1:2" ht="16.149999999999999" customHeight="1">
      <c r="A840" s="877">
        <v>34400</v>
      </c>
      <c r="B840" s="880">
        <v>817.86</v>
      </c>
    </row>
    <row r="841" spans="1:2" ht="16.149999999999999" customHeight="1">
      <c r="A841" s="877">
        <v>34401</v>
      </c>
      <c r="B841" s="878">
        <v>817.76</v>
      </c>
    </row>
    <row r="842" spans="1:2" ht="16.149999999999999" customHeight="1">
      <c r="A842" s="877">
        <v>34402</v>
      </c>
      <c r="B842" s="880">
        <v>818.02</v>
      </c>
    </row>
    <row r="843" spans="1:2" ht="16.149999999999999" customHeight="1">
      <c r="A843" s="877">
        <v>34403</v>
      </c>
      <c r="B843" s="878">
        <v>818.37</v>
      </c>
    </row>
    <row r="844" spans="1:2" ht="16.149999999999999" customHeight="1">
      <c r="A844" s="877">
        <v>34404</v>
      </c>
      <c r="B844" s="880">
        <v>818.46</v>
      </c>
    </row>
    <row r="845" spans="1:2" ht="16.149999999999999" customHeight="1">
      <c r="A845" s="877">
        <v>34405</v>
      </c>
      <c r="B845" s="878">
        <v>818.62</v>
      </c>
    </row>
    <row r="846" spans="1:2" ht="16.149999999999999" customHeight="1">
      <c r="A846" s="877">
        <v>34406</v>
      </c>
      <c r="B846" s="880">
        <v>818.62</v>
      </c>
    </row>
    <row r="847" spans="1:2" ht="16.149999999999999" customHeight="1">
      <c r="A847" s="877">
        <v>34407</v>
      </c>
      <c r="B847" s="878">
        <v>818.62</v>
      </c>
    </row>
    <row r="848" spans="1:2" ht="16.149999999999999" customHeight="1">
      <c r="A848" s="877">
        <v>34408</v>
      </c>
      <c r="B848" s="880">
        <v>818.69</v>
      </c>
    </row>
    <row r="849" spans="1:2" ht="16.149999999999999" customHeight="1">
      <c r="A849" s="877">
        <v>34409</v>
      </c>
      <c r="B849" s="878">
        <v>818.49</v>
      </c>
    </row>
    <row r="850" spans="1:2" ht="16.149999999999999" customHeight="1">
      <c r="A850" s="877">
        <v>34410</v>
      </c>
      <c r="B850" s="880">
        <v>820.44</v>
      </c>
    </row>
    <row r="851" spans="1:2" ht="16.149999999999999" customHeight="1">
      <c r="A851" s="877">
        <v>34411</v>
      </c>
      <c r="B851" s="878">
        <v>820.91</v>
      </c>
    </row>
    <row r="852" spans="1:2" ht="16.149999999999999" customHeight="1">
      <c r="A852" s="877">
        <v>34412</v>
      </c>
      <c r="B852" s="880">
        <v>821.34</v>
      </c>
    </row>
    <row r="853" spans="1:2" ht="16.149999999999999" customHeight="1">
      <c r="A853" s="877">
        <v>34413</v>
      </c>
      <c r="B853" s="878">
        <v>821.34</v>
      </c>
    </row>
    <row r="854" spans="1:2" ht="16.149999999999999" customHeight="1">
      <c r="A854" s="877">
        <v>34414</v>
      </c>
      <c r="B854" s="880">
        <v>821.34</v>
      </c>
    </row>
    <row r="855" spans="1:2" ht="16.149999999999999" customHeight="1">
      <c r="A855" s="877">
        <v>34415</v>
      </c>
      <c r="B855" s="878">
        <v>821.34</v>
      </c>
    </row>
    <row r="856" spans="1:2" ht="16.149999999999999" customHeight="1">
      <c r="A856" s="877">
        <v>34416</v>
      </c>
      <c r="B856" s="880">
        <v>821.73</v>
      </c>
    </row>
    <row r="857" spans="1:2" ht="16.149999999999999" customHeight="1">
      <c r="A857" s="877">
        <v>34417</v>
      </c>
      <c r="B857" s="878">
        <v>821.82</v>
      </c>
    </row>
    <row r="858" spans="1:2" ht="16.149999999999999" customHeight="1">
      <c r="A858" s="877">
        <v>34418</v>
      </c>
      <c r="B858" s="880">
        <v>821.7</v>
      </c>
    </row>
    <row r="859" spans="1:2" ht="16.149999999999999" customHeight="1">
      <c r="A859" s="877">
        <v>34419</v>
      </c>
      <c r="B859" s="878">
        <v>821.14</v>
      </c>
    </row>
    <row r="860" spans="1:2" ht="16.149999999999999" customHeight="1">
      <c r="A860" s="877">
        <v>34420</v>
      </c>
      <c r="B860" s="880">
        <v>821.14</v>
      </c>
    </row>
    <row r="861" spans="1:2" ht="16.149999999999999" customHeight="1">
      <c r="A861" s="877">
        <v>34421</v>
      </c>
      <c r="B861" s="878">
        <v>821.14</v>
      </c>
    </row>
    <row r="862" spans="1:2" ht="16.149999999999999" customHeight="1">
      <c r="A862" s="877">
        <v>34422</v>
      </c>
      <c r="B862" s="880">
        <v>820.63</v>
      </c>
    </row>
    <row r="863" spans="1:2" ht="16.149999999999999" customHeight="1">
      <c r="A863" s="877">
        <v>34423</v>
      </c>
      <c r="B863" s="878">
        <v>820.78</v>
      </c>
    </row>
    <row r="864" spans="1:2" ht="16.149999999999999" customHeight="1">
      <c r="A864" s="877">
        <v>34424</v>
      </c>
      <c r="B864" s="880">
        <v>819.51</v>
      </c>
    </row>
    <row r="865" spans="1:2" ht="16.149999999999999" customHeight="1">
      <c r="A865" s="877">
        <v>34425</v>
      </c>
      <c r="B865" s="878">
        <v>819.51</v>
      </c>
    </row>
    <row r="866" spans="1:2" ht="16.149999999999999" customHeight="1">
      <c r="A866" s="877">
        <v>34426</v>
      </c>
      <c r="B866" s="880">
        <v>819.51</v>
      </c>
    </row>
    <row r="867" spans="1:2" ht="16.149999999999999" customHeight="1">
      <c r="A867" s="877">
        <v>34427</v>
      </c>
      <c r="B867" s="878">
        <v>819.51</v>
      </c>
    </row>
    <row r="868" spans="1:2" ht="16.149999999999999" customHeight="1">
      <c r="A868" s="877">
        <v>34428</v>
      </c>
      <c r="B868" s="880">
        <v>819.51</v>
      </c>
    </row>
    <row r="869" spans="1:2" ht="16.149999999999999" customHeight="1">
      <c r="A869" s="877">
        <v>34429</v>
      </c>
      <c r="B869" s="878">
        <v>820.21</v>
      </c>
    </row>
    <row r="870" spans="1:2" ht="16.149999999999999" customHeight="1">
      <c r="A870" s="877">
        <v>34430</v>
      </c>
      <c r="B870" s="880">
        <v>820.93</v>
      </c>
    </row>
    <row r="871" spans="1:2" ht="16.149999999999999" customHeight="1">
      <c r="A871" s="877">
        <v>34431</v>
      </c>
      <c r="B871" s="878">
        <v>822.57</v>
      </c>
    </row>
    <row r="872" spans="1:2" ht="16.149999999999999" customHeight="1">
      <c r="A872" s="877">
        <v>34432</v>
      </c>
      <c r="B872" s="880">
        <v>825.28</v>
      </c>
    </row>
    <row r="873" spans="1:2" ht="16.149999999999999" customHeight="1">
      <c r="A873" s="877">
        <v>34433</v>
      </c>
      <c r="B873" s="878">
        <v>828.92</v>
      </c>
    </row>
    <row r="874" spans="1:2" ht="16.149999999999999" customHeight="1">
      <c r="A874" s="877">
        <v>34434</v>
      </c>
      <c r="B874" s="880">
        <v>828.92</v>
      </c>
    </row>
    <row r="875" spans="1:2" ht="16.149999999999999" customHeight="1">
      <c r="A875" s="877">
        <v>34435</v>
      </c>
      <c r="B875" s="878">
        <v>828.92</v>
      </c>
    </row>
    <row r="876" spans="1:2" ht="16.149999999999999" customHeight="1">
      <c r="A876" s="877">
        <v>34436</v>
      </c>
      <c r="B876" s="880">
        <v>829.32</v>
      </c>
    </row>
    <row r="877" spans="1:2" ht="16.149999999999999" customHeight="1">
      <c r="A877" s="877">
        <v>34437</v>
      </c>
      <c r="B877" s="878">
        <v>828.81</v>
      </c>
    </row>
    <row r="878" spans="1:2" ht="16.149999999999999" customHeight="1">
      <c r="A878" s="877">
        <v>34438</v>
      </c>
      <c r="B878" s="880">
        <v>827.96</v>
      </c>
    </row>
    <row r="879" spans="1:2" ht="16.149999999999999" customHeight="1">
      <c r="A879" s="877">
        <v>34439</v>
      </c>
      <c r="B879" s="878">
        <v>827.44</v>
      </c>
    </row>
    <row r="880" spans="1:2" ht="16.149999999999999" customHeight="1">
      <c r="A880" s="877">
        <v>34440</v>
      </c>
      <c r="B880" s="880">
        <v>827.93</v>
      </c>
    </row>
    <row r="881" spans="1:2" ht="16.149999999999999" customHeight="1">
      <c r="A881" s="877">
        <v>34441</v>
      </c>
      <c r="B881" s="878">
        <v>827.93</v>
      </c>
    </row>
    <row r="882" spans="1:2" ht="16.149999999999999" customHeight="1">
      <c r="A882" s="877">
        <v>34442</v>
      </c>
      <c r="B882" s="880">
        <v>827.93</v>
      </c>
    </row>
    <row r="883" spans="1:2" ht="16.149999999999999" customHeight="1">
      <c r="A883" s="877">
        <v>34443</v>
      </c>
      <c r="B883" s="878">
        <v>829.47</v>
      </c>
    </row>
    <row r="884" spans="1:2" ht="16.149999999999999" customHeight="1">
      <c r="A884" s="877">
        <v>34444</v>
      </c>
      <c r="B884" s="880">
        <v>831.24</v>
      </c>
    </row>
    <row r="885" spans="1:2" ht="16.149999999999999" customHeight="1">
      <c r="A885" s="877">
        <v>34445</v>
      </c>
      <c r="B885" s="878">
        <v>834.3</v>
      </c>
    </row>
    <row r="886" spans="1:2" ht="16.149999999999999" customHeight="1">
      <c r="A886" s="877">
        <v>34446</v>
      </c>
      <c r="B886" s="880">
        <v>838.25</v>
      </c>
    </row>
    <row r="887" spans="1:2" ht="16.149999999999999" customHeight="1">
      <c r="A887" s="877">
        <v>34447</v>
      </c>
      <c r="B887" s="878">
        <v>836.96</v>
      </c>
    </row>
    <row r="888" spans="1:2" ht="16.149999999999999" customHeight="1">
      <c r="A888" s="877">
        <v>34448</v>
      </c>
      <c r="B888" s="880">
        <v>836.96</v>
      </c>
    </row>
    <row r="889" spans="1:2" ht="16.149999999999999" customHeight="1">
      <c r="A889" s="877">
        <v>34449</v>
      </c>
      <c r="B889" s="878">
        <v>836.96</v>
      </c>
    </row>
    <row r="890" spans="1:2" ht="16.149999999999999" customHeight="1">
      <c r="A890" s="877">
        <v>34450</v>
      </c>
      <c r="B890" s="880">
        <v>835.4</v>
      </c>
    </row>
    <row r="891" spans="1:2" ht="16.149999999999999" customHeight="1">
      <c r="A891" s="877">
        <v>34451</v>
      </c>
      <c r="B891" s="878">
        <v>837.31</v>
      </c>
    </row>
    <row r="892" spans="1:2" ht="16.149999999999999" customHeight="1">
      <c r="A892" s="877">
        <v>34452</v>
      </c>
      <c r="B892" s="880">
        <v>838.28</v>
      </c>
    </row>
    <row r="893" spans="1:2" ht="16.149999999999999" customHeight="1">
      <c r="A893" s="877">
        <v>34453</v>
      </c>
      <c r="B893" s="878">
        <v>837.27</v>
      </c>
    </row>
    <row r="894" spans="1:2" ht="16.149999999999999" customHeight="1">
      <c r="A894" s="877">
        <v>34454</v>
      </c>
      <c r="B894" s="880">
        <v>836.86</v>
      </c>
    </row>
    <row r="895" spans="1:2" ht="16.149999999999999" customHeight="1">
      <c r="A895" s="877">
        <v>34455</v>
      </c>
      <c r="B895" s="878">
        <v>836.86</v>
      </c>
    </row>
    <row r="896" spans="1:2" ht="16.149999999999999" customHeight="1">
      <c r="A896" s="877">
        <v>34456</v>
      </c>
      <c r="B896" s="880">
        <v>836.86</v>
      </c>
    </row>
    <row r="897" spans="1:2" ht="16.149999999999999" customHeight="1">
      <c r="A897" s="877">
        <v>34457</v>
      </c>
      <c r="B897" s="878">
        <v>838.04</v>
      </c>
    </row>
    <row r="898" spans="1:2" ht="16.149999999999999" customHeight="1">
      <c r="A898" s="877">
        <v>34458</v>
      </c>
      <c r="B898" s="880">
        <v>839.14</v>
      </c>
    </row>
    <row r="899" spans="1:2" ht="16.149999999999999" customHeight="1">
      <c r="A899" s="877">
        <v>34459</v>
      </c>
      <c r="B899" s="878">
        <v>841</v>
      </c>
    </row>
    <row r="900" spans="1:2" ht="16.149999999999999" customHeight="1">
      <c r="A900" s="877">
        <v>34460</v>
      </c>
      <c r="B900" s="880">
        <v>841.25</v>
      </c>
    </row>
    <row r="901" spans="1:2" ht="16.149999999999999" customHeight="1">
      <c r="A901" s="877">
        <v>34461</v>
      </c>
      <c r="B901" s="878">
        <v>841.7</v>
      </c>
    </row>
    <row r="902" spans="1:2" ht="16.149999999999999" customHeight="1">
      <c r="A902" s="877">
        <v>34462</v>
      </c>
      <c r="B902" s="880">
        <v>841.7</v>
      </c>
    </row>
    <row r="903" spans="1:2" ht="16.149999999999999" customHeight="1">
      <c r="A903" s="877">
        <v>34463</v>
      </c>
      <c r="B903" s="878">
        <v>841.7</v>
      </c>
    </row>
    <row r="904" spans="1:2" ht="16.149999999999999" customHeight="1">
      <c r="A904" s="877">
        <v>34464</v>
      </c>
      <c r="B904" s="880">
        <v>841.27</v>
      </c>
    </row>
    <row r="905" spans="1:2" ht="16.149999999999999" customHeight="1">
      <c r="A905" s="877">
        <v>34465</v>
      </c>
      <c r="B905" s="878">
        <v>841.33</v>
      </c>
    </row>
    <row r="906" spans="1:2" ht="16.149999999999999" customHeight="1">
      <c r="A906" s="877">
        <v>34466</v>
      </c>
      <c r="B906" s="880">
        <v>841.92</v>
      </c>
    </row>
    <row r="907" spans="1:2" ht="16.149999999999999" customHeight="1">
      <c r="A907" s="877">
        <v>34467</v>
      </c>
      <c r="B907" s="878">
        <v>843.24</v>
      </c>
    </row>
    <row r="908" spans="1:2" ht="16.149999999999999" customHeight="1">
      <c r="A908" s="877">
        <v>34468</v>
      </c>
      <c r="B908" s="880">
        <v>842.23</v>
      </c>
    </row>
    <row r="909" spans="1:2" ht="16.149999999999999" customHeight="1">
      <c r="A909" s="877">
        <v>34469</v>
      </c>
      <c r="B909" s="878">
        <v>842.23</v>
      </c>
    </row>
    <row r="910" spans="1:2" ht="16.149999999999999" customHeight="1">
      <c r="A910" s="877">
        <v>34470</v>
      </c>
      <c r="B910" s="880">
        <v>842.23</v>
      </c>
    </row>
    <row r="911" spans="1:2" ht="16.149999999999999" customHeight="1">
      <c r="A911" s="877">
        <v>34471</v>
      </c>
      <c r="B911" s="878">
        <v>842.23</v>
      </c>
    </row>
    <row r="912" spans="1:2" ht="16.149999999999999" customHeight="1">
      <c r="A912" s="877">
        <v>34472</v>
      </c>
      <c r="B912" s="880">
        <v>842.21</v>
      </c>
    </row>
    <row r="913" spans="1:2" ht="16.149999999999999" customHeight="1">
      <c r="A913" s="877">
        <v>34473</v>
      </c>
      <c r="B913" s="878">
        <v>842.83</v>
      </c>
    </row>
    <row r="914" spans="1:2" ht="16.149999999999999" customHeight="1">
      <c r="A914" s="877">
        <v>34474</v>
      </c>
      <c r="B914" s="880">
        <v>842.64</v>
      </c>
    </row>
    <row r="915" spans="1:2" ht="16.149999999999999" customHeight="1">
      <c r="A915" s="877">
        <v>34475</v>
      </c>
      <c r="B915" s="878">
        <v>842.33</v>
      </c>
    </row>
    <row r="916" spans="1:2" ht="16.149999999999999" customHeight="1">
      <c r="A916" s="877">
        <v>34476</v>
      </c>
      <c r="B916" s="880">
        <v>842.33</v>
      </c>
    </row>
    <row r="917" spans="1:2" ht="16.149999999999999" customHeight="1">
      <c r="A917" s="877">
        <v>34477</v>
      </c>
      <c r="B917" s="878">
        <v>842.33</v>
      </c>
    </row>
    <row r="918" spans="1:2" ht="16.149999999999999" customHeight="1">
      <c r="A918" s="877">
        <v>34478</v>
      </c>
      <c r="B918" s="880">
        <v>842.92</v>
      </c>
    </row>
    <row r="919" spans="1:2" ht="16.149999999999999" customHeight="1">
      <c r="A919" s="877">
        <v>34479</v>
      </c>
      <c r="B919" s="878">
        <v>843.08</v>
      </c>
    </row>
    <row r="920" spans="1:2" ht="16.149999999999999" customHeight="1">
      <c r="A920" s="877">
        <v>34480</v>
      </c>
      <c r="B920" s="880">
        <v>842.22</v>
      </c>
    </row>
    <row r="921" spans="1:2" ht="16.149999999999999" customHeight="1">
      <c r="A921" s="877">
        <v>34481</v>
      </c>
      <c r="B921" s="878">
        <v>841.86</v>
      </c>
    </row>
    <row r="922" spans="1:2" ht="16.149999999999999" customHeight="1">
      <c r="A922" s="877">
        <v>34482</v>
      </c>
      <c r="B922" s="880">
        <v>840.93</v>
      </c>
    </row>
    <row r="923" spans="1:2" ht="16.149999999999999" customHeight="1">
      <c r="A923" s="877">
        <v>34483</v>
      </c>
      <c r="B923" s="878">
        <v>840.93</v>
      </c>
    </row>
    <row r="924" spans="1:2" ht="16.149999999999999" customHeight="1">
      <c r="A924" s="877">
        <v>34484</v>
      </c>
      <c r="B924" s="880">
        <v>840.93</v>
      </c>
    </row>
    <row r="925" spans="1:2" ht="16.149999999999999" customHeight="1">
      <c r="A925" s="877">
        <v>34485</v>
      </c>
      <c r="B925" s="878">
        <v>841.12</v>
      </c>
    </row>
    <row r="926" spans="1:2" ht="16.149999999999999" customHeight="1">
      <c r="A926" s="877">
        <v>34486</v>
      </c>
      <c r="B926" s="880">
        <v>841.93</v>
      </c>
    </row>
    <row r="927" spans="1:2" ht="16.149999999999999" customHeight="1">
      <c r="A927" s="877">
        <v>34487</v>
      </c>
      <c r="B927" s="878">
        <v>842</v>
      </c>
    </row>
    <row r="928" spans="1:2" ht="16.149999999999999" customHeight="1">
      <c r="A928" s="877">
        <v>34488</v>
      </c>
      <c r="B928" s="880">
        <v>841.44</v>
      </c>
    </row>
    <row r="929" spans="1:2" ht="16.149999999999999" customHeight="1">
      <c r="A929" s="877">
        <v>34489</v>
      </c>
      <c r="B929" s="878">
        <v>840.37</v>
      </c>
    </row>
    <row r="930" spans="1:2" ht="16.149999999999999" customHeight="1">
      <c r="A930" s="877">
        <v>34490</v>
      </c>
      <c r="B930" s="880">
        <v>840.37</v>
      </c>
    </row>
    <row r="931" spans="1:2" ht="16.149999999999999" customHeight="1">
      <c r="A931" s="877">
        <v>34491</v>
      </c>
      <c r="B931" s="878">
        <v>840.37</v>
      </c>
    </row>
    <row r="932" spans="1:2" ht="16.149999999999999" customHeight="1">
      <c r="A932" s="877">
        <v>34492</v>
      </c>
      <c r="B932" s="880">
        <v>840.37</v>
      </c>
    </row>
    <row r="933" spans="1:2" ht="16.149999999999999" customHeight="1">
      <c r="A933" s="877">
        <v>34493</v>
      </c>
      <c r="B933" s="878">
        <v>839.56</v>
      </c>
    </row>
    <row r="934" spans="1:2" ht="16.149999999999999" customHeight="1">
      <c r="A934" s="877">
        <v>34494</v>
      </c>
      <c r="B934" s="880">
        <v>838.03</v>
      </c>
    </row>
    <row r="935" spans="1:2" ht="16.149999999999999" customHeight="1">
      <c r="A935" s="877">
        <v>34495</v>
      </c>
      <c r="B935" s="878">
        <v>834.96</v>
      </c>
    </row>
    <row r="936" spans="1:2" ht="16.149999999999999" customHeight="1">
      <c r="A936" s="877">
        <v>34496</v>
      </c>
      <c r="B936" s="880">
        <v>833.19</v>
      </c>
    </row>
    <row r="937" spans="1:2" ht="16.149999999999999" customHeight="1">
      <c r="A937" s="877">
        <v>34497</v>
      </c>
      <c r="B937" s="878">
        <v>833.19</v>
      </c>
    </row>
    <row r="938" spans="1:2" ht="16.149999999999999" customHeight="1">
      <c r="A938" s="877">
        <v>34498</v>
      </c>
      <c r="B938" s="880">
        <v>833.19</v>
      </c>
    </row>
    <row r="939" spans="1:2" ht="16.149999999999999" customHeight="1">
      <c r="A939" s="877">
        <v>34499</v>
      </c>
      <c r="B939" s="878">
        <v>833.19</v>
      </c>
    </row>
    <row r="940" spans="1:2" ht="16.149999999999999" customHeight="1">
      <c r="A940" s="877">
        <v>34500</v>
      </c>
      <c r="B940" s="880">
        <v>833.16</v>
      </c>
    </row>
    <row r="941" spans="1:2" ht="16.149999999999999" customHeight="1">
      <c r="A941" s="877">
        <v>34501</v>
      </c>
      <c r="B941" s="878">
        <v>833.35</v>
      </c>
    </row>
    <row r="942" spans="1:2" ht="16.149999999999999" customHeight="1">
      <c r="A942" s="877">
        <v>34502</v>
      </c>
      <c r="B942" s="880">
        <v>831.28</v>
      </c>
    </row>
    <row r="943" spans="1:2" ht="16.149999999999999" customHeight="1">
      <c r="A943" s="877">
        <v>34503</v>
      </c>
      <c r="B943" s="878">
        <v>826.61</v>
      </c>
    </row>
    <row r="944" spans="1:2" ht="16.149999999999999" customHeight="1">
      <c r="A944" s="877">
        <v>34504</v>
      </c>
      <c r="B944" s="880">
        <v>826.61</v>
      </c>
    </row>
    <row r="945" spans="1:2" ht="16.149999999999999" customHeight="1">
      <c r="A945" s="877">
        <v>34505</v>
      </c>
      <c r="B945" s="878">
        <v>826.61</v>
      </c>
    </row>
    <row r="946" spans="1:2" ht="16.149999999999999" customHeight="1">
      <c r="A946" s="877">
        <v>34506</v>
      </c>
      <c r="B946" s="880">
        <v>828.94</v>
      </c>
    </row>
    <row r="947" spans="1:2" ht="16.149999999999999" customHeight="1">
      <c r="A947" s="877">
        <v>34507</v>
      </c>
      <c r="B947" s="878">
        <v>826.9</v>
      </c>
    </row>
    <row r="948" spans="1:2" ht="16.149999999999999" customHeight="1">
      <c r="A948" s="877">
        <v>34508</v>
      </c>
      <c r="B948" s="880">
        <v>824.76</v>
      </c>
    </row>
    <row r="949" spans="1:2" ht="16.149999999999999" customHeight="1">
      <c r="A949" s="877">
        <v>34509</v>
      </c>
      <c r="B949" s="878">
        <v>822.87</v>
      </c>
    </row>
    <row r="950" spans="1:2" ht="16.149999999999999" customHeight="1">
      <c r="A950" s="877">
        <v>34510</v>
      </c>
      <c r="B950" s="880">
        <v>821</v>
      </c>
    </row>
    <row r="951" spans="1:2" ht="16.149999999999999" customHeight="1">
      <c r="A951" s="877">
        <v>34511</v>
      </c>
      <c r="B951" s="878">
        <v>821</v>
      </c>
    </row>
    <row r="952" spans="1:2" ht="16.149999999999999" customHeight="1">
      <c r="A952" s="877">
        <v>34512</v>
      </c>
      <c r="B952" s="880">
        <v>821</v>
      </c>
    </row>
    <row r="953" spans="1:2" ht="16.149999999999999" customHeight="1">
      <c r="A953" s="877">
        <v>34513</v>
      </c>
      <c r="B953" s="878">
        <v>820.13</v>
      </c>
    </row>
    <row r="954" spans="1:2" ht="16.149999999999999" customHeight="1">
      <c r="A954" s="877">
        <v>34514</v>
      </c>
      <c r="B954" s="880">
        <v>818.73</v>
      </c>
    </row>
    <row r="955" spans="1:2" ht="16.149999999999999" customHeight="1">
      <c r="A955" s="877">
        <v>34515</v>
      </c>
      <c r="B955" s="878">
        <v>819.64</v>
      </c>
    </row>
    <row r="956" spans="1:2" ht="16.149999999999999" customHeight="1">
      <c r="A956" s="877">
        <v>34516</v>
      </c>
      <c r="B956" s="880">
        <v>818.05</v>
      </c>
    </row>
    <row r="957" spans="1:2" ht="16.149999999999999" customHeight="1">
      <c r="A957" s="877">
        <v>34517</v>
      </c>
      <c r="B957" s="878">
        <v>817.92</v>
      </c>
    </row>
    <row r="958" spans="1:2" ht="16.149999999999999" customHeight="1">
      <c r="A958" s="877">
        <v>34518</v>
      </c>
      <c r="B958" s="880">
        <v>817.92</v>
      </c>
    </row>
    <row r="959" spans="1:2" ht="16.149999999999999" customHeight="1">
      <c r="A959" s="877">
        <v>34519</v>
      </c>
      <c r="B959" s="878">
        <v>817.92</v>
      </c>
    </row>
    <row r="960" spans="1:2" ht="16.149999999999999" customHeight="1">
      <c r="A960" s="877">
        <v>34520</v>
      </c>
      <c r="B960" s="880">
        <v>817.92</v>
      </c>
    </row>
    <row r="961" spans="1:2" ht="16.149999999999999" customHeight="1">
      <c r="A961" s="877">
        <v>34521</v>
      </c>
      <c r="B961" s="878">
        <v>818.45</v>
      </c>
    </row>
    <row r="962" spans="1:2" ht="16.149999999999999" customHeight="1">
      <c r="A962" s="877">
        <v>34522</v>
      </c>
      <c r="B962" s="880">
        <v>820.42</v>
      </c>
    </row>
    <row r="963" spans="1:2" ht="16.149999999999999" customHeight="1">
      <c r="A963" s="877">
        <v>34523</v>
      </c>
      <c r="B963" s="878">
        <v>820.24</v>
      </c>
    </row>
    <row r="964" spans="1:2" ht="16.149999999999999" customHeight="1">
      <c r="A964" s="877">
        <v>34524</v>
      </c>
      <c r="B964" s="880">
        <v>822.34</v>
      </c>
    </row>
    <row r="965" spans="1:2" ht="16.149999999999999" customHeight="1">
      <c r="A965" s="877">
        <v>34525</v>
      </c>
      <c r="B965" s="878">
        <v>822.34</v>
      </c>
    </row>
    <row r="966" spans="1:2" ht="16.149999999999999" customHeight="1">
      <c r="A966" s="877">
        <v>34526</v>
      </c>
      <c r="B966" s="880">
        <v>822.34</v>
      </c>
    </row>
    <row r="967" spans="1:2" ht="16.149999999999999" customHeight="1">
      <c r="A967" s="877">
        <v>34527</v>
      </c>
      <c r="B967" s="878">
        <v>822.14</v>
      </c>
    </row>
    <row r="968" spans="1:2" ht="16.149999999999999" customHeight="1">
      <c r="A968" s="877">
        <v>34528</v>
      </c>
      <c r="B968" s="880">
        <v>823.12</v>
      </c>
    </row>
    <row r="969" spans="1:2" ht="16.149999999999999" customHeight="1">
      <c r="A969" s="877">
        <v>34529</v>
      </c>
      <c r="B969" s="878">
        <v>822.79</v>
      </c>
    </row>
    <row r="970" spans="1:2" ht="16.149999999999999" customHeight="1">
      <c r="A970" s="877">
        <v>34530</v>
      </c>
      <c r="B970" s="880">
        <v>822.28</v>
      </c>
    </row>
    <row r="971" spans="1:2" ht="16.149999999999999" customHeight="1">
      <c r="A971" s="877">
        <v>34531</v>
      </c>
      <c r="B971" s="878">
        <v>821.04</v>
      </c>
    </row>
    <row r="972" spans="1:2" ht="16.149999999999999" customHeight="1">
      <c r="A972" s="877">
        <v>34532</v>
      </c>
      <c r="B972" s="880">
        <v>821.04</v>
      </c>
    </row>
    <row r="973" spans="1:2" ht="16.149999999999999" customHeight="1">
      <c r="A973" s="877">
        <v>34533</v>
      </c>
      <c r="B973" s="878">
        <v>821.04</v>
      </c>
    </row>
    <row r="974" spans="1:2" ht="16.149999999999999" customHeight="1">
      <c r="A974" s="877">
        <v>34534</v>
      </c>
      <c r="B974" s="880">
        <v>818.44</v>
      </c>
    </row>
    <row r="975" spans="1:2" ht="16.149999999999999" customHeight="1">
      <c r="A975" s="877">
        <v>34535</v>
      </c>
      <c r="B975" s="878">
        <v>817.49</v>
      </c>
    </row>
    <row r="976" spans="1:2" ht="16.149999999999999" customHeight="1">
      <c r="A976" s="877">
        <v>34536</v>
      </c>
      <c r="B976" s="880">
        <v>817.49</v>
      </c>
    </row>
    <row r="977" spans="1:2" ht="16.149999999999999" customHeight="1">
      <c r="A977" s="877">
        <v>34537</v>
      </c>
      <c r="B977" s="878">
        <v>817.18</v>
      </c>
    </row>
    <row r="978" spans="1:2" ht="16.149999999999999" customHeight="1">
      <c r="A978" s="877">
        <v>34538</v>
      </c>
      <c r="B978" s="880">
        <v>816.68</v>
      </c>
    </row>
    <row r="979" spans="1:2" ht="16.149999999999999" customHeight="1">
      <c r="A979" s="877">
        <v>34539</v>
      </c>
      <c r="B979" s="878">
        <v>816.68</v>
      </c>
    </row>
    <row r="980" spans="1:2" ht="16.149999999999999" customHeight="1">
      <c r="A980" s="877">
        <v>34540</v>
      </c>
      <c r="B980" s="880">
        <v>816.68</v>
      </c>
    </row>
    <row r="981" spans="1:2" ht="16.149999999999999" customHeight="1">
      <c r="A981" s="877">
        <v>34541</v>
      </c>
      <c r="B981" s="878">
        <v>816.34</v>
      </c>
    </row>
    <row r="982" spans="1:2" ht="16.149999999999999" customHeight="1">
      <c r="A982" s="877">
        <v>34542</v>
      </c>
      <c r="B982" s="880">
        <v>815.75</v>
      </c>
    </row>
    <row r="983" spans="1:2" ht="16.149999999999999" customHeight="1">
      <c r="A983" s="877">
        <v>34543</v>
      </c>
      <c r="B983" s="878">
        <v>815.8</v>
      </c>
    </row>
    <row r="984" spans="1:2" ht="16.149999999999999" customHeight="1">
      <c r="A984" s="877">
        <v>34544</v>
      </c>
      <c r="B984" s="880">
        <v>815.62</v>
      </c>
    </row>
    <row r="985" spans="1:2" ht="16.149999999999999" customHeight="1">
      <c r="A985" s="877">
        <v>34545</v>
      </c>
      <c r="B985" s="878">
        <v>815.62</v>
      </c>
    </row>
    <row r="986" spans="1:2" ht="16.149999999999999" customHeight="1">
      <c r="A986" s="877">
        <v>34546</v>
      </c>
      <c r="B986" s="880">
        <v>815.62</v>
      </c>
    </row>
    <row r="987" spans="1:2" ht="16.149999999999999" customHeight="1">
      <c r="A987" s="877">
        <v>34547</v>
      </c>
      <c r="B987" s="878">
        <v>815.62</v>
      </c>
    </row>
    <row r="988" spans="1:2" ht="16.149999999999999" customHeight="1">
      <c r="A988" s="877">
        <v>34548</v>
      </c>
      <c r="B988" s="880">
        <v>815.89</v>
      </c>
    </row>
    <row r="989" spans="1:2" ht="16.149999999999999" customHeight="1">
      <c r="A989" s="877">
        <v>34549</v>
      </c>
      <c r="B989" s="878">
        <v>814.53</v>
      </c>
    </row>
    <row r="990" spans="1:2" ht="16.149999999999999" customHeight="1">
      <c r="A990" s="877">
        <v>34550</v>
      </c>
      <c r="B990" s="880">
        <v>812.69</v>
      </c>
    </row>
    <row r="991" spans="1:2" ht="16.149999999999999" customHeight="1">
      <c r="A991" s="877">
        <v>34551</v>
      </c>
      <c r="B991" s="878">
        <v>812.57</v>
      </c>
    </row>
    <row r="992" spans="1:2" ht="16.149999999999999" customHeight="1">
      <c r="A992" s="877">
        <v>34552</v>
      </c>
      <c r="B992" s="880">
        <v>811.91</v>
      </c>
    </row>
    <row r="993" spans="1:2" ht="16.149999999999999" customHeight="1">
      <c r="A993" s="877">
        <v>34553</v>
      </c>
      <c r="B993" s="878">
        <v>811.91</v>
      </c>
    </row>
    <row r="994" spans="1:2" ht="16.149999999999999" customHeight="1">
      <c r="A994" s="877">
        <v>34554</v>
      </c>
      <c r="B994" s="880">
        <v>811.91</v>
      </c>
    </row>
    <row r="995" spans="1:2" ht="16.149999999999999" customHeight="1">
      <c r="A995" s="877">
        <v>34555</v>
      </c>
      <c r="B995" s="878">
        <v>812.39</v>
      </c>
    </row>
    <row r="996" spans="1:2" ht="16.149999999999999" customHeight="1">
      <c r="A996" s="877">
        <v>34556</v>
      </c>
      <c r="B996" s="880">
        <v>813.64</v>
      </c>
    </row>
    <row r="997" spans="1:2" ht="16.149999999999999" customHeight="1">
      <c r="A997" s="877">
        <v>34557</v>
      </c>
      <c r="B997" s="878">
        <v>815.4</v>
      </c>
    </row>
    <row r="998" spans="1:2" ht="16.149999999999999" customHeight="1">
      <c r="A998" s="877">
        <v>34558</v>
      </c>
      <c r="B998" s="880">
        <v>815.84</v>
      </c>
    </row>
    <row r="999" spans="1:2" ht="16.149999999999999" customHeight="1">
      <c r="A999" s="877">
        <v>34559</v>
      </c>
      <c r="B999" s="878">
        <v>814.94</v>
      </c>
    </row>
    <row r="1000" spans="1:2" ht="16.149999999999999" customHeight="1">
      <c r="A1000" s="877">
        <v>34560</v>
      </c>
      <c r="B1000" s="880">
        <v>814.94</v>
      </c>
    </row>
    <row r="1001" spans="1:2" ht="16.149999999999999" customHeight="1">
      <c r="A1001" s="877">
        <v>34561</v>
      </c>
      <c r="B1001" s="878">
        <v>814.94</v>
      </c>
    </row>
    <row r="1002" spans="1:2" ht="16.149999999999999" customHeight="1">
      <c r="A1002" s="877">
        <v>34562</v>
      </c>
      <c r="B1002" s="880">
        <v>814.94</v>
      </c>
    </row>
    <row r="1003" spans="1:2" ht="16.149999999999999" customHeight="1">
      <c r="A1003" s="877">
        <v>34563</v>
      </c>
      <c r="B1003" s="878">
        <v>814.4</v>
      </c>
    </row>
    <row r="1004" spans="1:2" ht="16.149999999999999" customHeight="1">
      <c r="A1004" s="877">
        <v>34564</v>
      </c>
      <c r="B1004" s="880">
        <v>813.93</v>
      </c>
    </row>
    <row r="1005" spans="1:2" ht="16.149999999999999" customHeight="1">
      <c r="A1005" s="877">
        <v>34565</v>
      </c>
      <c r="B1005" s="878">
        <v>813.88</v>
      </c>
    </row>
    <row r="1006" spans="1:2" ht="16.149999999999999" customHeight="1">
      <c r="A1006" s="877">
        <v>34566</v>
      </c>
      <c r="B1006" s="880">
        <v>813.76</v>
      </c>
    </row>
    <row r="1007" spans="1:2" ht="16.149999999999999" customHeight="1">
      <c r="A1007" s="877">
        <v>34567</v>
      </c>
      <c r="B1007" s="878">
        <v>813.76</v>
      </c>
    </row>
    <row r="1008" spans="1:2" ht="16.149999999999999" customHeight="1">
      <c r="A1008" s="877">
        <v>34568</v>
      </c>
      <c r="B1008" s="880">
        <v>813.76</v>
      </c>
    </row>
    <row r="1009" spans="1:2" ht="16.149999999999999" customHeight="1">
      <c r="A1009" s="877">
        <v>34569</v>
      </c>
      <c r="B1009" s="878">
        <v>815.2</v>
      </c>
    </row>
    <row r="1010" spans="1:2" ht="16.149999999999999" customHeight="1">
      <c r="A1010" s="877">
        <v>34570</v>
      </c>
      <c r="B1010" s="880">
        <v>816.58</v>
      </c>
    </row>
    <row r="1011" spans="1:2" ht="16.149999999999999" customHeight="1">
      <c r="A1011" s="877">
        <v>34571</v>
      </c>
      <c r="B1011" s="878">
        <v>816.77</v>
      </c>
    </row>
    <row r="1012" spans="1:2" ht="16.149999999999999" customHeight="1">
      <c r="A1012" s="877">
        <v>34572</v>
      </c>
      <c r="B1012" s="880">
        <v>817.4</v>
      </c>
    </row>
    <row r="1013" spans="1:2" ht="16.149999999999999" customHeight="1">
      <c r="A1013" s="877">
        <v>34573</v>
      </c>
      <c r="B1013" s="878">
        <v>816.29</v>
      </c>
    </row>
    <row r="1014" spans="1:2" ht="16.149999999999999" customHeight="1">
      <c r="A1014" s="877">
        <v>34574</v>
      </c>
      <c r="B1014" s="880">
        <v>816.29</v>
      </c>
    </row>
    <row r="1015" spans="1:2" ht="16.149999999999999" customHeight="1">
      <c r="A1015" s="877">
        <v>34575</v>
      </c>
      <c r="B1015" s="878">
        <v>816.29</v>
      </c>
    </row>
    <row r="1016" spans="1:2" ht="16.149999999999999" customHeight="1">
      <c r="A1016" s="877">
        <v>34576</v>
      </c>
      <c r="B1016" s="880">
        <v>816.18</v>
      </c>
    </row>
    <row r="1017" spans="1:2" ht="16.149999999999999" customHeight="1">
      <c r="A1017" s="877">
        <v>34577</v>
      </c>
      <c r="B1017" s="878">
        <v>816.3</v>
      </c>
    </row>
    <row r="1018" spans="1:2" ht="16.149999999999999" customHeight="1">
      <c r="A1018" s="877">
        <v>34578</v>
      </c>
      <c r="B1018" s="880">
        <v>816.08</v>
      </c>
    </row>
    <row r="1019" spans="1:2" ht="16.149999999999999" customHeight="1">
      <c r="A1019" s="877">
        <v>34579</v>
      </c>
      <c r="B1019" s="878">
        <v>817.64</v>
      </c>
    </row>
    <row r="1020" spans="1:2" ht="16.149999999999999" customHeight="1">
      <c r="A1020" s="877">
        <v>34580</v>
      </c>
      <c r="B1020" s="880">
        <v>818.81</v>
      </c>
    </row>
    <row r="1021" spans="1:2" ht="16.149999999999999" customHeight="1">
      <c r="A1021" s="877">
        <v>34581</v>
      </c>
      <c r="B1021" s="878">
        <v>818.81</v>
      </c>
    </row>
    <row r="1022" spans="1:2" ht="16.149999999999999" customHeight="1">
      <c r="A1022" s="877">
        <v>34582</v>
      </c>
      <c r="B1022" s="880">
        <v>818.81</v>
      </c>
    </row>
    <row r="1023" spans="1:2" ht="16.149999999999999" customHeight="1">
      <c r="A1023" s="877">
        <v>34583</v>
      </c>
      <c r="B1023" s="878">
        <v>817.8</v>
      </c>
    </row>
    <row r="1024" spans="1:2" ht="16.149999999999999" customHeight="1">
      <c r="A1024" s="877">
        <v>34584</v>
      </c>
      <c r="B1024" s="880">
        <v>818.21</v>
      </c>
    </row>
    <row r="1025" spans="1:2" ht="16.149999999999999" customHeight="1">
      <c r="A1025" s="877">
        <v>34585</v>
      </c>
      <c r="B1025" s="878">
        <v>819.24</v>
      </c>
    </row>
    <row r="1026" spans="1:2" ht="16.149999999999999" customHeight="1">
      <c r="A1026" s="877">
        <v>34586</v>
      </c>
      <c r="B1026" s="880">
        <v>820.02</v>
      </c>
    </row>
    <row r="1027" spans="1:2" ht="16.149999999999999" customHeight="1">
      <c r="A1027" s="877">
        <v>34587</v>
      </c>
      <c r="B1027" s="878">
        <v>820.26</v>
      </c>
    </row>
    <row r="1028" spans="1:2" ht="16.149999999999999" customHeight="1">
      <c r="A1028" s="877">
        <v>34588</v>
      </c>
      <c r="B1028" s="880">
        <v>820.26</v>
      </c>
    </row>
    <row r="1029" spans="1:2" ht="16.149999999999999" customHeight="1">
      <c r="A1029" s="877">
        <v>34589</v>
      </c>
      <c r="B1029" s="878">
        <v>820.26</v>
      </c>
    </row>
    <row r="1030" spans="1:2" ht="16.149999999999999" customHeight="1">
      <c r="A1030" s="877">
        <v>34590</v>
      </c>
      <c r="B1030" s="880">
        <v>821.62</v>
      </c>
    </row>
    <row r="1031" spans="1:2" ht="16.149999999999999" customHeight="1">
      <c r="A1031" s="877">
        <v>34591</v>
      </c>
      <c r="B1031" s="878">
        <v>824.34</v>
      </c>
    </row>
    <row r="1032" spans="1:2" ht="16.149999999999999" customHeight="1">
      <c r="A1032" s="877">
        <v>34592</v>
      </c>
      <c r="B1032" s="880">
        <v>827.86</v>
      </c>
    </row>
    <row r="1033" spans="1:2" ht="16.149999999999999" customHeight="1">
      <c r="A1033" s="877">
        <v>34593</v>
      </c>
      <c r="B1033" s="878">
        <v>833.1</v>
      </c>
    </row>
    <row r="1034" spans="1:2" ht="16.149999999999999" customHeight="1">
      <c r="A1034" s="877">
        <v>34594</v>
      </c>
      <c r="B1034" s="880">
        <v>837.21</v>
      </c>
    </row>
    <row r="1035" spans="1:2" ht="16.149999999999999" customHeight="1">
      <c r="A1035" s="877">
        <v>34595</v>
      </c>
      <c r="B1035" s="878">
        <v>837.21</v>
      </c>
    </row>
    <row r="1036" spans="1:2" ht="16.149999999999999" customHeight="1">
      <c r="A1036" s="877">
        <v>34596</v>
      </c>
      <c r="B1036" s="880">
        <v>837.21</v>
      </c>
    </row>
    <row r="1037" spans="1:2" ht="16.149999999999999" customHeight="1">
      <c r="A1037" s="877">
        <v>34597</v>
      </c>
      <c r="B1037" s="878">
        <v>838.63</v>
      </c>
    </row>
    <row r="1038" spans="1:2" ht="16.149999999999999" customHeight="1">
      <c r="A1038" s="877">
        <v>34598</v>
      </c>
      <c r="B1038" s="880">
        <v>841.82</v>
      </c>
    </row>
    <row r="1039" spans="1:2" ht="16.149999999999999" customHeight="1">
      <c r="A1039" s="877">
        <v>34599</v>
      </c>
      <c r="B1039" s="878">
        <v>842.7</v>
      </c>
    </row>
    <row r="1040" spans="1:2" ht="16.149999999999999" customHeight="1">
      <c r="A1040" s="877">
        <v>34600</v>
      </c>
      <c r="B1040" s="880">
        <v>841.53</v>
      </c>
    </row>
    <row r="1041" spans="1:2" ht="16.149999999999999" customHeight="1">
      <c r="A1041" s="877">
        <v>34601</v>
      </c>
      <c r="B1041" s="878">
        <v>839.46</v>
      </c>
    </row>
    <row r="1042" spans="1:2" ht="16.149999999999999" customHeight="1">
      <c r="A1042" s="877">
        <v>34602</v>
      </c>
      <c r="B1042" s="880">
        <v>839.46</v>
      </c>
    </row>
    <row r="1043" spans="1:2" ht="16.149999999999999" customHeight="1">
      <c r="A1043" s="877">
        <v>34603</v>
      </c>
      <c r="B1043" s="878">
        <v>839.46</v>
      </c>
    </row>
    <row r="1044" spans="1:2" ht="16.149999999999999" customHeight="1">
      <c r="A1044" s="877">
        <v>34604</v>
      </c>
      <c r="B1044" s="880">
        <v>840.23</v>
      </c>
    </row>
    <row r="1045" spans="1:2" ht="16.149999999999999" customHeight="1">
      <c r="A1045" s="877">
        <v>34605</v>
      </c>
      <c r="B1045" s="878">
        <v>841.51</v>
      </c>
    </row>
    <row r="1046" spans="1:2" ht="16.149999999999999" customHeight="1">
      <c r="A1046" s="877">
        <v>34606</v>
      </c>
      <c r="B1046" s="880">
        <v>841.32</v>
      </c>
    </row>
    <row r="1047" spans="1:2" ht="16.149999999999999" customHeight="1">
      <c r="A1047" s="877">
        <v>34607</v>
      </c>
      <c r="B1047" s="878">
        <v>842</v>
      </c>
    </row>
    <row r="1048" spans="1:2" ht="16.149999999999999" customHeight="1">
      <c r="A1048" s="877">
        <v>34608</v>
      </c>
      <c r="B1048" s="880">
        <v>843</v>
      </c>
    </row>
    <row r="1049" spans="1:2" ht="16.149999999999999" customHeight="1">
      <c r="A1049" s="877">
        <v>34609</v>
      </c>
      <c r="B1049" s="878">
        <v>843</v>
      </c>
    </row>
    <row r="1050" spans="1:2" ht="16.149999999999999" customHeight="1">
      <c r="A1050" s="877">
        <v>34610</v>
      </c>
      <c r="B1050" s="880">
        <v>843</v>
      </c>
    </row>
    <row r="1051" spans="1:2" ht="16.149999999999999" customHeight="1">
      <c r="A1051" s="877">
        <v>34611</v>
      </c>
      <c r="B1051" s="878">
        <v>843.65</v>
      </c>
    </row>
    <row r="1052" spans="1:2" ht="16.149999999999999" customHeight="1">
      <c r="A1052" s="877">
        <v>34612</v>
      </c>
      <c r="B1052" s="880">
        <v>844.4</v>
      </c>
    </row>
    <row r="1053" spans="1:2" ht="16.149999999999999" customHeight="1">
      <c r="A1053" s="877">
        <v>34613</v>
      </c>
      <c r="B1053" s="878">
        <v>842.54</v>
      </c>
    </row>
    <row r="1054" spans="1:2" ht="16.149999999999999" customHeight="1">
      <c r="A1054" s="877">
        <v>34614</v>
      </c>
      <c r="B1054" s="880">
        <v>840.06</v>
      </c>
    </row>
    <row r="1055" spans="1:2" ht="16.149999999999999" customHeight="1">
      <c r="A1055" s="877">
        <v>34615</v>
      </c>
      <c r="B1055" s="878">
        <v>836.8</v>
      </c>
    </row>
    <row r="1056" spans="1:2" ht="16.149999999999999" customHeight="1">
      <c r="A1056" s="877">
        <v>34616</v>
      </c>
      <c r="B1056" s="880">
        <v>836.8</v>
      </c>
    </row>
    <row r="1057" spans="1:2" ht="16.149999999999999" customHeight="1">
      <c r="A1057" s="877">
        <v>34617</v>
      </c>
      <c r="B1057" s="878">
        <v>836.8</v>
      </c>
    </row>
    <row r="1058" spans="1:2" ht="16.149999999999999" customHeight="1">
      <c r="A1058" s="877">
        <v>34618</v>
      </c>
      <c r="B1058" s="880">
        <v>835.59</v>
      </c>
    </row>
    <row r="1059" spans="1:2" ht="16.149999999999999" customHeight="1">
      <c r="A1059" s="877">
        <v>34619</v>
      </c>
      <c r="B1059" s="878">
        <v>835.38</v>
      </c>
    </row>
    <row r="1060" spans="1:2" ht="16.149999999999999" customHeight="1">
      <c r="A1060" s="877">
        <v>34620</v>
      </c>
      <c r="B1060" s="880">
        <v>836.4</v>
      </c>
    </row>
    <row r="1061" spans="1:2" ht="16.149999999999999" customHeight="1">
      <c r="A1061" s="877">
        <v>34621</v>
      </c>
      <c r="B1061" s="878">
        <v>836.01</v>
      </c>
    </row>
    <row r="1062" spans="1:2" ht="16.149999999999999" customHeight="1">
      <c r="A1062" s="877">
        <v>34622</v>
      </c>
      <c r="B1062" s="880">
        <v>834.83</v>
      </c>
    </row>
    <row r="1063" spans="1:2" ht="16.149999999999999" customHeight="1">
      <c r="A1063" s="877">
        <v>34623</v>
      </c>
      <c r="B1063" s="878">
        <v>834.83</v>
      </c>
    </row>
    <row r="1064" spans="1:2" ht="16.149999999999999" customHeight="1">
      <c r="A1064" s="877">
        <v>34624</v>
      </c>
      <c r="B1064" s="880">
        <v>834.83</v>
      </c>
    </row>
    <row r="1065" spans="1:2" ht="16.149999999999999" customHeight="1">
      <c r="A1065" s="877">
        <v>34625</v>
      </c>
      <c r="B1065" s="878">
        <v>834.83</v>
      </c>
    </row>
    <row r="1066" spans="1:2" ht="16.149999999999999" customHeight="1">
      <c r="A1066" s="877">
        <v>34626</v>
      </c>
      <c r="B1066" s="880">
        <v>835.33</v>
      </c>
    </row>
    <row r="1067" spans="1:2" ht="16.149999999999999" customHeight="1">
      <c r="A1067" s="877">
        <v>34627</v>
      </c>
      <c r="B1067" s="878">
        <v>836.72</v>
      </c>
    </row>
    <row r="1068" spans="1:2" ht="16.149999999999999" customHeight="1">
      <c r="A1068" s="877">
        <v>34628</v>
      </c>
      <c r="B1068" s="880">
        <v>838.32</v>
      </c>
    </row>
    <row r="1069" spans="1:2" ht="16.149999999999999" customHeight="1">
      <c r="A1069" s="877">
        <v>34629</v>
      </c>
      <c r="B1069" s="878">
        <v>841.41</v>
      </c>
    </row>
    <row r="1070" spans="1:2" ht="16.149999999999999" customHeight="1">
      <c r="A1070" s="877">
        <v>34630</v>
      </c>
      <c r="B1070" s="880">
        <v>841.41</v>
      </c>
    </row>
    <row r="1071" spans="1:2" ht="16.149999999999999" customHeight="1">
      <c r="A1071" s="877">
        <v>34631</v>
      </c>
      <c r="B1071" s="878">
        <v>841.41</v>
      </c>
    </row>
    <row r="1072" spans="1:2" ht="16.149999999999999" customHeight="1">
      <c r="A1072" s="877">
        <v>34632</v>
      </c>
      <c r="B1072" s="880">
        <v>842.6</v>
      </c>
    </row>
    <row r="1073" spans="1:2" ht="16.149999999999999" customHeight="1">
      <c r="A1073" s="877">
        <v>34633</v>
      </c>
      <c r="B1073" s="878">
        <v>843.48</v>
      </c>
    </row>
    <row r="1074" spans="1:2" ht="16.149999999999999" customHeight="1">
      <c r="A1074" s="877">
        <v>34634</v>
      </c>
      <c r="B1074" s="880">
        <v>841.32</v>
      </c>
    </row>
    <row r="1075" spans="1:2" ht="16.149999999999999" customHeight="1">
      <c r="A1075" s="877">
        <v>34635</v>
      </c>
      <c r="B1075" s="878">
        <v>840.05</v>
      </c>
    </row>
    <row r="1076" spans="1:2" ht="16.149999999999999" customHeight="1">
      <c r="A1076" s="877">
        <v>34636</v>
      </c>
      <c r="B1076" s="880">
        <v>838.55</v>
      </c>
    </row>
    <row r="1077" spans="1:2" ht="16.149999999999999" customHeight="1">
      <c r="A1077" s="877">
        <v>34637</v>
      </c>
      <c r="B1077" s="878">
        <v>838.55</v>
      </c>
    </row>
    <row r="1078" spans="1:2" ht="16.149999999999999" customHeight="1">
      <c r="A1078" s="877">
        <v>34638</v>
      </c>
      <c r="B1078" s="880">
        <v>838.55</v>
      </c>
    </row>
    <row r="1079" spans="1:2" ht="16.149999999999999" customHeight="1">
      <c r="A1079" s="877">
        <v>34639</v>
      </c>
      <c r="B1079" s="878">
        <v>837.62</v>
      </c>
    </row>
    <row r="1080" spans="1:2" ht="16.149999999999999" customHeight="1">
      <c r="A1080" s="877">
        <v>34640</v>
      </c>
      <c r="B1080" s="880">
        <v>837.79</v>
      </c>
    </row>
    <row r="1081" spans="1:2" ht="16.149999999999999" customHeight="1">
      <c r="A1081" s="877">
        <v>34641</v>
      </c>
      <c r="B1081" s="878">
        <v>836.18</v>
      </c>
    </row>
    <row r="1082" spans="1:2" ht="16.149999999999999" customHeight="1">
      <c r="A1082" s="877">
        <v>34642</v>
      </c>
      <c r="B1082" s="880">
        <v>833.19</v>
      </c>
    </row>
    <row r="1083" spans="1:2" ht="16.149999999999999" customHeight="1">
      <c r="A1083" s="877">
        <v>34643</v>
      </c>
      <c r="B1083" s="878">
        <v>831.25</v>
      </c>
    </row>
    <row r="1084" spans="1:2" ht="16.149999999999999" customHeight="1">
      <c r="A1084" s="877">
        <v>34644</v>
      </c>
      <c r="B1084" s="880">
        <v>831.25</v>
      </c>
    </row>
    <row r="1085" spans="1:2" ht="16.149999999999999" customHeight="1">
      <c r="A1085" s="877">
        <v>34645</v>
      </c>
      <c r="B1085" s="878">
        <v>831.25</v>
      </c>
    </row>
    <row r="1086" spans="1:2" ht="16.149999999999999" customHeight="1">
      <c r="A1086" s="877">
        <v>34646</v>
      </c>
      <c r="B1086" s="880">
        <v>831.25</v>
      </c>
    </row>
    <row r="1087" spans="1:2" ht="16.149999999999999" customHeight="1">
      <c r="A1087" s="877">
        <v>34647</v>
      </c>
      <c r="B1087" s="878">
        <v>829.09</v>
      </c>
    </row>
    <row r="1088" spans="1:2" ht="16.149999999999999" customHeight="1">
      <c r="A1088" s="877">
        <v>34648</v>
      </c>
      <c r="B1088" s="880">
        <v>826.84</v>
      </c>
    </row>
    <row r="1089" spans="1:2" ht="16.149999999999999" customHeight="1">
      <c r="A1089" s="877">
        <v>34649</v>
      </c>
      <c r="B1089" s="878">
        <v>825.17</v>
      </c>
    </row>
    <row r="1090" spans="1:2" ht="16.149999999999999" customHeight="1">
      <c r="A1090" s="877">
        <v>34650</v>
      </c>
      <c r="B1090" s="880">
        <v>825.87</v>
      </c>
    </row>
    <row r="1091" spans="1:2" ht="16.149999999999999" customHeight="1">
      <c r="A1091" s="877">
        <v>34651</v>
      </c>
      <c r="B1091" s="878">
        <v>825.87</v>
      </c>
    </row>
    <row r="1092" spans="1:2" ht="16.149999999999999" customHeight="1">
      <c r="A1092" s="877">
        <v>34652</v>
      </c>
      <c r="B1092" s="880">
        <v>825.87</v>
      </c>
    </row>
    <row r="1093" spans="1:2" ht="16.149999999999999" customHeight="1">
      <c r="A1093" s="877">
        <v>34653</v>
      </c>
      <c r="B1093" s="878">
        <v>825.87</v>
      </c>
    </row>
    <row r="1094" spans="1:2" ht="16.149999999999999" customHeight="1">
      <c r="A1094" s="877">
        <v>34654</v>
      </c>
      <c r="B1094" s="880">
        <v>826.45</v>
      </c>
    </row>
    <row r="1095" spans="1:2" ht="16.149999999999999" customHeight="1">
      <c r="A1095" s="877">
        <v>34655</v>
      </c>
      <c r="B1095" s="878">
        <v>828.74</v>
      </c>
    </row>
    <row r="1096" spans="1:2" ht="16.149999999999999" customHeight="1">
      <c r="A1096" s="877">
        <v>34656</v>
      </c>
      <c r="B1096" s="880">
        <v>830.49</v>
      </c>
    </row>
    <row r="1097" spans="1:2" ht="16.149999999999999" customHeight="1">
      <c r="A1097" s="877">
        <v>34657</v>
      </c>
      <c r="B1097" s="878">
        <v>828.46</v>
      </c>
    </row>
    <row r="1098" spans="1:2" ht="16.149999999999999" customHeight="1">
      <c r="A1098" s="877">
        <v>34658</v>
      </c>
      <c r="B1098" s="880">
        <v>828.46</v>
      </c>
    </row>
    <row r="1099" spans="1:2" ht="16.149999999999999" customHeight="1">
      <c r="A1099" s="877">
        <v>34659</v>
      </c>
      <c r="B1099" s="878">
        <v>828.46</v>
      </c>
    </row>
    <row r="1100" spans="1:2" ht="16.149999999999999" customHeight="1">
      <c r="A1100" s="877">
        <v>34660</v>
      </c>
      <c r="B1100" s="880">
        <v>829.08</v>
      </c>
    </row>
    <row r="1101" spans="1:2" ht="16.149999999999999" customHeight="1">
      <c r="A1101" s="877">
        <v>34661</v>
      </c>
      <c r="B1101" s="878">
        <v>830.74</v>
      </c>
    </row>
    <row r="1102" spans="1:2" ht="16.149999999999999" customHeight="1">
      <c r="A1102" s="877">
        <v>34662</v>
      </c>
      <c r="B1102" s="880">
        <v>828.67</v>
      </c>
    </row>
    <row r="1103" spans="1:2" ht="16.149999999999999" customHeight="1">
      <c r="A1103" s="877">
        <v>34663</v>
      </c>
      <c r="B1103" s="878">
        <v>828.76</v>
      </c>
    </row>
    <row r="1104" spans="1:2" ht="16.149999999999999" customHeight="1">
      <c r="A1104" s="877">
        <v>34664</v>
      </c>
      <c r="B1104" s="880">
        <v>828.42</v>
      </c>
    </row>
    <row r="1105" spans="1:2" ht="16.149999999999999" customHeight="1">
      <c r="A1105" s="877">
        <v>34665</v>
      </c>
      <c r="B1105" s="878">
        <v>828.42</v>
      </c>
    </row>
    <row r="1106" spans="1:2" ht="16.149999999999999" customHeight="1">
      <c r="A1106" s="877">
        <v>34666</v>
      </c>
      <c r="B1106" s="880">
        <v>828.42</v>
      </c>
    </row>
    <row r="1107" spans="1:2" ht="16.149999999999999" customHeight="1">
      <c r="A1107" s="877">
        <v>34667</v>
      </c>
      <c r="B1107" s="878">
        <v>828.66</v>
      </c>
    </row>
    <row r="1108" spans="1:2" ht="16.149999999999999" customHeight="1">
      <c r="A1108" s="877">
        <v>34668</v>
      </c>
      <c r="B1108" s="880">
        <v>829.03</v>
      </c>
    </row>
    <row r="1109" spans="1:2" ht="16.149999999999999" customHeight="1">
      <c r="A1109" s="877">
        <v>34669</v>
      </c>
      <c r="B1109" s="878">
        <v>829.29</v>
      </c>
    </row>
    <row r="1110" spans="1:2" ht="16.149999999999999" customHeight="1">
      <c r="A1110" s="877">
        <v>34670</v>
      </c>
      <c r="B1110" s="880">
        <v>829.56</v>
      </c>
    </row>
    <row r="1111" spans="1:2" ht="16.149999999999999" customHeight="1">
      <c r="A1111" s="877">
        <v>34671</v>
      </c>
      <c r="B1111" s="878">
        <v>830</v>
      </c>
    </row>
    <row r="1112" spans="1:2" ht="16.149999999999999" customHeight="1">
      <c r="A1112" s="877">
        <v>34672</v>
      </c>
      <c r="B1112" s="880">
        <v>830</v>
      </c>
    </row>
    <row r="1113" spans="1:2" ht="16.149999999999999" customHeight="1">
      <c r="A1113" s="877">
        <v>34673</v>
      </c>
      <c r="B1113" s="878">
        <v>830</v>
      </c>
    </row>
    <row r="1114" spans="1:2" ht="16.149999999999999" customHeight="1">
      <c r="A1114" s="877">
        <v>34674</v>
      </c>
      <c r="B1114" s="880">
        <v>830.37</v>
      </c>
    </row>
    <row r="1115" spans="1:2" ht="16.149999999999999" customHeight="1">
      <c r="A1115" s="877">
        <v>34675</v>
      </c>
      <c r="B1115" s="878">
        <v>830.85</v>
      </c>
    </row>
    <row r="1116" spans="1:2" ht="16.149999999999999" customHeight="1">
      <c r="A1116" s="877">
        <v>34676</v>
      </c>
      <c r="B1116" s="880">
        <v>831.1</v>
      </c>
    </row>
    <row r="1117" spans="1:2" ht="16.149999999999999" customHeight="1">
      <c r="A1117" s="877">
        <v>34677</v>
      </c>
      <c r="B1117" s="878">
        <v>831.1</v>
      </c>
    </row>
    <row r="1118" spans="1:2" ht="16.149999999999999" customHeight="1">
      <c r="A1118" s="877">
        <v>34678</v>
      </c>
      <c r="B1118" s="880">
        <v>831.49</v>
      </c>
    </row>
    <row r="1119" spans="1:2" ht="16.149999999999999" customHeight="1">
      <c r="A1119" s="877">
        <v>34679</v>
      </c>
      <c r="B1119" s="878">
        <v>831.49</v>
      </c>
    </row>
    <row r="1120" spans="1:2" ht="16.149999999999999" customHeight="1">
      <c r="A1120" s="877">
        <v>34680</v>
      </c>
      <c r="B1120" s="880">
        <v>831.49</v>
      </c>
    </row>
    <row r="1121" spans="1:2" ht="16.149999999999999" customHeight="1">
      <c r="A1121" s="877">
        <v>34681</v>
      </c>
      <c r="B1121" s="878">
        <v>831.91</v>
      </c>
    </row>
    <row r="1122" spans="1:2" ht="16.149999999999999" customHeight="1">
      <c r="A1122" s="877">
        <v>34682</v>
      </c>
      <c r="B1122" s="880">
        <v>824.68</v>
      </c>
    </row>
    <row r="1123" spans="1:2" ht="16.149999999999999" customHeight="1">
      <c r="A1123" s="877">
        <v>34683</v>
      </c>
      <c r="B1123" s="878">
        <v>825</v>
      </c>
    </row>
    <row r="1124" spans="1:2" ht="16.149999999999999" customHeight="1">
      <c r="A1124" s="877">
        <v>34684</v>
      </c>
      <c r="B1124" s="880">
        <v>827.6</v>
      </c>
    </row>
    <row r="1125" spans="1:2" ht="16.149999999999999" customHeight="1">
      <c r="A1125" s="877">
        <v>34685</v>
      </c>
      <c r="B1125" s="878">
        <v>829.72</v>
      </c>
    </row>
    <row r="1126" spans="1:2" ht="16.149999999999999" customHeight="1">
      <c r="A1126" s="877">
        <v>34686</v>
      </c>
      <c r="B1126" s="880">
        <v>829.72</v>
      </c>
    </row>
    <row r="1127" spans="1:2" ht="16.149999999999999" customHeight="1">
      <c r="A1127" s="877">
        <v>34687</v>
      </c>
      <c r="B1127" s="878">
        <v>829.72</v>
      </c>
    </row>
    <row r="1128" spans="1:2" ht="16.149999999999999" customHeight="1">
      <c r="A1128" s="877">
        <v>34688</v>
      </c>
      <c r="B1128" s="880">
        <v>831.06</v>
      </c>
    </row>
    <row r="1129" spans="1:2" ht="16.149999999999999" customHeight="1">
      <c r="A1129" s="877">
        <v>34689</v>
      </c>
      <c r="B1129" s="878">
        <v>830.16</v>
      </c>
    </row>
    <row r="1130" spans="1:2" ht="16.149999999999999" customHeight="1">
      <c r="A1130" s="877">
        <v>34690</v>
      </c>
      <c r="B1130" s="880">
        <v>827.95</v>
      </c>
    </row>
    <row r="1131" spans="1:2" ht="16.149999999999999" customHeight="1">
      <c r="A1131" s="877">
        <v>34691</v>
      </c>
      <c r="B1131" s="878">
        <v>827.7</v>
      </c>
    </row>
    <row r="1132" spans="1:2" ht="16.149999999999999" customHeight="1">
      <c r="A1132" s="877">
        <v>34692</v>
      </c>
      <c r="B1132" s="880">
        <v>826.47</v>
      </c>
    </row>
    <row r="1133" spans="1:2" ht="16.149999999999999" customHeight="1">
      <c r="A1133" s="877">
        <v>34693</v>
      </c>
      <c r="B1133" s="878">
        <v>826.47</v>
      </c>
    </row>
    <row r="1134" spans="1:2" ht="16.149999999999999" customHeight="1">
      <c r="A1134" s="877">
        <v>34694</v>
      </c>
      <c r="B1134" s="880">
        <v>826.47</v>
      </c>
    </row>
    <row r="1135" spans="1:2" ht="16.149999999999999" customHeight="1">
      <c r="A1135" s="877">
        <v>34695</v>
      </c>
      <c r="B1135" s="878">
        <v>827.33</v>
      </c>
    </row>
    <row r="1136" spans="1:2" ht="16.149999999999999" customHeight="1">
      <c r="A1136" s="877">
        <v>34696</v>
      </c>
      <c r="B1136" s="880">
        <v>829.95</v>
      </c>
    </row>
    <row r="1137" spans="1:2" ht="16.149999999999999" customHeight="1">
      <c r="A1137" s="877">
        <v>34697</v>
      </c>
      <c r="B1137" s="878">
        <v>831.6</v>
      </c>
    </row>
    <row r="1138" spans="1:2" ht="16.149999999999999" customHeight="1">
      <c r="A1138" s="877">
        <v>34698</v>
      </c>
      <c r="B1138" s="880">
        <v>831.27</v>
      </c>
    </row>
    <row r="1139" spans="1:2" ht="16.149999999999999" customHeight="1">
      <c r="A1139" s="877">
        <v>34699</v>
      </c>
      <c r="B1139" s="878">
        <v>831.27</v>
      </c>
    </row>
    <row r="1140" spans="1:2" ht="16.149999999999999" customHeight="1">
      <c r="A1140" s="877">
        <v>34700</v>
      </c>
      <c r="B1140" s="880">
        <v>831.27</v>
      </c>
    </row>
    <row r="1141" spans="1:2" ht="16.149999999999999" customHeight="1">
      <c r="A1141" s="877">
        <v>34701</v>
      </c>
      <c r="B1141" s="878">
        <v>831.27</v>
      </c>
    </row>
    <row r="1142" spans="1:2" ht="16.149999999999999" customHeight="1">
      <c r="A1142" s="877">
        <v>34702</v>
      </c>
      <c r="B1142" s="880">
        <v>833.18</v>
      </c>
    </row>
    <row r="1143" spans="1:2" ht="16.149999999999999" customHeight="1">
      <c r="A1143" s="877">
        <v>34703</v>
      </c>
      <c r="B1143" s="878">
        <v>835.38</v>
      </c>
    </row>
    <row r="1144" spans="1:2" ht="16.149999999999999" customHeight="1">
      <c r="A1144" s="877">
        <v>34704</v>
      </c>
      <c r="B1144" s="880">
        <v>838.33</v>
      </c>
    </row>
    <row r="1145" spans="1:2" ht="16.149999999999999" customHeight="1">
      <c r="A1145" s="877">
        <v>34705</v>
      </c>
      <c r="B1145" s="878">
        <v>838.87</v>
      </c>
    </row>
    <row r="1146" spans="1:2" ht="16.149999999999999" customHeight="1">
      <c r="A1146" s="877">
        <v>34706</v>
      </c>
      <c r="B1146" s="880">
        <v>837.07</v>
      </c>
    </row>
    <row r="1147" spans="1:2" ht="16.149999999999999" customHeight="1">
      <c r="A1147" s="877">
        <v>34707</v>
      </c>
      <c r="B1147" s="878">
        <v>837.07</v>
      </c>
    </row>
    <row r="1148" spans="1:2" ht="16.149999999999999" customHeight="1">
      <c r="A1148" s="877">
        <v>34708</v>
      </c>
      <c r="B1148" s="880">
        <v>837.07</v>
      </c>
    </row>
    <row r="1149" spans="1:2" ht="16.149999999999999" customHeight="1">
      <c r="A1149" s="877">
        <v>34709</v>
      </c>
      <c r="B1149" s="878">
        <v>837.07</v>
      </c>
    </row>
    <row r="1150" spans="1:2" ht="16.149999999999999" customHeight="1">
      <c r="A1150" s="877">
        <v>34710</v>
      </c>
      <c r="B1150" s="880">
        <v>840.36</v>
      </c>
    </row>
    <row r="1151" spans="1:2" ht="16.149999999999999" customHeight="1">
      <c r="A1151" s="877">
        <v>34711</v>
      </c>
      <c r="B1151" s="878">
        <v>843.69</v>
      </c>
    </row>
    <row r="1152" spans="1:2" ht="16.149999999999999" customHeight="1">
      <c r="A1152" s="877">
        <v>34712</v>
      </c>
      <c r="B1152" s="880">
        <v>841.52</v>
      </c>
    </row>
    <row r="1153" spans="1:2" ht="16.149999999999999" customHeight="1">
      <c r="A1153" s="877">
        <v>34713</v>
      </c>
      <c r="B1153" s="878">
        <v>843.7</v>
      </c>
    </row>
    <row r="1154" spans="1:2" ht="16.149999999999999" customHeight="1">
      <c r="A1154" s="877">
        <v>34714</v>
      </c>
      <c r="B1154" s="880">
        <v>843.7</v>
      </c>
    </row>
    <row r="1155" spans="1:2" ht="16.149999999999999" customHeight="1">
      <c r="A1155" s="877">
        <v>34715</v>
      </c>
      <c r="B1155" s="878">
        <v>843.7</v>
      </c>
    </row>
    <row r="1156" spans="1:2" ht="16.149999999999999" customHeight="1">
      <c r="A1156" s="877">
        <v>34716</v>
      </c>
      <c r="B1156" s="880">
        <v>846.61</v>
      </c>
    </row>
    <row r="1157" spans="1:2" ht="16.149999999999999" customHeight="1">
      <c r="A1157" s="877">
        <v>34717</v>
      </c>
      <c r="B1157" s="878">
        <v>847.61</v>
      </c>
    </row>
    <row r="1158" spans="1:2" ht="16.149999999999999" customHeight="1">
      <c r="A1158" s="877">
        <v>34718</v>
      </c>
      <c r="B1158" s="880">
        <v>850.26</v>
      </c>
    </row>
    <row r="1159" spans="1:2" ht="16.149999999999999" customHeight="1">
      <c r="A1159" s="877">
        <v>34719</v>
      </c>
      <c r="B1159" s="878">
        <v>852.68</v>
      </c>
    </row>
    <row r="1160" spans="1:2" ht="16.149999999999999" customHeight="1">
      <c r="A1160" s="877">
        <v>34720</v>
      </c>
      <c r="B1160" s="880">
        <v>855.54</v>
      </c>
    </row>
    <row r="1161" spans="1:2" ht="16.149999999999999" customHeight="1">
      <c r="A1161" s="877">
        <v>34721</v>
      </c>
      <c r="B1161" s="878">
        <v>855.54</v>
      </c>
    </row>
    <row r="1162" spans="1:2" ht="16.149999999999999" customHeight="1">
      <c r="A1162" s="877">
        <v>34722</v>
      </c>
      <c r="B1162" s="880">
        <v>855.54</v>
      </c>
    </row>
    <row r="1163" spans="1:2" ht="16.149999999999999" customHeight="1">
      <c r="A1163" s="877">
        <v>34723</v>
      </c>
      <c r="B1163" s="878">
        <v>855.49</v>
      </c>
    </row>
    <row r="1164" spans="1:2" ht="16.149999999999999" customHeight="1">
      <c r="A1164" s="877">
        <v>34724</v>
      </c>
      <c r="B1164" s="880">
        <v>856.65</v>
      </c>
    </row>
    <row r="1165" spans="1:2" ht="16.149999999999999" customHeight="1">
      <c r="A1165" s="877">
        <v>34725</v>
      </c>
      <c r="B1165" s="878">
        <v>857.56</v>
      </c>
    </row>
    <row r="1166" spans="1:2" ht="16.149999999999999" customHeight="1">
      <c r="A1166" s="877">
        <v>34726</v>
      </c>
      <c r="B1166" s="880">
        <v>859.3</v>
      </c>
    </row>
    <row r="1167" spans="1:2" ht="16.149999999999999" customHeight="1">
      <c r="A1167" s="877">
        <v>34727</v>
      </c>
      <c r="B1167" s="878">
        <v>857.83</v>
      </c>
    </row>
    <row r="1168" spans="1:2" ht="16.149999999999999" customHeight="1">
      <c r="A1168" s="877">
        <v>34728</v>
      </c>
      <c r="B1168" s="880">
        <v>857.83</v>
      </c>
    </row>
    <row r="1169" spans="1:2" ht="16.149999999999999" customHeight="1">
      <c r="A1169" s="877">
        <v>34729</v>
      </c>
      <c r="B1169" s="878">
        <v>857.83</v>
      </c>
    </row>
    <row r="1170" spans="1:2" ht="16.149999999999999" customHeight="1">
      <c r="A1170" s="877">
        <v>34730</v>
      </c>
      <c r="B1170" s="880">
        <v>856.41</v>
      </c>
    </row>
    <row r="1171" spans="1:2" ht="16.149999999999999" customHeight="1">
      <c r="A1171" s="877">
        <v>34731</v>
      </c>
      <c r="B1171" s="878">
        <v>857.16</v>
      </c>
    </row>
    <row r="1172" spans="1:2" ht="16.149999999999999" customHeight="1">
      <c r="A1172" s="877">
        <v>34732</v>
      </c>
      <c r="B1172" s="880">
        <v>855.76</v>
      </c>
    </row>
    <row r="1173" spans="1:2" ht="16.149999999999999" customHeight="1">
      <c r="A1173" s="877">
        <v>34733</v>
      </c>
      <c r="B1173" s="878">
        <v>852.22</v>
      </c>
    </row>
    <row r="1174" spans="1:2" ht="16.149999999999999" customHeight="1">
      <c r="A1174" s="877">
        <v>34734</v>
      </c>
      <c r="B1174" s="880">
        <v>848.82</v>
      </c>
    </row>
    <row r="1175" spans="1:2" ht="16.149999999999999" customHeight="1">
      <c r="A1175" s="877">
        <v>34735</v>
      </c>
      <c r="B1175" s="878">
        <v>848.82</v>
      </c>
    </row>
    <row r="1176" spans="1:2" ht="16.149999999999999" customHeight="1">
      <c r="A1176" s="877">
        <v>34736</v>
      </c>
      <c r="B1176" s="880">
        <v>848.82</v>
      </c>
    </row>
    <row r="1177" spans="1:2" ht="16.149999999999999" customHeight="1">
      <c r="A1177" s="877">
        <v>34737</v>
      </c>
      <c r="B1177" s="878">
        <v>848.27</v>
      </c>
    </row>
    <row r="1178" spans="1:2" ht="16.149999999999999" customHeight="1">
      <c r="A1178" s="877">
        <v>34738</v>
      </c>
      <c r="B1178" s="880">
        <v>848.43</v>
      </c>
    </row>
    <row r="1179" spans="1:2" ht="16.149999999999999" customHeight="1">
      <c r="A1179" s="877">
        <v>34739</v>
      </c>
      <c r="B1179" s="878">
        <v>847.04</v>
      </c>
    </row>
    <row r="1180" spans="1:2" ht="16.149999999999999" customHeight="1">
      <c r="A1180" s="877">
        <v>34740</v>
      </c>
      <c r="B1180" s="880">
        <v>845.73</v>
      </c>
    </row>
    <row r="1181" spans="1:2" ht="16.149999999999999" customHeight="1">
      <c r="A1181" s="877">
        <v>34741</v>
      </c>
      <c r="B1181" s="878">
        <v>845.37</v>
      </c>
    </row>
    <row r="1182" spans="1:2" ht="16.149999999999999" customHeight="1">
      <c r="A1182" s="877">
        <v>34742</v>
      </c>
      <c r="B1182" s="880">
        <v>845.37</v>
      </c>
    </row>
    <row r="1183" spans="1:2" ht="16.149999999999999" customHeight="1">
      <c r="A1183" s="877">
        <v>34743</v>
      </c>
      <c r="B1183" s="878">
        <v>845.37</v>
      </c>
    </row>
    <row r="1184" spans="1:2" ht="16.149999999999999" customHeight="1">
      <c r="A1184" s="877">
        <v>34744</v>
      </c>
      <c r="B1184" s="880">
        <v>846.2</v>
      </c>
    </row>
    <row r="1185" spans="1:2" ht="16.149999999999999" customHeight="1">
      <c r="A1185" s="877">
        <v>34745</v>
      </c>
      <c r="B1185" s="878">
        <v>848.15</v>
      </c>
    </row>
    <row r="1186" spans="1:2" ht="16.149999999999999" customHeight="1">
      <c r="A1186" s="877">
        <v>34746</v>
      </c>
      <c r="B1186" s="880">
        <v>848.52</v>
      </c>
    </row>
    <row r="1187" spans="1:2" ht="16.149999999999999" customHeight="1">
      <c r="A1187" s="877">
        <v>34747</v>
      </c>
      <c r="B1187" s="878">
        <v>848.9</v>
      </c>
    </row>
    <row r="1188" spans="1:2" ht="16.149999999999999" customHeight="1">
      <c r="A1188" s="877">
        <v>34748</v>
      </c>
      <c r="B1188" s="880">
        <v>849.41</v>
      </c>
    </row>
    <row r="1189" spans="1:2" ht="16.149999999999999" customHeight="1">
      <c r="A1189" s="877">
        <v>34749</v>
      </c>
      <c r="B1189" s="878">
        <v>849.41</v>
      </c>
    </row>
    <row r="1190" spans="1:2" ht="16.149999999999999" customHeight="1">
      <c r="A1190" s="877">
        <v>34750</v>
      </c>
      <c r="B1190" s="880">
        <v>849.41</v>
      </c>
    </row>
    <row r="1191" spans="1:2" ht="16.149999999999999" customHeight="1">
      <c r="A1191" s="877">
        <v>34751</v>
      </c>
      <c r="B1191" s="878">
        <v>851.88</v>
      </c>
    </row>
    <row r="1192" spans="1:2" ht="16.149999999999999" customHeight="1">
      <c r="A1192" s="877">
        <v>34752</v>
      </c>
      <c r="B1192" s="880">
        <v>853.63</v>
      </c>
    </row>
    <row r="1193" spans="1:2" ht="16.149999999999999" customHeight="1">
      <c r="A1193" s="877">
        <v>34753</v>
      </c>
      <c r="B1193" s="878">
        <v>855.32</v>
      </c>
    </row>
    <row r="1194" spans="1:2" ht="16.149999999999999" customHeight="1">
      <c r="A1194" s="877">
        <v>34754</v>
      </c>
      <c r="B1194" s="880">
        <v>855.48</v>
      </c>
    </row>
    <row r="1195" spans="1:2" ht="16.149999999999999" customHeight="1">
      <c r="A1195" s="877">
        <v>34755</v>
      </c>
      <c r="B1195" s="878">
        <v>854.71</v>
      </c>
    </row>
    <row r="1196" spans="1:2" ht="16.149999999999999" customHeight="1">
      <c r="A1196" s="877">
        <v>34756</v>
      </c>
      <c r="B1196" s="880">
        <v>854.71</v>
      </c>
    </row>
    <row r="1197" spans="1:2" ht="16.149999999999999" customHeight="1">
      <c r="A1197" s="877">
        <v>34757</v>
      </c>
      <c r="B1197" s="878">
        <v>854.71</v>
      </c>
    </row>
    <row r="1198" spans="1:2" ht="16.149999999999999" customHeight="1">
      <c r="A1198" s="877">
        <v>34758</v>
      </c>
      <c r="B1198" s="880">
        <v>856.99</v>
      </c>
    </row>
    <row r="1199" spans="1:2" ht="16.149999999999999" customHeight="1">
      <c r="A1199" s="877">
        <v>34759</v>
      </c>
      <c r="B1199" s="878">
        <v>857.85</v>
      </c>
    </row>
    <row r="1200" spans="1:2" ht="16.149999999999999" customHeight="1">
      <c r="A1200" s="877">
        <v>34760</v>
      </c>
      <c r="B1200" s="880">
        <v>858.87</v>
      </c>
    </row>
    <row r="1201" spans="1:2" ht="16.149999999999999" customHeight="1">
      <c r="A1201" s="877">
        <v>34761</v>
      </c>
      <c r="B1201" s="878">
        <v>861.33</v>
      </c>
    </row>
    <row r="1202" spans="1:2" ht="16.149999999999999" customHeight="1">
      <c r="A1202" s="877">
        <v>34762</v>
      </c>
      <c r="B1202" s="880">
        <v>859.65</v>
      </c>
    </row>
    <row r="1203" spans="1:2" ht="16.149999999999999" customHeight="1">
      <c r="A1203" s="877">
        <v>34763</v>
      </c>
      <c r="B1203" s="878">
        <v>859.65</v>
      </c>
    </row>
    <row r="1204" spans="1:2" ht="16.149999999999999" customHeight="1">
      <c r="A1204" s="877">
        <v>34764</v>
      </c>
      <c r="B1204" s="880">
        <v>859.65</v>
      </c>
    </row>
    <row r="1205" spans="1:2" ht="16.149999999999999" customHeight="1">
      <c r="A1205" s="877">
        <v>34765</v>
      </c>
      <c r="B1205" s="878">
        <v>858.95</v>
      </c>
    </row>
    <row r="1206" spans="1:2" ht="16.149999999999999" customHeight="1">
      <c r="A1206" s="877">
        <v>34766</v>
      </c>
      <c r="B1206" s="880">
        <v>861.13</v>
      </c>
    </row>
    <row r="1207" spans="1:2" ht="16.149999999999999" customHeight="1">
      <c r="A1207" s="877">
        <v>34767</v>
      </c>
      <c r="B1207" s="878">
        <v>862.41</v>
      </c>
    </row>
    <row r="1208" spans="1:2" ht="16.149999999999999" customHeight="1">
      <c r="A1208" s="877">
        <v>34768</v>
      </c>
      <c r="B1208" s="880">
        <v>863.06</v>
      </c>
    </row>
    <row r="1209" spans="1:2" ht="16.149999999999999" customHeight="1">
      <c r="A1209" s="877">
        <v>34769</v>
      </c>
      <c r="B1209" s="878">
        <v>865.36</v>
      </c>
    </row>
    <row r="1210" spans="1:2" ht="16.149999999999999" customHeight="1">
      <c r="A1210" s="877">
        <v>34770</v>
      </c>
      <c r="B1210" s="880">
        <v>865.36</v>
      </c>
    </row>
    <row r="1211" spans="1:2" ht="16.149999999999999" customHeight="1">
      <c r="A1211" s="877">
        <v>34771</v>
      </c>
      <c r="B1211" s="878">
        <v>865.36</v>
      </c>
    </row>
    <row r="1212" spans="1:2" ht="16.149999999999999" customHeight="1">
      <c r="A1212" s="877">
        <v>34772</v>
      </c>
      <c r="B1212" s="880">
        <v>865.92</v>
      </c>
    </row>
    <row r="1213" spans="1:2" ht="16.149999999999999" customHeight="1">
      <c r="A1213" s="877">
        <v>34773</v>
      </c>
      <c r="B1213" s="878">
        <v>866.96</v>
      </c>
    </row>
    <row r="1214" spans="1:2" ht="16.149999999999999" customHeight="1">
      <c r="A1214" s="877">
        <v>34774</v>
      </c>
      <c r="B1214" s="880">
        <v>866.4</v>
      </c>
    </row>
    <row r="1215" spans="1:2" ht="16.149999999999999" customHeight="1">
      <c r="A1215" s="877">
        <v>34775</v>
      </c>
      <c r="B1215" s="878">
        <v>865.63</v>
      </c>
    </row>
    <row r="1216" spans="1:2" ht="16.149999999999999" customHeight="1">
      <c r="A1216" s="877">
        <v>34776</v>
      </c>
      <c r="B1216" s="880">
        <v>863.77</v>
      </c>
    </row>
    <row r="1217" spans="1:2" ht="16.149999999999999" customHeight="1">
      <c r="A1217" s="877">
        <v>34777</v>
      </c>
      <c r="B1217" s="878">
        <v>863.77</v>
      </c>
    </row>
    <row r="1218" spans="1:2" ht="16.149999999999999" customHeight="1">
      <c r="A1218" s="877">
        <v>34778</v>
      </c>
      <c r="B1218" s="880">
        <v>863.77</v>
      </c>
    </row>
    <row r="1219" spans="1:2" ht="16.149999999999999" customHeight="1">
      <c r="A1219" s="877">
        <v>34779</v>
      </c>
      <c r="B1219" s="878">
        <v>863.77</v>
      </c>
    </row>
    <row r="1220" spans="1:2" ht="16.149999999999999" customHeight="1">
      <c r="A1220" s="877">
        <v>34780</v>
      </c>
      <c r="B1220" s="880">
        <v>865.89</v>
      </c>
    </row>
    <row r="1221" spans="1:2" ht="16.149999999999999" customHeight="1">
      <c r="A1221" s="877">
        <v>34781</v>
      </c>
      <c r="B1221" s="878">
        <v>867.81</v>
      </c>
    </row>
    <row r="1222" spans="1:2" ht="16.149999999999999" customHeight="1">
      <c r="A1222" s="877">
        <v>34782</v>
      </c>
      <c r="B1222" s="880">
        <v>868.95</v>
      </c>
    </row>
    <row r="1223" spans="1:2" ht="16.149999999999999" customHeight="1">
      <c r="A1223" s="877">
        <v>34783</v>
      </c>
      <c r="B1223" s="878">
        <v>869.22</v>
      </c>
    </row>
    <row r="1224" spans="1:2" ht="16.149999999999999" customHeight="1">
      <c r="A1224" s="877">
        <v>34784</v>
      </c>
      <c r="B1224" s="880">
        <v>869.22</v>
      </c>
    </row>
    <row r="1225" spans="1:2" ht="16.149999999999999" customHeight="1">
      <c r="A1225" s="877">
        <v>34785</v>
      </c>
      <c r="B1225" s="878">
        <v>869.22</v>
      </c>
    </row>
    <row r="1226" spans="1:2" ht="16.149999999999999" customHeight="1">
      <c r="A1226" s="877">
        <v>34786</v>
      </c>
      <c r="B1226" s="880">
        <v>870.14</v>
      </c>
    </row>
    <row r="1227" spans="1:2" ht="16.149999999999999" customHeight="1">
      <c r="A1227" s="877">
        <v>34787</v>
      </c>
      <c r="B1227" s="878">
        <v>872.57</v>
      </c>
    </row>
    <row r="1228" spans="1:2" ht="16.149999999999999" customHeight="1">
      <c r="A1228" s="877">
        <v>34788</v>
      </c>
      <c r="B1228" s="880">
        <v>876.21</v>
      </c>
    </row>
    <row r="1229" spans="1:2" ht="16.149999999999999" customHeight="1">
      <c r="A1229" s="877">
        <v>34789</v>
      </c>
      <c r="B1229" s="878">
        <v>880.23</v>
      </c>
    </row>
    <row r="1230" spans="1:2" ht="16.149999999999999" customHeight="1">
      <c r="A1230" s="877">
        <v>34790</v>
      </c>
      <c r="B1230" s="880">
        <v>878.18</v>
      </c>
    </row>
    <row r="1231" spans="1:2" ht="16.149999999999999" customHeight="1">
      <c r="A1231" s="877">
        <v>34791</v>
      </c>
      <c r="B1231" s="878">
        <v>878.18</v>
      </c>
    </row>
    <row r="1232" spans="1:2" ht="16.149999999999999" customHeight="1">
      <c r="A1232" s="877">
        <v>34792</v>
      </c>
      <c r="B1232" s="880">
        <v>878.18</v>
      </c>
    </row>
    <row r="1233" spans="1:2" ht="16.149999999999999" customHeight="1">
      <c r="A1233" s="877">
        <v>34793</v>
      </c>
      <c r="B1233" s="878">
        <v>876</v>
      </c>
    </row>
    <row r="1234" spans="1:2" ht="16.149999999999999" customHeight="1">
      <c r="A1234" s="877">
        <v>34794</v>
      </c>
      <c r="B1234" s="880">
        <v>874.3</v>
      </c>
    </row>
    <row r="1235" spans="1:2" ht="16.149999999999999" customHeight="1">
      <c r="A1235" s="877">
        <v>34795</v>
      </c>
      <c r="B1235" s="878">
        <v>871.6</v>
      </c>
    </row>
    <row r="1236" spans="1:2" ht="16.149999999999999" customHeight="1">
      <c r="A1236" s="877">
        <v>34796</v>
      </c>
      <c r="B1236" s="880">
        <v>868.96</v>
      </c>
    </row>
    <row r="1237" spans="1:2" ht="16.149999999999999" customHeight="1">
      <c r="A1237" s="877">
        <v>34797</v>
      </c>
      <c r="B1237" s="878">
        <v>869.15</v>
      </c>
    </row>
    <row r="1238" spans="1:2" ht="16.149999999999999" customHeight="1">
      <c r="A1238" s="877">
        <v>34798</v>
      </c>
      <c r="B1238" s="880">
        <v>869.15</v>
      </c>
    </row>
    <row r="1239" spans="1:2" ht="16.149999999999999" customHeight="1">
      <c r="A1239" s="877">
        <v>34799</v>
      </c>
      <c r="B1239" s="878">
        <v>869.15</v>
      </c>
    </row>
    <row r="1240" spans="1:2" ht="16.149999999999999" customHeight="1">
      <c r="A1240" s="877">
        <v>34800</v>
      </c>
      <c r="B1240" s="880">
        <v>866.78</v>
      </c>
    </row>
    <row r="1241" spans="1:2" ht="16.149999999999999" customHeight="1">
      <c r="A1241" s="877">
        <v>34801</v>
      </c>
      <c r="B1241" s="878">
        <v>868.8</v>
      </c>
    </row>
    <row r="1242" spans="1:2" ht="16.149999999999999" customHeight="1">
      <c r="A1242" s="877">
        <v>34802</v>
      </c>
      <c r="B1242" s="880">
        <v>866.25</v>
      </c>
    </row>
    <row r="1243" spans="1:2" ht="16.149999999999999" customHeight="1">
      <c r="A1243" s="877">
        <v>34803</v>
      </c>
      <c r="B1243" s="878">
        <v>866.25</v>
      </c>
    </row>
    <row r="1244" spans="1:2" ht="16.149999999999999" customHeight="1">
      <c r="A1244" s="877">
        <v>34804</v>
      </c>
      <c r="B1244" s="880">
        <v>866.25</v>
      </c>
    </row>
    <row r="1245" spans="1:2" ht="16.149999999999999" customHeight="1">
      <c r="A1245" s="877">
        <v>34805</v>
      </c>
      <c r="B1245" s="878">
        <v>866.25</v>
      </c>
    </row>
    <row r="1246" spans="1:2" ht="16.149999999999999" customHeight="1">
      <c r="A1246" s="877">
        <v>34806</v>
      </c>
      <c r="B1246" s="880">
        <v>866.25</v>
      </c>
    </row>
    <row r="1247" spans="1:2" ht="16.149999999999999" customHeight="1">
      <c r="A1247" s="877">
        <v>34807</v>
      </c>
      <c r="B1247" s="878">
        <v>871.87</v>
      </c>
    </row>
    <row r="1248" spans="1:2" ht="16.149999999999999" customHeight="1">
      <c r="A1248" s="877">
        <v>34808</v>
      </c>
      <c r="B1248" s="880">
        <v>874.37</v>
      </c>
    </row>
    <row r="1249" spans="1:2" ht="16.149999999999999" customHeight="1">
      <c r="A1249" s="877">
        <v>34809</v>
      </c>
      <c r="B1249" s="878">
        <v>874.35</v>
      </c>
    </row>
    <row r="1250" spans="1:2" ht="16.149999999999999" customHeight="1">
      <c r="A1250" s="877">
        <v>34810</v>
      </c>
      <c r="B1250" s="880">
        <v>877.38</v>
      </c>
    </row>
    <row r="1251" spans="1:2" ht="16.149999999999999" customHeight="1">
      <c r="A1251" s="877">
        <v>34811</v>
      </c>
      <c r="B1251" s="878">
        <v>876.55</v>
      </c>
    </row>
    <row r="1252" spans="1:2" ht="16.149999999999999" customHeight="1">
      <c r="A1252" s="877">
        <v>34812</v>
      </c>
      <c r="B1252" s="880">
        <v>876.55</v>
      </c>
    </row>
    <row r="1253" spans="1:2" ht="16.149999999999999" customHeight="1">
      <c r="A1253" s="877">
        <v>34813</v>
      </c>
      <c r="B1253" s="878">
        <v>876.55</v>
      </c>
    </row>
    <row r="1254" spans="1:2" ht="16.149999999999999" customHeight="1">
      <c r="A1254" s="877">
        <v>34814</v>
      </c>
      <c r="B1254" s="880">
        <v>878.2</v>
      </c>
    </row>
    <row r="1255" spans="1:2" ht="16.149999999999999" customHeight="1">
      <c r="A1255" s="877">
        <v>34815</v>
      </c>
      <c r="B1255" s="878">
        <v>876.32</v>
      </c>
    </row>
    <row r="1256" spans="1:2" ht="16.149999999999999" customHeight="1">
      <c r="A1256" s="877">
        <v>34816</v>
      </c>
      <c r="B1256" s="880">
        <v>875.78</v>
      </c>
    </row>
    <row r="1257" spans="1:2" ht="16.149999999999999" customHeight="1">
      <c r="A1257" s="877">
        <v>34817</v>
      </c>
      <c r="B1257" s="878">
        <v>876.21</v>
      </c>
    </row>
    <row r="1258" spans="1:2" ht="16.149999999999999" customHeight="1">
      <c r="A1258" s="877">
        <v>34818</v>
      </c>
      <c r="B1258" s="880">
        <v>877.9</v>
      </c>
    </row>
    <row r="1259" spans="1:2" ht="16.149999999999999" customHeight="1">
      <c r="A1259" s="877">
        <v>34819</v>
      </c>
      <c r="B1259" s="878">
        <v>877.9</v>
      </c>
    </row>
    <row r="1260" spans="1:2" ht="16.149999999999999" customHeight="1">
      <c r="A1260" s="877">
        <v>34820</v>
      </c>
      <c r="B1260" s="880">
        <v>877.9</v>
      </c>
    </row>
    <row r="1261" spans="1:2" ht="16.149999999999999" customHeight="1">
      <c r="A1261" s="877">
        <v>34821</v>
      </c>
      <c r="B1261" s="878">
        <v>877.9</v>
      </c>
    </row>
    <row r="1262" spans="1:2" ht="16.149999999999999" customHeight="1">
      <c r="A1262" s="877">
        <v>34822</v>
      </c>
      <c r="B1262" s="880">
        <v>880.63</v>
      </c>
    </row>
    <row r="1263" spans="1:2" ht="16.149999999999999" customHeight="1">
      <c r="A1263" s="877">
        <v>34823</v>
      </c>
      <c r="B1263" s="878">
        <v>882.97</v>
      </c>
    </row>
    <row r="1264" spans="1:2" ht="16.149999999999999" customHeight="1">
      <c r="A1264" s="877">
        <v>34824</v>
      </c>
      <c r="B1264" s="880">
        <v>882.24</v>
      </c>
    </row>
    <row r="1265" spans="1:2" ht="16.149999999999999" customHeight="1">
      <c r="A1265" s="877">
        <v>34825</v>
      </c>
      <c r="B1265" s="878">
        <v>881.07</v>
      </c>
    </row>
    <row r="1266" spans="1:2" ht="16.149999999999999" customHeight="1">
      <c r="A1266" s="877">
        <v>34826</v>
      </c>
      <c r="B1266" s="880">
        <v>881.07</v>
      </c>
    </row>
    <row r="1267" spans="1:2" ht="16.149999999999999" customHeight="1">
      <c r="A1267" s="877">
        <v>34827</v>
      </c>
      <c r="B1267" s="878">
        <v>881.07</v>
      </c>
    </row>
    <row r="1268" spans="1:2" ht="16.149999999999999" customHeight="1">
      <c r="A1268" s="877">
        <v>34828</v>
      </c>
      <c r="B1268" s="880">
        <v>881.33</v>
      </c>
    </row>
    <row r="1269" spans="1:2" ht="16.149999999999999" customHeight="1">
      <c r="A1269" s="877">
        <v>34829</v>
      </c>
      <c r="B1269" s="878">
        <v>878.87</v>
      </c>
    </row>
    <row r="1270" spans="1:2" ht="16.149999999999999" customHeight="1">
      <c r="A1270" s="877">
        <v>34830</v>
      </c>
      <c r="B1270" s="880">
        <v>880.25</v>
      </c>
    </row>
    <row r="1271" spans="1:2" ht="16.149999999999999" customHeight="1">
      <c r="A1271" s="877">
        <v>34831</v>
      </c>
      <c r="B1271" s="878">
        <v>881.07</v>
      </c>
    </row>
    <row r="1272" spans="1:2" ht="16.149999999999999" customHeight="1">
      <c r="A1272" s="877">
        <v>34832</v>
      </c>
      <c r="B1272" s="880">
        <v>879.35</v>
      </c>
    </row>
    <row r="1273" spans="1:2" ht="16.149999999999999" customHeight="1">
      <c r="A1273" s="877">
        <v>34833</v>
      </c>
      <c r="B1273" s="878">
        <v>879.35</v>
      </c>
    </row>
    <row r="1274" spans="1:2" ht="16.149999999999999" customHeight="1">
      <c r="A1274" s="877">
        <v>34834</v>
      </c>
      <c r="B1274" s="880">
        <v>879.35</v>
      </c>
    </row>
    <row r="1275" spans="1:2" ht="16.149999999999999" customHeight="1">
      <c r="A1275" s="877">
        <v>34835</v>
      </c>
      <c r="B1275" s="878">
        <v>877.45</v>
      </c>
    </row>
    <row r="1276" spans="1:2" ht="16.149999999999999" customHeight="1">
      <c r="A1276" s="877">
        <v>34836</v>
      </c>
      <c r="B1276" s="880">
        <v>875.17</v>
      </c>
    </row>
    <row r="1277" spans="1:2" ht="16.149999999999999" customHeight="1">
      <c r="A1277" s="877">
        <v>34837</v>
      </c>
      <c r="B1277" s="878">
        <v>874.74</v>
      </c>
    </row>
    <row r="1278" spans="1:2" ht="16.149999999999999" customHeight="1">
      <c r="A1278" s="877">
        <v>34838</v>
      </c>
      <c r="B1278" s="880">
        <v>875.75</v>
      </c>
    </row>
    <row r="1279" spans="1:2" ht="16.149999999999999" customHeight="1">
      <c r="A1279" s="877">
        <v>34839</v>
      </c>
      <c r="B1279" s="878">
        <v>873.52</v>
      </c>
    </row>
    <row r="1280" spans="1:2" ht="16.149999999999999" customHeight="1">
      <c r="A1280" s="877">
        <v>34840</v>
      </c>
      <c r="B1280" s="880">
        <v>873.52</v>
      </c>
    </row>
    <row r="1281" spans="1:2" ht="16.149999999999999" customHeight="1">
      <c r="A1281" s="877">
        <v>34841</v>
      </c>
      <c r="B1281" s="878">
        <v>873.52</v>
      </c>
    </row>
    <row r="1282" spans="1:2" ht="16.149999999999999" customHeight="1">
      <c r="A1282" s="877">
        <v>34842</v>
      </c>
      <c r="B1282" s="880">
        <v>871.11</v>
      </c>
    </row>
    <row r="1283" spans="1:2" ht="16.149999999999999" customHeight="1">
      <c r="A1283" s="877">
        <v>34843</v>
      </c>
      <c r="B1283" s="878">
        <v>869.95</v>
      </c>
    </row>
    <row r="1284" spans="1:2" ht="16.149999999999999" customHeight="1">
      <c r="A1284" s="877">
        <v>34844</v>
      </c>
      <c r="B1284" s="880">
        <v>870.55</v>
      </c>
    </row>
    <row r="1285" spans="1:2" ht="16.149999999999999" customHeight="1">
      <c r="A1285" s="877">
        <v>34845</v>
      </c>
      <c r="B1285" s="878">
        <v>872.96</v>
      </c>
    </row>
    <row r="1286" spans="1:2" ht="16.149999999999999" customHeight="1">
      <c r="A1286" s="877">
        <v>34846</v>
      </c>
      <c r="B1286" s="880">
        <v>872.66</v>
      </c>
    </row>
    <row r="1287" spans="1:2" ht="16.149999999999999" customHeight="1">
      <c r="A1287" s="877">
        <v>34847</v>
      </c>
      <c r="B1287" s="878">
        <v>872.66</v>
      </c>
    </row>
    <row r="1288" spans="1:2" ht="16.149999999999999" customHeight="1">
      <c r="A1288" s="877">
        <v>34848</v>
      </c>
      <c r="B1288" s="880">
        <v>872.66</v>
      </c>
    </row>
    <row r="1289" spans="1:2" ht="16.149999999999999" customHeight="1">
      <c r="A1289" s="877">
        <v>34849</v>
      </c>
      <c r="B1289" s="878">
        <v>872.66</v>
      </c>
    </row>
    <row r="1290" spans="1:2" ht="16.149999999999999" customHeight="1">
      <c r="A1290" s="877">
        <v>34850</v>
      </c>
      <c r="B1290" s="880">
        <v>876.36</v>
      </c>
    </row>
    <row r="1291" spans="1:2" ht="16.149999999999999" customHeight="1">
      <c r="A1291" s="877">
        <v>34851</v>
      </c>
      <c r="B1291" s="878">
        <v>876.62</v>
      </c>
    </row>
    <row r="1292" spans="1:2" ht="16.149999999999999" customHeight="1">
      <c r="A1292" s="877">
        <v>34852</v>
      </c>
      <c r="B1292" s="880">
        <v>877.22</v>
      </c>
    </row>
    <row r="1293" spans="1:2" ht="16.149999999999999" customHeight="1">
      <c r="A1293" s="877">
        <v>34853</v>
      </c>
      <c r="B1293" s="878">
        <v>875.99</v>
      </c>
    </row>
    <row r="1294" spans="1:2" ht="16.149999999999999" customHeight="1">
      <c r="A1294" s="877">
        <v>34854</v>
      </c>
      <c r="B1294" s="880">
        <v>875.99</v>
      </c>
    </row>
    <row r="1295" spans="1:2" ht="16.149999999999999" customHeight="1">
      <c r="A1295" s="877">
        <v>34855</v>
      </c>
      <c r="B1295" s="878">
        <v>875.99</v>
      </c>
    </row>
    <row r="1296" spans="1:2" ht="16.149999999999999" customHeight="1">
      <c r="A1296" s="877">
        <v>34856</v>
      </c>
      <c r="B1296" s="880">
        <v>874.81</v>
      </c>
    </row>
    <row r="1297" spans="1:2" ht="16.149999999999999" customHeight="1">
      <c r="A1297" s="877">
        <v>34857</v>
      </c>
      <c r="B1297" s="878">
        <v>873.06</v>
      </c>
    </row>
    <row r="1298" spans="1:2" ht="16.149999999999999" customHeight="1">
      <c r="A1298" s="877">
        <v>34858</v>
      </c>
      <c r="B1298" s="880">
        <v>871.02</v>
      </c>
    </row>
    <row r="1299" spans="1:2" ht="16.149999999999999" customHeight="1">
      <c r="A1299" s="877">
        <v>34859</v>
      </c>
      <c r="B1299" s="878">
        <v>871.93</v>
      </c>
    </row>
    <row r="1300" spans="1:2" ht="16.149999999999999" customHeight="1">
      <c r="A1300" s="877">
        <v>34860</v>
      </c>
      <c r="B1300" s="880">
        <v>871.94</v>
      </c>
    </row>
    <row r="1301" spans="1:2" ht="16.149999999999999" customHeight="1">
      <c r="A1301" s="877">
        <v>34861</v>
      </c>
      <c r="B1301" s="878">
        <v>871.94</v>
      </c>
    </row>
    <row r="1302" spans="1:2" ht="16.149999999999999" customHeight="1">
      <c r="A1302" s="877">
        <v>34862</v>
      </c>
      <c r="B1302" s="880">
        <v>871.94</v>
      </c>
    </row>
    <row r="1303" spans="1:2" ht="16.149999999999999" customHeight="1">
      <c r="A1303" s="877">
        <v>34863</v>
      </c>
      <c r="B1303" s="878">
        <v>873.74</v>
      </c>
    </row>
    <row r="1304" spans="1:2" ht="16.149999999999999" customHeight="1">
      <c r="A1304" s="877">
        <v>34864</v>
      </c>
      <c r="B1304" s="880">
        <v>875.28</v>
      </c>
    </row>
    <row r="1305" spans="1:2" ht="16.149999999999999" customHeight="1">
      <c r="A1305" s="877">
        <v>34865</v>
      </c>
      <c r="B1305" s="878">
        <v>873.78</v>
      </c>
    </row>
    <row r="1306" spans="1:2" ht="16.149999999999999" customHeight="1">
      <c r="A1306" s="877">
        <v>34866</v>
      </c>
      <c r="B1306" s="880">
        <v>872.54</v>
      </c>
    </row>
    <row r="1307" spans="1:2" ht="16.149999999999999" customHeight="1">
      <c r="A1307" s="877">
        <v>34867</v>
      </c>
      <c r="B1307" s="878">
        <v>873.91</v>
      </c>
    </row>
    <row r="1308" spans="1:2" ht="16.149999999999999" customHeight="1">
      <c r="A1308" s="877">
        <v>34868</v>
      </c>
      <c r="B1308" s="880">
        <v>873.91</v>
      </c>
    </row>
    <row r="1309" spans="1:2" ht="16.149999999999999" customHeight="1">
      <c r="A1309" s="877">
        <v>34869</v>
      </c>
      <c r="B1309" s="878">
        <v>873.91</v>
      </c>
    </row>
    <row r="1310" spans="1:2" ht="16.149999999999999" customHeight="1">
      <c r="A1310" s="877">
        <v>34870</v>
      </c>
      <c r="B1310" s="880">
        <v>873.91</v>
      </c>
    </row>
    <row r="1311" spans="1:2" ht="16.149999999999999" customHeight="1">
      <c r="A1311" s="877">
        <v>34871</v>
      </c>
      <c r="B1311" s="878">
        <v>875.59</v>
      </c>
    </row>
    <row r="1312" spans="1:2" ht="16.149999999999999" customHeight="1">
      <c r="A1312" s="877">
        <v>34872</v>
      </c>
      <c r="B1312" s="880">
        <v>875.32</v>
      </c>
    </row>
    <row r="1313" spans="1:2" ht="16.149999999999999" customHeight="1">
      <c r="A1313" s="877">
        <v>34873</v>
      </c>
      <c r="B1313" s="878">
        <v>874.81</v>
      </c>
    </row>
    <row r="1314" spans="1:2" ht="16.149999999999999" customHeight="1">
      <c r="A1314" s="877">
        <v>34874</v>
      </c>
      <c r="B1314" s="880">
        <v>873.64</v>
      </c>
    </row>
    <row r="1315" spans="1:2" ht="16.149999999999999" customHeight="1">
      <c r="A1315" s="877">
        <v>34875</v>
      </c>
      <c r="B1315" s="878">
        <v>873.64</v>
      </c>
    </row>
    <row r="1316" spans="1:2" ht="16.149999999999999" customHeight="1">
      <c r="A1316" s="877">
        <v>34876</v>
      </c>
      <c r="B1316" s="880">
        <v>873.64</v>
      </c>
    </row>
    <row r="1317" spans="1:2" ht="16.149999999999999" customHeight="1">
      <c r="A1317" s="877">
        <v>34877</v>
      </c>
      <c r="B1317" s="878">
        <v>873.64</v>
      </c>
    </row>
    <row r="1318" spans="1:2" ht="16.149999999999999" customHeight="1">
      <c r="A1318" s="877">
        <v>34878</v>
      </c>
      <c r="B1318" s="880">
        <v>875.95</v>
      </c>
    </row>
    <row r="1319" spans="1:2" ht="16.149999999999999" customHeight="1">
      <c r="A1319" s="877">
        <v>34879</v>
      </c>
      <c r="B1319" s="878">
        <v>878.8</v>
      </c>
    </row>
    <row r="1320" spans="1:2" ht="16.149999999999999" customHeight="1">
      <c r="A1320" s="877">
        <v>34880</v>
      </c>
      <c r="B1320" s="880">
        <v>881.23</v>
      </c>
    </row>
    <row r="1321" spans="1:2" ht="16.149999999999999" customHeight="1">
      <c r="A1321" s="877">
        <v>34881</v>
      </c>
      <c r="B1321" s="878">
        <v>880.49</v>
      </c>
    </row>
    <row r="1322" spans="1:2" ht="16.149999999999999" customHeight="1">
      <c r="A1322" s="877">
        <v>34882</v>
      </c>
      <c r="B1322" s="880">
        <v>880.49</v>
      </c>
    </row>
    <row r="1323" spans="1:2" ht="16.149999999999999" customHeight="1">
      <c r="A1323" s="877">
        <v>34883</v>
      </c>
      <c r="B1323" s="878">
        <v>880.49</v>
      </c>
    </row>
    <row r="1324" spans="1:2" ht="16.149999999999999" customHeight="1">
      <c r="A1324" s="877">
        <v>34884</v>
      </c>
      <c r="B1324" s="880">
        <v>880.49</v>
      </c>
    </row>
    <row r="1325" spans="1:2" ht="16.149999999999999" customHeight="1">
      <c r="A1325" s="877">
        <v>34885</v>
      </c>
      <c r="B1325" s="878">
        <v>883.81</v>
      </c>
    </row>
    <row r="1326" spans="1:2" ht="16.149999999999999" customHeight="1">
      <c r="A1326" s="877">
        <v>34886</v>
      </c>
      <c r="B1326" s="880">
        <v>887.3</v>
      </c>
    </row>
    <row r="1327" spans="1:2" ht="16.149999999999999" customHeight="1">
      <c r="A1327" s="877">
        <v>34887</v>
      </c>
      <c r="B1327" s="878">
        <v>891.28</v>
      </c>
    </row>
    <row r="1328" spans="1:2" ht="16.149999999999999" customHeight="1">
      <c r="A1328" s="877">
        <v>34888</v>
      </c>
      <c r="B1328" s="880">
        <v>891.44</v>
      </c>
    </row>
    <row r="1329" spans="1:2" ht="16.149999999999999" customHeight="1">
      <c r="A1329" s="877">
        <v>34889</v>
      </c>
      <c r="B1329" s="878">
        <v>891.44</v>
      </c>
    </row>
    <row r="1330" spans="1:2" ht="16.149999999999999" customHeight="1">
      <c r="A1330" s="877">
        <v>34890</v>
      </c>
      <c r="B1330" s="880">
        <v>891.44</v>
      </c>
    </row>
    <row r="1331" spans="1:2" ht="16.149999999999999" customHeight="1">
      <c r="A1331" s="877">
        <v>34891</v>
      </c>
      <c r="B1331" s="878">
        <v>897.12</v>
      </c>
    </row>
    <row r="1332" spans="1:2" ht="16.149999999999999" customHeight="1">
      <c r="A1332" s="877">
        <v>34892</v>
      </c>
      <c r="B1332" s="880">
        <v>897.51</v>
      </c>
    </row>
    <row r="1333" spans="1:2" ht="16.149999999999999" customHeight="1">
      <c r="A1333" s="877">
        <v>34893</v>
      </c>
      <c r="B1333" s="878">
        <v>895.84</v>
      </c>
    </row>
    <row r="1334" spans="1:2" ht="16.149999999999999" customHeight="1">
      <c r="A1334" s="877">
        <v>34894</v>
      </c>
      <c r="B1334" s="880">
        <v>892.82</v>
      </c>
    </row>
    <row r="1335" spans="1:2" ht="16.149999999999999" customHeight="1">
      <c r="A1335" s="877">
        <v>34895</v>
      </c>
      <c r="B1335" s="878">
        <v>893.36</v>
      </c>
    </row>
    <row r="1336" spans="1:2" ht="16.149999999999999" customHeight="1">
      <c r="A1336" s="877">
        <v>34896</v>
      </c>
      <c r="B1336" s="880">
        <v>893.36</v>
      </c>
    </row>
    <row r="1337" spans="1:2" ht="16.149999999999999" customHeight="1">
      <c r="A1337" s="877">
        <v>34897</v>
      </c>
      <c r="B1337" s="878">
        <v>893.36</v>
      </c>
    </row>
    <row r="1338" spans="1:2" ht="16.149999999999999" customHeight="1">
      <c r="A1338" s="877">
        <v>34898</v>
      </c>
      <c r="B1338" s="880">
        <v>891.76</v>
      </c>
    </row>
    <row r="1339" spans="1:2" ht="16.149999999999999" customHeight="1">
      <c r="A1339" s="877">
        <v>34899</v>
      </c>
      <c r="B1339" s="878">
        <v>894.03</v>
      </c>
    </row>
    <row r="1340" spans="1:2" ht="16.149999999999999" customHeight="1">
      <c r="A1340" s="877">
        <v>34900</v>
      </c>
      <c r="B1340" s="880">
        <v>894.5</v>
      </c>
    </row>
    <row r="1341" spans="1:2" ht="16.149999999999999" customHeight="1">
      <c r="A1341" s="877">
        <v>34901</v>
      </c>
      <c r="B1341" s="878">
        <v>894.5</v>
      </c>
    </row>
    <row r="1342" spans="1:2" ht="16.149999999999999" customHeight="1">
      <c r="A1342" s="877">
        <v>34902</v>
      </c>
      <c r="B1342" s="880">
        <v>894.98</v>
      </c>
    </row>
    <row r="1343" spans="1:2" ht="16.149999999999999" customHeight="1">
      <c r="A1343" s="877">
        <v>34903</v>
      </c>
      <c r="B1343" s="878">
        <v>894.98</v>
      </c>
    </row>
    <row r="1344" spans="1:2" ht="16.149999999999999" customHeight="1">
      <c r="A1344" s="877">
        <v>34904</v>
      </c>
      <c r="B1344" s="880">
        <v>894.98</v>
      </c>
    </row>
    <row r="1345" spans="1:2" ht="16.149999999999999" customHeight="1">
      <c r="A1345" s="877">
        <v>34905</v>
      </c>
      <c r="B1345" s="878">
        <v>896.68</v>
      </c>
    </row>
    <row r="1346" spans="1:2" ht="16.149999999999999" customHeight="1">
      <c r="A1346" s="877">
        <v>34906</v>
      </c>
      <c r="B1346" s="880">
        <v>897.32</v>
      </c>
    </row>
    <row r="1347" spans="1:2" ht="16.149999999999999" customHeight="1">
      <c r="A1347" s="877">
        <v>34907</v>
      </c>
      <c r="B1347" s="878">
        <v>897.77</v>
      </c>
    </row>
    <row r="1348" spans="1:2" ht="16.149999999999999" customHeight="1">
      <c r="A1348" s="877">
        <v>34908</v>
      </c>
      <c r="B1348" s="880">
        <v>895.56</v>
      </c>
    </row>
    <row r="1349" spans="1:2" ht="16.149999999999999" customHeight="1">
      <c r="A1349" s="877">
        <v>34909</v>
      </c>
      <c r="B1349" s="878">
        <v>897.63</v>
      </c>
    </row>
    <row r="1350" spans="1:2" ht="16.149999999999999" customHeight="1">
      <c r="A1350" s="877">
        <v>34910</v>
      </c>
      <c r="B1350" s="880">
        <v>897.63</v>
      </c>
    </row>
    <row r="1351" spans="1:2" ht="16.149999999999999" customHeight="1">
      <c r="A1351" s="877">
        <v>34911</v>
      </c>
      <c r="B1351" s="878">
        <v>897.63</v>
      </c>
    </row>
    <row r="1352" spans="1:2" ht="16.149999999999999" customHeight="1">
      <c r="A1352" s="877">
        <v>34912</v>
      </c>
      <c r="B1352" s="880">
        <v>898.35</v>
      </c>
    </row>
    <row r="1353" spans="1:2" ht="16.149999999999999" customHeight="1">
      <c r="A1353" s="877">
        <v>34913</v>
      </c>
      <c r="B1353" s="878">
        <v>900.78</v>
      </c>
    </row>
    <row r="1354" spans="1:2" ht="16.149999999999999" customHeight="1">
      <c r="A1354" s="877">
        <v>34914</v>
      </c>
      <c r="B1354" s="880">
        <v>905.53</v>
      </c>
    </row>
    <row r="1355" spans="1:2" ht="16.149999999999999" customHeight="1">
      <c r="A1355" s="877">
        <v>34915</v>
      </c>
      <c r="B1355" s="878">
        <v>917.53</v>
      </c>
    </row>
    <row r="1356" spans="1:2" ht="16.149999999999999" customHeight="1">
      <c r="A1356" s="877">
        <v>34916</v>
      </c>
      <c r="B1356" s="880">
        <v>916.14</v>
      </c>
    </row>
    <row r="1357" spans="1:2" ht="16.149999999999999" customHeight="1">
      <c r="A1357" s="877">
        <v>34917</v>
      </c>
      <c r="B1357" s="878">
        <v>916.14</v>
      </c>
    </row>
    <row r="1358" spans="1:2" ht="16.149999999999999" customHeight="1">
      <c r="A1358" s="877">
        <v>34918</v>
      </c>
      <c r="B1358" s="880">
        <v>916.14</v>
      </c>
    </row>
    <row r="1359" spans="1:2" ht="16.149999999999999" customHeight="1">
      <c r="A1359" s="877">
        <v>34919</v>
      </c>
      <c r="B1359" s="878">
        <v>916.14</v>
      </c>
    </row>
    <row r="1360" spans="1:2" ht="16.149999999999999" customHeight="1">
      <c r="A1360" s="877">
        <v>34920</v>
      </c>
      <c r="B1360" s="880">
        <v>920.1</v>
      </c>
    </row>
    <row r="1361" spans="1:2" ht="16.149999999999999" customHeight="1">
      <c r="A1361" s="877">
        <v>34921</v>
      </c>
      <c r="B1361" s="878">
        <v>919.32</v>
      </c>
    </row>
    <row r="1362" spans="1:2" ht="16.149999999999999" customHeight="1">
      <c r="A1362" s="877">
        <v>34922</v>
      </c>
      <c r="B1362" s="880">
        <v>917.13</v>
      </c>
    </row>
    <row r="1363" spans="1:2" ht="16.149999999999999" customHeight="1">
      <c r="A1363" s="877">
        <v>34923</v>
      </c>
      <c r="B1363" s="878">
        <v>919.13</v>
      </c>
    </row>
    <row r="1364" spans="1:2" ht="16.149999999999999" customHeight="1">
      <c r="A1364" s="877">
        <v>34924</v>
      </c>
      <c r="B1364" s="880">
        <v>919.13</v>
      </c>
    </row>
    <row r="1365" spans="1:2" ht="16.149999999999999" customHeight="1">
      <c r="A1365" s="877">
        <v>34925</v>
      </c>
      <c r="B1365" s="878">
        <v>919.13</v>
      </c>
    </row>
    <row r="1366" spans="1:2" ht="16.149999999999999" customHeight="1">
      <c r="A1366" s="877">
        <v>34926</v>
      </c>
      <c r="B1366" s="880">
        <v>922.21</v>
      </c>
    </row>
    <row r="1367" spans="1:2" ht="16.149999999999999" customHeight="1">
      <c r="A1367" s="877">
        <v>34927</v>
      </c>
      <c r="B1367" s="878">
        <v>928.25</v>
      </c>
    </row>
    <row r="1368" spans="1:2" ht="16.149999999999999" customHeight="1">
      <c r="A1368" s="877">
        <v>34928</v>
      </c>
      <c r="B1368" s="880">
        <v>944.55</v>
      </c>
    </row>
    <row r="1369" spans="1:2" ht="16.149999999999999" customHeight="1">
      <c r="A1369" s="877">
        <v>34929</v>
      </c>
      <c r="B1369" s="878">
        <v>947.22</v>
      </c>
    </row>
    <row r="1370" spans="1:2" ht="16.149999999999999" customHeight="1">
      <c r="A1370" s="877">
        <v>34930</v>
      </c>
      <c r="B1370" s="880">
        <v>946.83</v>
      </c>
    </row>
    <row r="1371" spans="1:2" ht="16.149999999999999" customHeight="1">
      <c r="A1371" s="877">
        <v>34931</v>
      </c>
      <c r="B1371" s="878">
        <v>946.83</v>
      </c>
    </row>
    <row r="1372" spans="1:2" ht="16.149999999999999" customHeight="1">
      <c r="A1372" s="877">
        <v>34932</v>
      </c>
      <c r="B1372" s="880">
        <v>946.83</v>
      </c>
    </row>
    <row r="1373" spans="1:2" ht="16.149999999999999" customHeight="1">
      <c r="A1373" s="877">
        <v>34933</v>
      </c>
      <c r="B1373" s="878">
        <v>946.83</v>
      </c>
    </row>
    <row r="1374" spans="1:2" ht="16.149999999999999" customHeight="1">
      <c r="A1374" s="877">
        <v>34934</v>
      </c>
      <c r="B1374" s="880">
        <v>949.51</v>
      </c>
    </row>
    <row r="1375" spans="1:2" ht="16.149999999999999" customHeight="1">
      <c r="A1375" s="877">
        <v>34935</v>
      </c>
      <c r="B1375" s="878">
        <v>955.12</v>
      </c>
    </row>
    <row r="1376" spans="1:2" ht="16.149999999999999" customHeight="1">
      <c r="A1376" s="877">
        <v>34936</v>
      </c>
      <c r="B1376" s="880">
        <v>962.6</v>
      </c>
    </row>
    <row r="1377" spans="1:2" ht="16.149999999999999" customHeight="1">
      <c r="A1377" s="877">
        <v>34937</v>
      </c>
      <c r="B1377" s="878">
        <v>970.65</v>
      </c>
    </row>
    <row r="1378" spans="1:2" ht="16.149999999999999" customHeight="1">
      <c r="A1378" s="877">
        <v>34938</v>
      </c>
      <c r="B1378" s="880">
        <v>970.65</v>
      </c>
    </row>
    <row r="1379" spans="1:2" ht="16.149999999999999" customHeight="1">
      <c r="A1379" s="877">
        <v>34939</v>
      </c>
      <c r="B1379" s="878">
        <v>970.65</v>
      </c>
    </row>
    <row r="1380" spans="1:2" ht="16.149999999999999" customHeight="1">
      <c r="A1380" s="877">
        <v>34940</v>
      </c>
      <c r="B1380" s="880">
        <v>972.03</v>
      </c>
    </row>
    <row r="1381" spans="1:2" ht="16.149999999999999" customHeight="1">
      <c r="A1381" s="877">
        <v>34941</v>
      </c>
      <c r="B1381" s="878">
        <v>963.93</v>
      </c>
    </row>
    <row r="1382" spans="1:2" ht="16.149999999999999" customHeight="1">
      <c r="A1382" s="877">
        <v>34942</v>
      </c>
      <c r="B1382" s="880">
        <v>960.19</v>
      </c>
    </row>
    <row r="1383" spans="1:2" ht="16.149999999999999" customHeight="1">
      <c r="A1383" s="877">
        <v>34943</v>
      </c>
      <c r="B1383" s="878">
        <v>949.35</v>
      </c>
    </row>
    <row r="1384" spans="1:2" ht="16.149999999999999" customHeight="1">
      <c r="A1384" s="877">
        <v>34944</v>
      </c>
      <c r="B1384" s="880">
        <v>948.23</v>
      </c>
    </row>
    <row r="1385" spans="1:2" ht="16.149999999999999" customHeight="1">
      <c r="A1385" s="877">
        <v>34945</v>
      </c>
      <c r="B1385" s="878">
        <v>948.23</v>
      </c>
    </row>
    <row r="1386" spans="1:2" ht="16.149999999999999" customHeight="1">
      <c r="A1386" s="877">
        <v>34946</v>
      </c>
      <c r="B1386" s="880">
        <v>948.23</v>
      </c>
    </row>
    <row r="1387" spans="1:2" ht="16.149999999999999" customHeight="1">
      <c r="A1387" s="877">
        <v>34947</v>
      </c>
      <c r="B1387" s="878">
        <v>957.54</v>
      </c>
    </row>
    <row r="1388" spans="1:2" ht="16.149999999999999" customHeight="1">
      <c r="A1388" s="877">
        <v>34948</v>
      </c>
      <c r="B1388" s="880">
        <v>958.46</v>
      </c>
    </row>
    <row r="1389" spans="1:2" ht="16.149999999999999" customHeight="1">
      <c r="A1389" s="877">
        <v>34949</v>
      </c>
      <c r="B1389" s="878">
        <v>953.63</v>
      </c>
    </row>
    <row r="1390" spans="1:2" ht="16.149999999999999" customHeight="1">
      <c r="A1390" s="877">
        <v>34950</v>
      </c>
      <c r="B1390" s="880">
        <v>954.64</v>
      </c>
    </row>
    <row r="1391" spans="1:2" ht="16.149999999999999" customHeight="1">
      <c r="A1391" s="877">
        <v>34951</v>
      </c>
      <c r="B1391" s="878">
        <v>958.31</v>
      </c>
    </row>
    <row r="1392" spans="1:2" ht="16.149999999999999" customHeight="1">
      <c r="A1392" s="877">
        <v>34952</v>
      </c>
      <c r="B1392" s="880">
        <v>958.31</v>
      </c>
    </row>
    <row r="1393" spans="1:2" ht="16.149999999999999" customHeight="1">
      <c r="A1393" s="877">
        <v>34953</v>
      </c>
      <c r="B1393" s="878">
        <v>958.31</v>
      </c>
    </row>
    <row r="1394" spans="1:2" ht="16.149999999999999" customHeight="1">
      <c r="A1394" s="877">
        <v>34954</v>
      </c>
      <c r="B1394" s="880">
        <v>958.59</v>
      </c>
    </row>
    <row r="1395" spans="1:2" ht="16.149999999999999" customHeight="1">
      <c r="A1395" s="877">
        <v>34955</v>
      </c>
      <c r="B1395" s="878">
        <v>959.18</v>
      </c>
    </row>
    <row r="1396" spans="1:2" ht="16.149999999999999" customHeight="1">
      <c r="A1396" s="877">
        <v>34956</v>
      </c>
      <c r="B1396" s="880">
        <v>959.15</v>
      </c>
    </row>
    <row r="1397" spans="1:2" ht="16.149999999999999" customHeight="1">
      <c r="A1397" s="877">
        <v>34957</v>
      </c>
      <c r="B1397" s="878">
        <v>960.25</v>
      </c>
    </row>
    <row r="1398" spans="1:2" ht="16.149999999999999" customHeight="1">
      <c r="A1398" s="877">
        <v>34958</v>
      </c>
      <c r="B1398" s="880">
        <v>960.91</v>
      </c>
    </row>
    <row r="1399" spans="1:2" ht="16.149999999999999" customHeight="1">
      <c r="A1399" s="877">
        <v>34959</v>
      </c>
      <c r="B1399" s="878">
        <v>960.91</v>
      </c>
    </row>
    <row r="1400" spans="1:2" ht="16.149999999999999" customHeight="1">
      <c r="A1400" s="877">
        <v>34960</v>
      </c>
      <c r="B1400" s="880">
        <v>960.91</v>
      </c>
    </row>
    <row r="1401" spans="1:2" ht="16.149999999999999" customHeight="1">
      <c r="A1401" s="877">
        <v>34961</v>
      </c>
      <c r="B1401" s="878">
        <v>962.5</v>
      </c>
    </row>
    <row r="1402" spans="1:2" ht="16.149999999999999" customHeight="1">
      <c r="A1402" s="877">
        <v>34962</v>
      </c>
      <c r="B1402" s="880">
        <v>970.08</v>
      </c>
    </row>
    <row r="1403" spans="1:2" ht="16.149999999999999" customHeight="1">
      <c r="A1403" s="877">
        <v>34963</v>
      </c>
      <c r="B1403" s="878">
        <v>974.88</v>
      </c>
    </row>
    <row r="1404" spans="1:2" ht="16.149999999999999" customHeight="1">
      <c r="A1404" s="877">
        <v>34964</v>
      </c>
      <c r="B1404" s="880">
        <v>974.23</v>
      </c>
    </row>
    <row r="1405" spans="1:2" ht="16.149999999999999" customHeight="1">
      <c r="A1405" s="877">
        <v>34965</v>
      </c>
      <c r="B1405" s="878">
        <v>975.9</v>
      </c>
    </row>
    <row r="1406" spans="1:2" ht="16.149999999999999" customHeight="1">
      <c r="A1406" s="877">
        <v>34966</v>
      </c>
      <c r="B1406" s="880">
        <v>975.9</v>
      </c>
    </row>
    <row r="1407" spans="1:2" ht="16.149999999999999" customHeight="1">
      <c r="A1407" s="877">
        <v>34967</v>
      </c>
      <c r="B1407" s="878">
        <v>975.9</v>
      </c>
    </row>
    <row r="1408" spans="1:2" ht="16.149999999999999" customHeight="1">
      <c r="A1408" s="877">
        <v>34968</v>
      </c>
      <c r="B1408" s="880">
        <v>977.35</v>
      </c>
    </row>
    <row r="1409" spans="1:2" ht="16.149999999999999" customHeight="1">
      <c r="A1409" s="877">
        <v>34969</v>
      </c>
      <c r="B1409" s="878">
        <v>980.54</v>
      </c>
    </row>
    <row r="1410" spans="1:2" ht="16.149999999999999" customHeight="1">
      <c r="A1410" s="877">
        <v>34970</v>
      </c>
      <c r="B1410" s="880">
        <v>981.09</v>
      </c>
    </row>
    <row r="1411" spans="1:2" ht="16.149999999999999" customHeight="1">
      <c r="A1411" s="877">
        <v>34971</v>
      </c>
      <c r="B1411" s="878">
        <v>972.8</v>
      </c>
    </row>
    <row r="1412" spans="1:2" ht="16.149999999999999" customHeight="1">
      <c r="A1412" s="877">
        <v>34972</v>
      </c>
      <c r="B1412" s="880">
        <v>966.78</v>
      </c>
    </row>
    <row r="1413" spans="1:2" ht="16.149999999999999" customHeight="1">
      <c r="A1413" s="877">
        <v>34973</v>
      </c>
      <c r="B1413" s="878">
        <v>966.78</v>
      </c>
    </row>
    <row r="1414" spans="1:2" ht="16.149999999999999" customHeight="1">
      <c r="A1414" s="877">
        <v>34974</v>
      </c>
      <c r="B1414" s="880">
        <v>966.78</v>
      </c>
    </row>
    <row r="1415" spans="1:2" ht="16.149999999999999" customHeight="1">
      <c r="A1415" s="877">
        <v>34975</v>
      </c>
      <c r="B1415" s="878">
        <v>971.22</v>
      </c>
    </row>
    <row r="1416" spans="1:2" ht="16.149999999999999" customHeight="1">
      <c r="A1416" s="877">
        <v>34976</v>
      </c>
      <c r="B1416" s="880">
        <v>976.76</v>
      </c>
    </row>
    <row r="1417" spans="1:2" ht="16.149999999999999" customHeight="1">
      <c r="A1417" s="877">
        <v>34977</v>
      </c>
      <c r="B1417" s="878">
        <v>972.75</v>
      </c>
    </row>
    <row r="1418" spans="1:2" ht="16.149999999999999" customHeight="1">
      <c r="A1418" s="877">
        <v>34978</v>
      </c>
      <c r="B1418" s="880">
        <v>972.93</v>
      </c>
    </row>
    <row r="1419" spans="1:2" ht="16.149999999999999" customHeight="1">
      <c r="A1419" s="877">
        <v>34979</v>
      </c>
      <c r="B1419" s="878">
        <v>979.16</v>
      </c>
    </row>
    <row r="1420" spans="1:2" ht="16.149999999999999" customHeight="1">
      <c r="A1420" s="877">
        <v>34980</v>
      </c>
      <c r="B1420" s="880">
        <v>979.16</v>
      </c>
    </row>
    <row r="1421" spans="1:2" ht="16.149999999999999" customHeight="1">
      <c r="A1421" s="877">
        <v>34981</v>
      </c>
      <c r="B1421" s="878">
        <v>979.16</v>
      </c>
    </row>
    <row r="1422" spans="1:2" ht="16.149999999999999" customHeight="1">
      <c r="A1422" s="877">
        <v>34982</v>
      </c>
      <c r="B1422" s="880">
        <v>982.84</v>
      </c>
    </row>
    <row r="1423" spans="1:2" ht="16.149999999999999" customHeight="1">
      <c r="A1423" s="877">
        <v>34983</v>
      </c>
      <c r="B1423" s="878">
        <v>981.45</v>
      </c>
    </row>
    <row r="1424" spans="1:2" ht="16.149999999999999" customHeight="1">
      <c r="A1424" s="877">
        <v>34984</v>
      </c>
      <c r="B1424" s="880">
        <v>981.26</v>
      </c>
    </row>
    <row r="1425" spans="1:2" ht="16.149999999999999" customHeight="1">
      <c r="A1425" s="877">
        <v>34985</v>
      </c>
      <c r="B1425" s="878">
        <v>984.88</v>
      </c>
    </row>
    <row r="1426" spans="1:2" ht="16.149999999999999" customHeight="1">
      <c r="A1426" s="877">
        <v>34986</v>
      </c>
      <c r="B1426" s="880">
        <v>987</v>
      </c>
    </row>
    <row r="1427" spans="1:2" ht="16.149999999999999" customHeight="1">
      <c r="A1427" s="877">
        <v>34987</v>
      </c>
      <c r="B1427" s="878">
        <v>987</v>
      </c>
    </row>
    <row r="1428" spans="1:2" ht="16.149999999999999" customHeight="1">
      <c r="A1428" s="877">
        <v>34988</v>
      </c>
      <c r="B1428" s="880">
        <v>987</v>
      </c>
    </row>
    <row r="1429" spans="1:2" ht="16.149999999999999" customHeight="1">
      <c r="A1429" s="877">
        <v>34989</v>
      </c>
      <c r="B1429" s="878">
        <v>987</v>
      </c>
    </row>
    <row r="1430" spans="1:2" ht="16.149999999999999" customHeight="1">
      <c r="A1430" s="877">
        <v>34990</v>
      </c>
      <c r="B1430" s="880">
        <v>990.52</v>
      </c>
    </row>
    <row r="1431" spans="1:2" ht="16.149999999999999" customHeight="1">
      <c r="A1431" s="877">
        <v>34991</v>
      </c>
      <c r="B1431" s="878">
        <v>991.22</v>
      </c>
    </row>
    <row r="1432" spans="1:2" ht="16.149999999999999" customHeight="1">
      <c r="A1432" s="877">
        <v>34992</v>
      </c>
      <c r="B1432" s="880">
        <v>991.52</v>
      </c>
    </row>
    <row r="1433" spans="1:2" ht="16.149999999999999" customHeight="1">
      <c r="A1433" s="877">
        <v>34993</v>
      </c>
      <c r="B1433" s="878">
        <v>988.96</v>
      </c>
    </row>
    <row r="1434" spans="1:2" ht="16.149999999999999" customHeight="1">
      <c r="A1434" s="877">
        <v>34994</v>
      </c>
      <c r="B1434" s="880">
        <v>988.96</v>
      </c>
    </row>
    <row r="1435" spans="1:2" ht="16.149999999999999" customHeight="1">
      <c r="A1435" s="877">
        <v>34995</v>
      </c>
      <c r="B1435" s="878">
        <v>988.96</v>
      </c>
    </row>
    <row r="1436" spans="1:2" ht="16.149999999999999" customHeight="1">
      <c r="A1436" s="877">
        <v>34996</v>
      </c>
      <c r="B1436" s="880">
        <v>991.98</v>
      </c>
    </row>
    <row r="1437" spans="1:2" ht="16.149999999999999" customHeight="1">
      <c r="A1437" s="877">
        <v>34997</v>
      </c>
      <c r="B1437" s="878">
        <v>993.68</v>
      </c>
    </row>
    <row r="1438" spans="1:2" ht="16.149999999999999" customHeight="1">
      <c r="A1438" s="877">
        <v>34998</v>
      </c>
      <c r="B1438" s="880">
        <v>994.77</v>
      </c>
    </row>
    <row r="1439" spans="1:2" ht="16.149999999999999" customHeight="1">
      <c r="A1439" s="877">
        <v>34999</v>
      </c>
      <c r="B1439" s="878">
        <v>995.01</v>
      </c>
    </row>
    <row r="1440" spans="1:2" ht="16.149999999999999" customHeight="1">
      <c r="A1440" s="877">
        <v>35000</v>
      </c>
      <c r="B1440" s="880">
        <v>994.99</v>
      </c>
    </row>
    <row r="1441" spans="1:2" ht="16.149999999999999" customHeight="1">
      <c r="A1441" s="877">
        <v>35001</v>
      </c>
      <c r="B1441" s="878">
        <v>994.99</v>
      </c>
    </row>
    <row r="1442" spans="1:2" ht="16.149999999999999" customHeight="1">
      <c r="A1442" s="877">
        <v>35002</v>
      </c>
      <c r="B1442" s="880">
        <v>994.99</v>
      </c>
    </row>
    <row r="1443" spans="1:2" ht="16.149999999999999" customHeight="1">
      <c r="A1443" s="877">
        <v>35003</v>
      </c>
      <c r="B1443" s="878">
        <v>994.5</v>
      </c>
    </row>
    <row r="1444" spans="1:2" ht="16.149999999999999" customHeight="1">
      <c r="A1444" s="877">
        <v>35004</v>
      </c>
      <c r="B1444" s="880">
        <v>996.76</v>
      </c>
    </row>
    <row r="1445" spans="1:2" ht="16.149999999999999" customHeight="1">
      <c r="A1445" s="877">
        <v>35005</v>
      </c>
      <c r="B1445" s="878">
        <v>996.96</v>
      </c>
    </row>
    <row r="1446" spans="1:2" ht="16.149999999999999" customHeight="1">
      <c r="A1446" s="877">
        <v>35006</v>
      </c>
      <c r="B1446" s="880">
        <v>998.18</v>
      </c>
    </row>
    <row r="1447" spans="1:2" ht="16.149999999999999" customHeight="1">
      <c r="A1447" s="877">
        <v>35007</v>
      </c>
      <c r="B1447" s="878">
        <v>998.49</v>
      </c>
    </row>
    <row r="1448" spans="1:2" ht="16.149999999999999" customHeight="1">
      <c r="A1448" s="877">
        <v>35008</v>
      </c>
      <c r="B1448" s="880">
        <v>998.49</v>
      </c>
    </row>
    <row r="1449" spans="1:2" ht="16.149999999999999" customHeight="1">
      <c r="A1449" s="877">
        <v>35009</v>
      </c>
      <c r="B1449" s="878">
        <v>998.49</v>
      </c>
    </row>
    <row r="1450" spans="1:2" ht="16.149999999999999" customHeight="1">
      <c r="A1450" s="877">
        <v>35010</v>
      </c>
      <c r="B1450" s="880">
        <v>998.49</v>
      </c>
    </row>
    <row r="1451" spans="1:2" ht="16.149999999999999" customHeight="1">
      <c r="A1451" s="877">
        <v>35011</v>
      </c>
      <c r="B1451" s="878">
        <v>999.51</v>
      </c>
    </row>
    <row r="1452" spans="1:2" ht="16.149999999999999" customHeight="1">
      <c r="A1452" s="877">
        <v>35012</v>
      </c>
      <c r="B1452" s="880">
        <v>999.73</v>
      </c>
    </row>
    <row r="1453" spans="1:2" ht="16.149999999999999" customHeight="1">
      <c r="A1453" s="877">
        <v>35013</v>
      </c>
      <c r="B1453" s="878">
        <v>1000.13</v>
      </c>
    </row>
    <row r="1454" spans="1:2" ht="16.149999999999999" customHeight="1">
      <c r="A1454" s="877">
        <v>35014</v>
      </c>
      <c r="B1454" s="880">
        <v>999.77</v>
      </c>
    </row>
    <row r="1455" spans="1:2" ht="16.149999999999999" customHeight="1">
      <c r="A1455" s="877">
        <v>35015</v>
      </c>
      <c r="B1455" s="878">
        <v>999.77</v>
      </c>
    </row>
    <row r="1456" spans="1:2" ht="16.149999999999999" customHeight="1">
      <c r="A1456" s="877">
        <v>35016</v>
      </c>
      <c r="B1456" s="880">
        <v>999.77</v>
      </c>
    </row>
    <row r="1457" spans="1:2" ht="16.149999999999999" customHeight="1">
      <c r="A1457" s="877">
        <v>35017</v>
      </c>
      <c r="B1457" s="878">
        <v>999.77</v>
      </c>
    </row>
    <row r="1458" spans="1:2" ht="16.149999999999999" customHeight="1">
      <c r="A1458" s="877">
        <v>35018</v>
      </c>
      <c r="B1458" s="880">
        <v>1001.14</v>
      </c>
    </row>
    <row r="1459" spans="1:2" ht="16.149999999999999" customHeight="1">
      <c r="A1459" s="877">
        <v>35019</v>
      </c>
      <c r="B1459" s="878">
        <v>1001.62</v>
      </c>
    </row>
    <row r="1460" spans="1:2" ht="16.149999999999999" customHeight="1">
      <c r="A1460" s="877">
        <v>35020</v>
      </c>
      <c r="B1460" s="880">
        <v>1002.25</v>
      </c>
    </row>
    <row r="1461" spans="1:2" ht="16.149999999999999" customHeight="1">
      <c r="A1461" s="877">
        <v>35021</v>
      </c>
      <c r="B1461" s="878">
        <v>1002.63</v>
      </c>
    </row>
    <row r="1462" spans="1:2" ht="16.149999999999999" customHeight="1">
      <c r="A1462" s="877">
        <v>35022</v>
      </c>
      <c r="B1462" s="880">
        <v>1002.63</v>
      </c>
    </row>
    <row r="1463" spans="1:2" ht="16.149999999999999" customHeight="1">
      <c r="A1463" s="877">
        <v>35023</v>
      </c>
      <c r="B1463" s="878">
        <v>1002.63</v>
      </c>
    </row>
    <row r="1464" spans="1:2" ht="16.149999999999999" customHeight="1">
      <c r="A1464" s="877">
        <v>35024</v>
      </c>
      <c r="B1464" s="880">
        <v>1003.44</v>
      </c>
    </row>
    <row r="1465" spans="1:2" ht="16.149999999999999" customHeight="1">
      <c r="A1465" s="877">
        <v>35025</v>
      </c>
      <c r="B1465" s="878">
        <v>1003.47</v>
      </c>
    </row>
    <row r="1466" spans="1:2" ht="16.149999999999999" customHeight="1">
      <c r="A1466" s="877">
        <v>35026</v>
      </c>
      <c r="B1466" s="880">
        <v>1002.49</v>
      </c>
    </row>
    <row r="1467" spans="1:2" ht="16.149999999999999" customHeight="1">
      <c r="A1467" s="877">
        <v>35027</v>
      </c>
      <c r="B1467" s="878">
        <v>1001.23</v>
      </c>
    </row>
    <row r="1468" spans="1:2" ht="16.149999999999999" customHeight="1">
      <c r="A1468" s="877">
        <v>35028</v>
      </c>
      <c r="B1468" s="880">
        <v>1000.69</v>
      </c>
    </row>
    <row r="1469" spans="1:2" ht="16.149999999999999" customHeight="1">
      <c r="A1469" s="877">
        <v>35029</v>
      </c>
      <c r="B1469" s="878">
        <v>1000.69</v>
      </c>
    </row>
    <row r="1470" spans="1:2" ht="16.149999999999999" customHeight="1">
      <c r="A1470" s="877">
        <v>35030</v>
      </c>
      <c r="B1470" s="880">
        <v>1000.69</v>
      </c>
    </row>
    <row r="1471" spans="1:2" ht="16.149999999999999" customHeight="1">
      <c r="A1471" s="877">
        <v>35031</v>
      </c>
      <c r="B1471" s="878">
        <v>1003.24</v>
      </c>
    </row>
    <row r="1472" spans="1:2" ht="16.149999999999999" customHeight="1">
      <c r="A1472" s="877">
        <v>35032</v>
      </c>
      <c r="B1472" s="880">
        <v>1001.73</v>
      </c>
    </row>
    <row r="1473" spans="1:2" ht="16.149999999999999" customHeight="1">
      <c r="A1473" s="877">
        <v>35033</v>
      </c>
      <c r="B1473" s="878">
        <v>998.16</v>
      </c>
    </row>
    <row r="1474" spans="1:2" ht="16.149999999999999" customHeight="1">
      <c r="A1474" s="877">
        <v>35034</v>
      </c>
      <c r="B1474" s="880">
        <v>998.15</v>
      </c>
    </row>
    <row r="1475" spans="1:2" ht="16.149999999999999" customHeight="1">
      <c r="A1475" s="877">
        <v>35035</v>
      </c>
      <c r="B1475" s="878">
        <v>997.87</v>
      </c>
    </row>
    <row r="1476" spans="1:2" ht="16.149999999999999" customHeight="1">
      <c r="A1476" s="877">
        <v>35036</v>
      </c>
      <c r="B1476" s="880">
        <v>997.87</v>
      </c>
    </row>
    <row r="1477" spans="1:2" ht="16.149999999999999" customHeight="1">
      <c r="A1477" s="877">
        <v>35037</v>
      </c>
      <c r="B1477" s="878">
        <v>997.87</v>
      </c>
    </row>
    <row r="1478" spans="1:2" ht="16.149999999999999" customHeight="1">
      <c r="A1478" s="877">
        <v>35038</v>
      </c>
      <c r="B1478" s="880">
        <v>995.93</v>
      </c>
    </row>
    <row r="1479" spans="1:2" ht="16.149999999999999" customHeight="1">
      <c r="A1479" s="877">
        <v>35039</v>
      </c>
      <c r="B1479" s="878">
        <v>990.16</v>
      </c>
    </row>
    <row r="1480" spans="1:2" ht="16.149999999999999" customHeight="1">
      <c r="A1480" s="877">
        <v>35040</v>
      </c>
      <c r="B1480" s="880">
        <v>983.29</v>
      </c>
    </row>
    <row r="1481" spans="1:2" ht="16.149999999999999" customHeight="1">
      <c r="A1481" s="877">
        <v>35041</v>
      </c>
      <c r="B1481" s="878">
        <v>974.04</v>
      </c>
    </row>
    <row r="1482" spans="1:2" ht="16.149999999999999" customHeight="1">
      <c r="A1482" s="877">
        <v>35042</v>
      </c>
      <c r="B1482" s="880">
        <v>974.04</v>
      </c>
    </row>
    <row r="1483" spans="1:2" ht="16.149999999999999" customHeight="1">
      <c r="A1483" s="877">
        <v>35043</v>
      </c>
      <c r="B1483" s="878">
        <v>974.04</v>
      </c>
    </row>
    <row r="1484" spans="1:2" ht="16.149999999999999" customHeight="1">
      <c r="A1484" s="877">
        <v>35044</v>
      </c>
      <c r="B1484" s="880">
        <v>974.04</v>
      </c>
    </row>
    <row r="1485" spans="1:2" ht="16.149999999999999" customHeight="1">
      <c r="A1485" s="877">
        <v>35045</v>
      </c>
      <c r="B1485" s="878">
        <v>979.87</v>
      </c>
    </row>
    <row r="1486" spans="1:2" ht="16.149999999999999" customHeight="1">
      <c r="A1486" s="877">
        <v>35046</v>
      </c>
      <c r="B1486" s="880">
        <v>986.17</v>
      </c>
    </row>
    <row r="1487" spans="1:2" ht="16.149999999999999" customHeight="1">
      <c r="A1487" s="877">
        <v>35047</v>
      </c>
      <c r="B1487" s="878">
        <v>994.57</v>
      </c>
    </row>
    <row r="1488" spans="1:2" ht="16.149999999999999" customHeight="1">
      <c r="A1488" s="877">
        <v>35048</v>
      </c>
      <c r="B1488" s="880">
        <v>992.88</v>
      </c>
    </row>
    <row r="1489" spans="1:2" ht="16.149999999999999" customHeight="1">
      <c r="A1489" s="877">
        <v>35049</v>
      </c>
      <c r="B1489" s="878">
        <v>988.94</v>
      </c>
    </row>
    <row r="1490" spans="1:2" ht="16.149999999999999" customHeight="1">
      <c r="A1490" s="877">
        <v>35050</v>
      </c>
      <c r="B1490" s="880">
        <v>988.94</v>
      </c>
    </row>
    <row r="1491" spans="1:2" ht="16.149999999999999" customHeight="1">
      <c r="A1491" s="877">
        <v>35051</v>
      </c>
      <c r="B1491" s="878">
        <v>988.94</v>
      </c>
    </row>
    <row r="1492" spans="1:2" ht="16.149999999999999" customHeight="1">
      <c r="A1492" s="877">
        <v>35052</v>
      </c>
      <c r="B1492" s="880">
        <v>986.71</v>
      </c>
    </row>
    <row r="1493" spans="1:2" ht="16.149999999999999" customHeight="1">
      <c r="A1493" s="877">
        <v>35053</v>
      </c>
      <c r="B1493" s="878">
        <v>987.22</v>
      </c>
    </row>
    <row r="1494" spans="1:2" ht="16.149999999999999" customHeight="1">
      <c r="A1494" s="877">
        <v>35054</v>
      </c>
      <c r="B1494" s="880">
        <v>985.39</v>
      </c>
    </row>
    <row r="1495" spans="1:2" ht="16.149999999999999" customHeight="1">
      <c r="A1495" s="877">
        <v>35055</v>
      </c>
      <c r="B1495" s="878">
        <v>984.06</v>
      </c>
    </row>
    <row r="1496" spans="1:2" ht="16.149999999999999" customHeight="1">
      <c r="A1496" s="877">
        <v>35056</v>
      </c>
      <c r="B1496" s="880">
        <v>984.96</v>
      </c>
    </row>
    <row r="1497" spans="1:2" ht="16.149999999999999" customHeight="1">
      <c r="A1497" s="877">
        <v>35057</v>
      </c>
      <c r="B1497" s="878">
        <v>984.96</v>
      </c>
    </row>
    <row r="1498" spans="1:2" ht="16.149999999999999" customHeight="1">
      <c r="A1498" s="877">
        <v>35058</v>
      </c>
      <c r="B1498" s="880">
        <v>984.96</v>
      </c>
    </row>
    <row r="1499" spans="1:2" ht="16.149999999999999" customHeight="1">
      <c r="A1499" s="877">
        <v>35059</v>
      </c>
      <c r="B1499" s="878">
        <v>984.96</v>
      </c>
    </row>
    <row r="1500" spans="1:2" ht="16.149999999999999" customHeight="1">
      <c r="A1500" s="877">
        <v>35060</v>
      </c>
      <c r="B1500" s="880">
        <v>990.1</v>
      </c>
    </row>
    <row r="1501" spans="1:2" ht="16.149999999999999" customHeight="1">
      <c r="A1501" s="877">
        <v>35061</v>
      </c>
      <c r="B1501" s="878">
        <v>986.96</v>
      </c>
    </row>
    <row r="1502" spans="1:2" ht="16.149999999999999" customHeight="1">
      <c r="A1502" s="877">
        <v>35062</v>
      </c>
      <c r="B1502" s="880">
        <v>987.65</v>
      </c>
    </row>
    <row r="1503" spans="1:2" ht="16.149999999999999" customHeight="1">
      <c r="A1503" s="877">
        <v>35063</v>
      </c>
      <c r="B1503" s="878">
        <v>987.65</v>
      </c>
    </row>
    <row r="1504" spans="1:2" ht="16.149999999999999" customHeight="1">
      <c r="A1504" s="877">
        <v>35064</v>
      </c>
      <c r="B1504" s="880">
        <v>987.65</v>
      </c>
    </row>
    <row r="1505" spans="1:2" ht="16.149999999999999" customHeight="1">
      <c r="A1505" s="877">
        <v>35065</v>
      </c>
      <c r="B1505" s="878">
        <v>987.65</v>
      </c>
    </row>
    <row r="1506" spans="1:2" ht="16.149999999999999" customHeight="1">
      <c r="A1506" s="877">
        <v>35066</v>
      </c>
      <c r="B1506" s="880">
        <v>987.65</v>
      </c>
    </row>
    <row r="1507" spans="1:2" ht="16.149999999999999" customHeight="1">
      <c r="A1507" s="877">
        <v>35067</v>
      </c>
      <c r="B1507" s="878">
        <v>994.31</v>
      </c>
    </row>
    <row r="1508" spans="1:2" ht="16.149999999999999" customHeight="1">
      <c r="A1508" s="877">
        <v>35068</v>
      </c>
      <c r="B1508" s="880">
        <v>994.5</v>
      </c>
    </row>
    <row r="1509" spans="1:2" ht="16.149999999999999" customHeight="1">
      <c r="A1509" s="877">
        <v>35069</v>
      </c>
      <c r="B1509" s="878">
        <v>998.68</v>
      </c>
    </row>
    <row r="1510" spans="1:2" ht="16.149999999999999" customHeight="1">
      <c r="A1510" s="877">
        <v>35070</v>
      </c>
      <c r="B1510" s="880">
        <v>997.06</v>
      </c>
    </row>
    <row r="1511" spans="1:2" ht="16.149999999999999" customHeight="1">
      <c r="A1511" s="877">
        <v>35071</v>
      </c>
      <c r="B1511" s="878">
        <v>997.06</v>
      </c>
    </row>
    <row r="1512" spans="1:2" ht="16.149999999999999" customHeight="1">
      <c r="A1512" s="877">
        <v>35072</v>
      </c>
      <c r="B1512" s="880">
        <v>997.06</v>
      </c>
    </row>
    <row r="1513" spans="1:2" ht="16.149999999999999" customHeight="1">
      <c r="A1513" s="877">
        <v>35073</v>
      </c>
      <c r="B1513" s="878">
        <v>997.06</v>
      </c>
    </row>
    <row r="1514" spans="1:2" ht="16.149999999999999" customHeight="1">
      <c r="A1514" s="877">
        <v>35074</v>
      </c>
      <c r="B1514" s="880">
        <v>1003.44</v>
      </c>
    </row>
    <row r="1515" spans="1:2" ht="16.149999999999999" customHeight="1">
      <c r="A1515" s="877">
        <v>35075</v>
      </c>
      <c r="B1515" s="878">
        <v>1003.86</v>
      </c>
    </row>
    <row r="1516" spans="1:2" ht="16.149999999999999" customHeight="1">
      <c r="A1516" s="877">
        <v>35076</v>
      </c>
      <c r="B1516" s="880">
        <v>1002.59</v>
      </c>
    </row>
    <row r="1517" spans="1:2" ht="16.149999999999999" customHeight="1">
      <c r="A1517" s="877">
        <v>35077</v>
      </c>
      <c r="B1517" s="878">
        <v>1005.63</v>
      </c>
    </row>
    <row r="1518" spans="1:2" ht="16.149999999999999" customHeight="1">
      <c r="A1518" s="877">
        <v>35078</v>
      </c>
      <c r="B1518" s="880">
        <v>1005.63</v>
      </c>
    </row>
    <row r="1519" spans="1:2" ht="16.149999999999999" customHeight="1">
      <c r="A1519" s="877">
        <v>35079</v>
      </c>
      <c r="B1519" s="878">
        <v>1005.63</v>
      </c>
    </row>
    <row r="1520" spans="1:2" ht="16.149999999999999" customHeight="1">
      <c r="A1520" s="877">
        <v>35080</v>
      </c>
      <c r="B1520" s="880">
        <v>1011.59</v>
      </c>
    </row>
    <row r="1521" spans="1:2" ht="16.149999999999999" customHeight="1">
      <c r="A1521" s="877">
        <v>35081</v>
      </c>
      <c r="B1521" s="878">
        <v>1011.72</v>
      </c>
    </row>
    <row r="1522" spans="1:2" ht="16.149999999999999" customHeight="1">
      <c r="A1522" s="877">
        <v>35082</v>
      </c>
      <c r="B1522" s="880">
        <v>1010.34</v>
      </c>
    </row>
    <row r="1523" spans="1:2" ht="16.149999999999999" customHeight="1">
      <c r="A1523" s="877">
        <v>35083</v>
      </c>
      <c r="B1523" s="878">
        <v>1015.1</v>
      </c>
    </row>
    <row r="1524" spans="1:2" ht="16.149999999999999" customHeight="1">
      <c r="A1524" s="877">
        <v>35084</v>
      </c>
      <c r="B1524" s="880">
        <v>1018.99</v>
      </c>
    </row>
    <row r="1525" spans="1:2" ht="16.149999999999999" customHeight="1">
      <c r="A1525" s="877">
        <v>35085</v>
      </c>
      <c r="B1525" s="878">
        <v>1018.99</v>
      </c>
    </row>
    <row r="1526" spans="1:2" ht="16.149999999999999" customHeight="1">
      <c r="A1526" s="877">
        <v>35086</v>
      </c>
      <c r="B1526" s="880">
        <v>1018.99</v>
      </c>
    </row>
    <row r="1527" spans="1:2" ht="16.149999999999999" customHeight="1">
      <c r="A1527" s="877">
        <v>35087</v>
      </c>
      <c r="B1527" s="878">
        <v>1019.17</v>
      </c>
    </row>
    <row r="1528" spans="1:2" ht="16.149999999999999" customHeight="1">
      <c r="A1528" s="877">
        <v>35088</v>
      </c>
      <c r="B1528" s="880">
        <v>1024.8900000000001</v>
      </c>
    </row>
    <row r="1529" spans="1:2" ht="16.149999999999999" customHeight="1">
      <c r="A1529" s="877">
        <v>35089</v>
      </c>
      <c r="B1529" s="878">
        <v>1026.08</v>
      </c>
    </row>
    <row r="1530" spans="1:2" ht="16.149999999999999" customHeight="1">
      <c r="A1530" s="877">
        <v>35090</v>
      </c>
      <c r="B1530" s="880">
        <v>1026.78</v>
      </c>
    </row>
    <row r="1531" spans="1:2" ht="16.149999999999999" customHeight="1">
      <c r="A1531" s="877">
        <v>35091</v>
      </c>
      <c r="B1531" s="878">
        <v>1026.8900000000001</v>
      </c>
    </row>
    <row r="1532" spans="1:2" ht="16.149999999999999" customHeight="1">
      <c r="A1532" s="877">
        <v>35092</v>
      </c>
      <c r="B1532" s="880">
        <v>1026.8900000000001</v>
      </c>
    </row>
    <row r="1533" spans="1:2" ht="16.149999999999999" customHeight="1">
      <c r="A1533" s="877">
        <v>35093</v>
      </c>
      <c r="B1533" s="878">
        <v>1026.8900000000001</v>
      </c>
    </row>
    <row r="1534" spans="1:2" ht="16.149999999999999" customHeight="1">
      <c r="A1534" s="877">
        <v>35094</v>
      </c>
      <c r="B1534" s="880">
        <v>1027.6099999999999</v>
      </c>
    </row>
    <row r="1535" spans="1:2" ht="16.149999999999999" customHeight="1">
      <c r="A1535" s="877">
        <v>35095</v>
      </c>
      <c r="B1535" s="878">
        <v>1028.1400000000001</v>
      </c>
    </row>
    <row r="1536" spans="1:2" ht="16.149999999999999" customHeight="1">
      <c r="A1536" s="877">
        <v>35096</v>
      </c>
      <c r="B1536" s="880">
        <v>1026.3</v>
      </c>
    </row>
    <row r="1537" spans="1:2" ht="16.149999999999999" customHeight="1">
      <c r="A1537" s="877">
        <v>35097</v>
      </c>
      <c r="B1537" s="878">
        <v>1024.8900000000001</v>
      </c>
    </row>
    <row r="1538" spans="1:2" ht="16.149999999999999" customHeight="1">
      <c r="A1538" s="877">
        <v>35098</v>
      </c>
      <c r="B1538" s="880">
        <v>1021.29</v>
      </c>
    </row>
    <row r="1539" spans="1:2" ht="16.149999999999999" customHeight="1">
      <c r="A1539" s="877">
        <v>35099</v>
      </c>
      <c r="B1539" s="878">
        <v>1021.29</v>
      </c>
    </row>
    <row r="1540" spans="1:2" ht="16.149999999999999" customHeight="1">
      <c r="A1540" s="877">
        <v>35100</v>
      </c>
      <c r="B1540" s="880">
        <v>1021.29</v>
      </c>
    </row>
    <row r="1541" spans="1:2" ht="16.149999999999999" customHeight="1">
      <c r="A1541" s="877">
        <v>35101</v>
      </c>
      <c r="B1541" s="878">
        <v>1022.93</v>
      </c>
    </row>
    <row r="1542" spans="1:2" ht="16.149999999999999" customHeight="1">
      <c r="A1542" s="877">
        <v>35102</v>
      </c>
      <c r="B1542" s="880">
        <v>1021.3</v>
      </c>
    </row>
    <row r="1543" spans="1:2" ht="16.149999999999999" customHeight="1">
      <c r="A1543" s="877">
        <v>35103</v>
      </c>
      <c r="B1543" s="878">
        <v>1022.28</v>
      </c>
    </row>
    <row r="1544" spans="1:2" ht="16.149999999999999" customHeight="1">
      <c r="A1544" s="877">
        <v>35104</v>
      </c>
      <c r="B1544" s="880">
        <v>1024.17</v>
      </c>
    </row>
    <row r="1545" spans="1:2" ht="16.149999999999999" customHeight="1">
      <c r="A1545" s="877">
        <v>35105</v>
      </c>
      <c r="B1545" s="878">
        <v>1023.07</v>
      </c>
    </row>
    <row r="1546" spans="1:2" ht="16.149999999999999" customHeight="1">
      <c r="A1546" s="877">
        <v>35106</v>
      </c>
      <c r="B1546" s="880">
        <v>1023.07</v>
      </c>
    </row>
    <row r="1547" spans="1:2" ht="16.149999999999999" customHeight="1">
      <c r="A1547" s="877">
        <v>35107</v>
      </c>
      <c r="B1547" s="878">
        <v>1023.07</v>
      </c>
    </row>
    <row r="1548" spans="1:2" ht="16.149999999999999" customHeight="1">
      <c r="A1548" s="877">
        <v>35108</v>
      </c>
      <c r="B1548" s="880">
        <v>1027.54</v>
      </c>
    </row>
    <row r="1549" spans="1:2" ht="16.149999999999999" customHeight="1">
      <c r="A1549" s="877">
        <v>35109</v>
      </c>
      <c r="B1549" s="878">
        <v>1028.58</v>
      </c>
    </row>
    <row r="1550" spans="1:2" ht="16.149999999999999" customHeight="1">
      <c r="A1550" s="877">
        <v>35110</v>
      </c>
      <c r="B1550" s="880">
        <v>1027.57</v>
      </c>
    </row>
    <row r="1551" spans="1:2" ht="16.149999999999999" customHeight="1">
      <c r="A1551" s="877">
        <v>35111</v>
      </c>
      <c r="B1551" s="878">
        <v>1030.67</v>
      </c>
    </row>
    <row r="1552" spans="1:2" ht="16.149999999999999" customHeight="1">
      <c r="A1552" s="877">
        <v>35112</v>
      </c>
      <c r="B1552" s="880">
        <v>1029.5</v>
      </c>
    </row>
    <row r="1553" spans="1:2" ht="16.149999999999999" customHeight="1">
      <c r="A1553" s="877">
        <v>35113</v>
      </c>
      <c r="B1553" s="878">
        <v>1029.5</v>
      </c>
    </row>
    <row r="1554" spans="1:2" ht="16.149999999999999" customHeight="1">
      <c r="A1554" s="877">
        <v>35114</v>
      </c>
      <c r="B1554" s="880">
        <v>1029.5</v>
      </c>
    </row>
    <row r="1555" spans="1:2" ht="16.149999999999999" customHeight="1">
      <c r="A1555" s="877">
        <v>35115</v>
      </c>
      <c r="B1555" s="878">
        <v>1033.4100000000001</v>
      </c>
    </row>
    <row r="1556" spans="1:2" ht="16.149999999999999" customHeight="1">
      <c r="A1556" s="877">
        <v>35116</v>
      </c>
      <c r="B1556" s="880">
        <v>1034.3399999999999</v>
      </c>
    </row>
    <row r="1557" spans="1:2" ht="16.149999999999999" customHeight="1">
      <c r="A1557" s="877">
        <v>35117</v>
      </c>
      <c r="B1557" s="878">
        <v>1035.43</v>
      </c>
    </row>
    <row r="1558" spans="1:2" ht="16.149999999999999" customHeight="1">
      <c r="A1558" s="877">
        <v>35118</v>
      </c>
      <c r="B1558" s="880">
        <v>1035.04</v>
      </c>
    </row>
    <row r="1559" spans="1:2" ht="16.149999999999999" customHeight="1">
      <c r="A1559" s="877">
        <v>35119</v>
      </c>
      <c r="B1559" s="878">
        <v>1036.71</v>
      </c>
    </row>
    <row r="1560" spans="1:2" ht="16.149999999999999" customHeight="1">
      <c r="A1560" s="877">
        <v>35120</v>
      </c>
      <c r="B1560" s="880">
        <v>1036.71</v>
      </c>
    </row>
    <row r="1561" spans="1:2" ht="16.149999999999999" customHeight="1">
      <c r="A1561" s="877">
        <v>35121</v>
      </c>
      <c r="B1561" s="878">
        <v>1036.71</v>
      </c>
    </row>
    <row r="1562" spans="1:2" ht="16.149999999999999" customHeight="1">
      <c r="A1562" s="877">
        <v>35122</v>
      </c>
      <c r="B1562" s="880">
        <v>1038.49</v>
      </c>
    </row>
    <row r="1563" spans="1:2" ht="16.149999999999999" customHeight="1">
      <c r="A1563" s="877">
        <v>35123</v>
      </c>
      <c r="B1563" s="878">
        <v>1039.06</v>
      </c>
    </row>
    <row r="1564" spans="1:2" ht="16.149999999999999" customHeight="1">
      <c r="A1564" s="877">
        <v>35124</v>
      </c>
      <c r="B1564" s="880">
        <v>1039.81</v>
      </c>
    </row>
    <row r="1565" spans="1:2" ht="16.149999999999999" customHeight="1">
      <c r="A1565" s="877">
        <v>35125</v>
      </c>
      <c r="B1565" s="878">
        <v>1039.9000000000001</v>
      </c>
    </row>
    <row r="1566" spans="1:2" ht="16.149999999999999" customHeight="1">
      <c r="A1566" s="877">
        <v>35126</v>
      </c>
      <c r="B1566" s="880">
        <v>1040.7</v>
      </c>
    </row>
    <row r="1567" spans="1:2" ht="16.149999999999999" customHeight="1">
      <c r="A1567" s="877">
        <v>35127</v>
      </c>
      <c r="B1567" s="878">
        <v>1040.7</v>
      </c>
    </row>
    <row r="1568" spans="1:2" ht="16.149999999999999" customHeight="1">
      <c r="A1568" s="877">
        <v>35128</v>
      </c>
      <c r="B1568" s="880">
        <v>1040.7</v>
      </c>
    </row>
    <row r="1569" spans="1:2" ht="16.149999999999999" customHeight="1">
      <c r="A1569" s="877">
        <v>35129</v>
      </c>
      <c r="B1569" s="878">
        <v>1041.28</v>
      </c>
    </row>
    <row r="1570" spans="1:2" ht="16.149999999999999" customHeight="1">
      <c r="A1570" s="877">
        <v>35130</v>
      </c>
      <c r="B1570" s="880">
        <v>1041.83</v>
      </c>
    </row>
    <row r="1571" spans="1:2" ht="16.149999999999999" customHeight="1">
      <c r="A1571" s="877">
        <v>35131</v>
      </c>
      <c r="B1571" s="878">
        <v>1042.03</v>
      </c>
    </row>
    <row r="1572" spans="1:2" ht="16.149999999999999" customHeight="1">
      <c r="A1572" s="877">
        <v>35132</v>
      </c>
      <c r="B1572" s="880">
        <v>1042.6099999999999</v>
      </c>
    </row>
    <row r="1573" spans="1:2" ht="16.149999999999999" customHeight="1">
      <c r="A1573" s="877">
        <v>35133</v>
      </c>
      <c r="B1573" s="878">
        <v>1042.42</v>
      </c>
    </row>
    <row r="1574" spans="1:2" ht="16.149999999999999" customHeight="1">
      <c r="A1574" s="877">
        <v>35134</v>
      </c>
      <c r="B1574" s="880">
        <v>1042.42</v>
      </c>
    </row>
    <row r="1575" spans="1:2" ht="16.149999999999999" customHeight="1">
      <c r="A1575" s="877">
        <v>35135</v>
      </c>
      <c r="B1575" s="878">
        <v>1042.42</v>
      </c>
    </row>
    <row r="1576" spans="1:2" ht="16.149999999999999" customHeight="1">
      <c r="A1576" s="877">
        <v>35136</v>
      </c>
      <c r="B1576" s="880">
        <v>1043.5</v>
      </c>
    </row>
    <row r="1577" spans="1:2" ht="16.149999999999999" customHeight="1">
      <c r="A1577" s="877">
        <v>35137</v>
      </c>
      <c r="B1577" s="878">
        <v>1044.07</v>
      </c>
    </row>
    <row r="1578" spans="1:2" ht="16.149999999999999" customHeight="1">
      <c r="A1578" s="877">
        <v>35138</v>
      </c>
      <c r="B1578" s="880">
        <v>1044.99</v>
      </c>
    </row>
    <row r="1579" spans="1:2" ht="16.149999999999999" customHeight="1">
      <c r="A1579" s="877">
        <v>35139</v>
      </c>
      <c r="B1579" s="878">
        <v>1045.44</v>
      </c>
    </row>
    <row r="1580" spans="1:2" ht="16.149999999999999" customHeight="1">
      <c r="A1580" s="877">
        <v>35140</v>
      </c>
      <c r="B1580" s="880">
        <v>1046.0899999999999</v>
      </c>
    </row>
    <row r="1581" spans="1:2" ht="16.149999999999999" customHeight="1">
      <c r="A1581" s="877">
        <v>35141</v>
      </c>
      <c r="B1581" s="878">
        <v>1046.0899999999999</v>
      </c>
    </row>
    <row r="1582" spans="1:2" ht="16.149999999999999" customHeight="1">
      <c r="A1582" s="877">
        <v>35142</v>
      </c>
      <c r="B1582" s="880">
        <v>1046.0899999999999</v>
      </c>
    </row>
    <row r="1583" spans="1:2" ht="16.149999999999999" customHeight="1">
      <c r="A1583" s="877">
        <v>35143</v>
      </c>
      <c r="B1583" s="878">
        <v>1046.76</v>
      </c>
    </row>
    <row r="1584" spans="1:2" ht="16.149999999999999" customHeight="1">
      <c r="A1584" s="877">
        <v>35144</v>
      </c>
      <c r="B1584" s="880">
        <v>1047.24</v>
      </c>
    </row>
    <row r="1585" spans="1:2" ht="16.149999999999999" customHeight="1">
      <c r="A1585" s="877">
        <v>35145</v>
      </c>
      <c r="B1585" s="878">
        <v>1047.6500000000001</v>
      </c>
    </row>
    <row r="1586" spans="1:2" ht="16.149999999999999" customHeight="1">
      <c r="A1586" s="877">
        <v>35146</v>
      </c>
      <c r="B1586" s="880">
        <v>1048.4000000000001</v>
      </c>
    </row>
    <row r="1587" spans="1:2" ht="16.149999999999999" customHeight="1">
      <c r="A1587" s="877">
        <v>35147</v>
      </c>
      <c r="B1587" s="878">
        <v>1048</v>
      </c>
    </row>
    <row r="1588" spans="1:2" ht="16.149999999999999" customHeight="1">
      <c r="A1588" s="877">
        <v>35148</v>
      </c>
      <c r="B1588" s="880">
        <v>1048</v>
      </c>
    </row>
    <row r="1589" spans="1:2" ht="16.149999999999999" customHeight="1">
      <c r="A1589" s="877">
        <v>35149</v>
      </c>
      <c r="B1589" s="878">
        <v>1048</v>
      </c>
    </row>
    <row r="1590" spans="1:2" ht="16.149999999999999" customHeight="1">
      <c r="A1590" s="877">
        <v>35150</v>
      </c>
      <c r="B1590" s="880">
        <v>1048</v>
      </c>
    </row>
    <row r="1591" spans="1:2" ht="16.149999999999999" customHeight="1">
      <c r="A1591" s="877">
        <v>35151</v>
      </c>
      <c r="B1591" s="878">
        <v>1049.08</v>
      </c>
    </row>
    <row r="1592" spans="1:2" ht="16.149999999999999" customHeight="1">
      <c r="A1592" s="877">
        <v>35152</v>
      </c>
      <c r="B1592" s="880">
        <v>1049.22</v>
      </c>
    </row>
    <row r="1593" spans="1:2" ht="16.149999999999999" customHeight="1">
      <c r="A1593" s="877">
        <v>35153</v>
      </c>
      <c r="B1593" s="878">
        <v>1048.42</v>
      </c>
    </row>
    <row r="1594" spans="1:2" ht="16.149999999999999" customHeight="1">
      <c r="A1594" s="877">
        <v>35154</v>
      </c>
      <c r="B1594" s="880">
        <v>1046</v>
      </c>
    </row>
    <row r="1595" spans="1:2" ht="16.149999999999999" customHeight="1">
      <c r="A1595" s="877">
        <v>35155</v>
      </c>
      <c r="B1595" s="878">
        <v>1046</v>
      </c>
    </row>
    <row r="1596" spans="1:2" ht="16.149999999999999" customHeight="1">
      <c r="A1596" s="877">
        <v>35156</v>
      </c>
      <c r="B1596" s="880">
        <v>1046</v>
      </c>
    </row>
    <row r="1597" spans="1:2" ht="16.149999999999999" customHeight="1">
      <c r="A1597" s="877">
        <v>35157</v>
      </c>
      <c r="B1597" s="878">
        <v>1042.2</v>
      </c>
    </row>
    <row r="1598" spans="1:2" ht="16.149999999999999" customHeight="1">
      <c r="A1598" s="877">
        <v>35158</v>
      </c>
      <c r="B1598" s="880">
        <v>1045.23</v>
      </c>
    </row>
    <row r="1599" spans="1:2" ht="16.149999999999999" customHeight="1">
      <c r="A1599" s="877">
        <v>35159</v>
      </c>
      <c r="B1599" s="878">
        <v>1046.92</v>
      </c>
    </row>
    <row r="1600" spans="1:2" ht="16.149999999999999" customHeight="1">
      <c r="A1600" s="877">
        <v>35160</v>
      </c>
      <c r="B1600" s="880">
        <v>1046.92</v>
      </c>
    </row>
    <row r="1601" spans="1:2" ht="16.149999999999999" customHeight="1">
      <c r="A1601" s="877">
        <v>35161</v>
      </c>
      <c r="B1601" s="878">
        <v>1046.92</v>
      </c>
    </row>
    <row r="1602" spans="1:2" ht="16.149999999999999" customHeight="1">
      <c r="A1602" s="877">
        <v>35162</v>
      </c>
      <c r="B1602" s="880">
        <v>1046.92</v>
      </c>
    </row>
    <row r="1603" spans="1:2" ht="16.149999999999999" customHeight="1">
      <c r="A1603" s="877">
        <v>35163</v>
      </c>
      <c r="B1603" s="878">
        <v>1046.92</v>
      </c>
    </row>
    <row r="1604" spans="1:2" ht="16.149999999999999" customHeight="1">
      <c r="A1604" s="877">
        <v>35164</v>
      </c>
      <c r="B1604" s="880">
        <v>1050.1199999999999</v>
      </c>
    </row>
    <row r="1605" spans="1:2" ht="16.149999999999999" customHeight="1">
      <c r="A1605" s="877">
        <v>35165</v>
      </c>
      <c r="B1605" s="878">
        <v>1047.3499999999999</v>
      </c>
    </row>
    <row r="1606" spans="1:2" ht="16.149999999999999" customHeight="1">
      <c r="A1606" s="877">
        <v>35166</v>
      </c>
      <c r="B1606" s="880">
        <v>1046.55</v>
      </c>
    </row>
    <row r="1607" spans="1:2" ht="16.149999999999999" customHeight="1">
      <c r="A1607" s="877">
        <v>35167</v>
      </c>
      <c r="B1607" s="878">
        <v>1047.48</v>
      </c>
    </row>
    <row r="1608" spans="1:2" ht="16.149999999999999" customHeight="1">
      <c r="A1608" s="877">
        <v>35168</v>
      </c>
      <c r="B1608" s="880">
        <v>1048.8900000000001</v>
      </c>
    </row>
    <row r="1609" spans="1:2" ht="16.149999999999999" customHeight="1">
      <c r="A1609" s="877">
        <v>35169</v>
      </c>
      <c r="B1609" s="878">
        <v>1048.8900000000001</v>
      </c>
    </row>
    <row r="1610" spans="1:2" ht="16.149999999999999" customHeight="1">
      <c r="A1610" s="877">
        <v>35170</v>
      </c>
      <c r="B1610" s="880">
        <v>1048.8900000000001</v>
      </c>
    </row>
    <row r="1611" spans="1:2" ht="16.149999999999999" customHeight="1">
      <c r="A1611" s="877">
        <v>35171</v>
      </c>
      <c r="B1611" s="878">
        <v>1050.73</v>
      </c>
    </row>
    <row r="1612" spans="1:2" ht="16.149999999999999" customHeight="1">
      <c r="A1612" s="877">
        <v>35172</v>
      </c>
      <c r="B1612" s="880">
        <v>1054.4100000000001</v>
      </c>
    </row>
    <row r="1613" spans="1:2" ht="16.149999999999999" customHeight="1">
      <c r="A1613" s="877">
        <v>35173</v>
      </c>
      <c r="B1613" s="878">
        <v>1054.03</v>
      </c>
    </row>
    <row r="1614" spans="1:2" ht="16.149999999999999" customHeight="1">
      <c r="A1614" s="877">
        <v>35174</v>
      </c>
      <c r="B1614" s="880">
        <v>1052.9000000000001</v>
      </c>
    </row>
    <row r="1615" spans="1:2" ht="16.149999999999999" customHeight="1">
      <c r="A1615" s="877">
        <v>35175</v>
      </c>
      <c r="B1615" s="878">
        <v>1053.5899999999999</v>
      </c>
    </row>
    <row r="1616" spans="1:2" ht="16.149999999999999" customHeight="1">
      <c r="A1616" s="877">
        <v>35176</v>
      </c>
      <c r="B1616" s="880">
        <v>1053.5899999999999</v>
      </c>
    </row>
    <row r="1617" spans="1:2" ht="16.149999999999999" customHeight="1">
      <c r="A1617" s="877">
        <v>35177</v>
      </c>
      <c r="B1617" s="878">
        <v>1053.5899999999999</v>
      </c>
    </row>
    <row r="1618" spans="1:2" ht="16.149999999999999" customHeight="1">
      <c r="A1618" s="877">
        <v>35178</v>
      </c>
      <c r="B1618" s="880">
        <v>1054.43</v>
      </c>
    </row>
    <row r="1619" spans="1:2" ht="16.149999999999999" customHeight="1">
      <c r="A1619" s="877">
        <v>35179</v>
      </c>
      <c r="B1619" s="878">
        <v>1055.31</v>
      </c>
    </row>
    <row r="1620" spans="1:2" ht="16.149999999999999" customHeight="1">
      <c r="A1620" s="877">
        <v>35180</v>
      </c>
      <c r="B1620" s="880">
        <v>1054.53</v>
      </c>
    </row>
    <row r="1621" spans="1:2" ht="16.149999999999999" customHeight="1">
      <c r="A1621" s="877">
        <v>35181</v>
      </c>
      <c r="B1621" s="878">
        <v>1054.29</v>
      </c>
    </row>
    <row r="1622" spans="1:2" ht="16.149999999999999" customHeight="1">
      <c r="A1622" s="877">
        <v>35182</v>
      </c>
      <c r="B1622" s="880">
        <v>1054.8</v>
      </c>
    </row>
    <row r="1623" spans="1:2" ht="16.149999999999999" customHeight="1">
      <c r="A1623" s="877">
        <v>35183</v>
      </c>
      <c r="B1623" s="878">
        <v>1054.8</v>
      </c>
    </row>
    <row r="1624" spans="1:2" ht="16.149999999999999" customHeight="1">
      <c r="A1624" s="877">
        <v>35184</v>
      </c>
      <c r="B1624" s="880">
        <v>1054.8</v>
      </c>
    </row>
    <row r="1625" spans="1:2" ht="16.149999999999999" customHeight="1">
      <c r="A1625" s="877">
        <v>35185</v>
      </c>
      <c r="B1625" s="878">
        <v>1058.9000000000001</v>
      </c>
    </row>
    <row r="1626" spans="1:2" ht="16.149999999999999" customHeight="1">
      <c r="A1626" s="877">
        <v>35186</v>
      </c>
      <c r="B1626" s="880">
        <v>1061.55</v>
      </c>
    </row>
    <row r="1627" spans="1:2" ht="16.149999999999999" customHeight="1">
      <c r="A1627" s="877">
        <v>35187</v>
      </c>
      <c r="B1627" s="878">
        <v>1061.55</v>
      </c>
    </row>
    <row r="1628" spans="1:2" ht="16.149999999999999" customHeight="1">
      <c r="A1628" s="877">
        <v>35188</v>
      </c>
      <c r="B1628" s="880">
        <v>1062.56</v>
      </c>
    </row>
    <row r="1629" spans="1:2" ht="16.149999999999999" customHeight="1">
      <c r="A1629" s="877">
        <v>35189</v>
      </c>
      <c r="B1629" s="878">
        <v>1062.4000000000001</v>
      </c>
    </row>
    <row r="1630" spans="1:2" ht="16.149999999999999" customHeight="1">
      <c r="A1630" s="877">
        <v>35190</v>
      </c>
      <c r="B1630" s="880">
        <v>1062.4000000000001</v>
      </c>
    </row>
    <row r="1631" spans="1:2" ht="16.149999999999999" customHeight="1">
      <c r="A1631" s="877">
        <v>35191</v>
      </c>
      <c r="B1631" s="878">
        <v>1062.4000000000001</v>
      </c>
    </row>
    <row r="1632" spans="1:2" ht="16.149999999999999" customHeight="1">
      <c r="A1632" s="877">
        <v>35192</v>
      </c>
      <c r="B1632" s="880">
        <v>1063.4100000000001</v>
      </c>
    </row>
    <row r="1633" spans="1:2" ht="16.149999999999999" customHeight="1">
      <c r="A1633" s="877">
        <v>35193</v>
      </c>
      <c r="B1633" s="878">
        <v>1063.53</v>
      </c>
    </row>
    <row r="1634" spans="1:2" ht="16.149999999999999" customHeight="1">
      <c r="A1634" s="877">
        <v>35194</v>
      </c>
      <c r="B1634" s="880">
        <v>1061.6300000000001</v>
      </c>
    </row>
    <row r="1635" spans="1:2" ht="16.149999999999999" customHeight="1">
      <c r="A1635" s="877">
        <v>35195</v>
      </c>
      <c r="B1635" s="878">
        <v>1061.0999999999999</v>
      </c>
    </row>
    <row r="1636" spans="1:2" ht="16.149999999999999" customHeight="1">
      <c r="A1636" s="877">
        <v>35196</v>
      </c>
      <c r="B1636" s="880">
        <v>1062.08</v>
      </c>
    </row>
    <row r="1637" spans="1:2" ht="16.149999999999999" customHeight="1">
      <c r="A1637" s="877">
        <v>35197</v>
      </c>
      <c r="B1637" s="878">
        <v>1062.08</v>
      </c>
    </row>
    <row r="1638" spans="1:2" ht="16.149999999999999" customHeight="1">
      <c r="A1638" s="877">
        <v>35198</v>
      </c>
      <c r="B1638" s="880">
        <v>1062.08</v>
      </c>
    </row>
    <row r="1639" spans="1:2" ht="16.149999999999999" customHeight="1">
      <c r="A1639" s="877">
        <v>35199</v>
      </c>
      <c r="B1639" s="878">
        <v>1065.78</v>
      </c>
    </row>
    <row r="1640" spans="1:2" ht="16.149999999999999" customHeight="1">
      <c r="A1640" s="877">
        <v>35200</v>
      </c>
      <c r="B1640" s="880">
        <v>1066.24</v>
      </c>
    </row>
    <row r="1641" spans="1:2" ht="16.149999999999999" customHeight="1">
      <c r="A1641" s="877">
        <v>35201</v>
      </c>
      <c r="B1641" s="878">
        <v>1066.6099999999999</v>
      </c>
    </row>
    <row r="1642" spans="1:2" ht="16.149999999999999" customHeight="1">
      <c r="A1642" s="877">
        <v>35202</v>
      </c>
      <c r="B1642" s="880">
        <v>1065.8800000000001</v>
      </c>
    </row>
    <row r="1643" spans="1:2" ht="16.149999999999999" customHeight="1">
      <c r="A1643" s="877">
        <v>35203</v>
      </c>
      <c r="B1643" s="878">
        <v>1066.47</v>
      </c>
    </row>
    <row r="1644" spans="1:2" ht="16.149999999999999" customHeight="1">
      <c r="A1644" s="877">
        <v>35204</v>
      </c>
      <c r="B1644" s="880">
        <v>1066.47</v>
      </c>
    </row>
    <row r="1645" spans="1:2" ht="16.149999999999999" customHeight="1">
      <c r="A1645" s="877">
        <v>35205</v>
      </c>
      <c r="B1645" s="878">
        <v>1066.47</v>
      </c>
    </row>
    <row r="1646" spans="1:2" ht="16.149999999999999" customHeight="1">
      <c r="A1646" s="877">
        <v>35206</v>
      </c>
      <c r="B1646" s="880">
        <v>1066.47</v>
      </c>
    </row>
    <row r="1647" spans="1:2" ht="16.149999999999999" customHeight="1">
      <c r="A1647" s="877">
        <v>35207</v>
      </c>
      <c r="B1647" s="878">
        <v>1068.18</v>
      </c>
    </row>
    <row r="1648" spans="1:2" ht="16.149999999999999" customHeight="1">
      <c r="A1648" s="877">
        <v>35208</v>
      </c>
      <c r="B1648" s="880">
        <v>1068.9100000000001</v>
      </c>
    </row>
    <row r="1649" spans="1:2" ht="16.149999999999999" customHeight="1">
      <c r="A1649" s="877">
        <v>35209</v>
      </c>
      <c r="B1649" s="878">
        <v>1069.47</v>
      </c>
    </row>
    <row r="1650" spans="1:2" ht="16.149999999999999" customHeight="1">
      <c r="A1650" s="877">
        <v>35210</v>
      </c>
      <c r="B1650" s="880">
        <v>1068.94</v>
      </c>
    </row>
    <row r="1651" spans="1:2" ht="16.149999999999999" customHeight="1">
      <c r="A1651" s="877">
        <v>35211</v>
      </c>
      <c r="B1651" s="878">
        <v>1068.94</v>
      </c>
    </row>
    <row r="1652" spans="1:2" ht="16.149999999999999" customHeight="1">
      <c r="A1652" s="877">
        <v>35212</v>
      </c>
      <c r="B1652" s="880">
        <v>1068.94</v>
      </c>
    </row>
    <row r="1653" spans="1:2" ht="16.149999999999999" customHeight="1">
      <c r="A1653" s="877">
        <v>35213</v>
      </c>
      <c r="B1653" s="878">
        <v>1069.8</v>
      </c>
    </row>
    <row r="1654" spans="1:2" ht="16.149999999999999" customHeight="1">
      <c r="A1654" s="877">
        <v>35214</v>
      </c>
      <c r="B1654" s="880">
        <v>1071.19</v>
      </c>
    </row>
    <row r="1655" spans="1:2" ht="16.149999999999999" customHeight="1">
      <c r="A1655" s="877">
        <v>35215</v>
      </c>
      <c r="B1655" s="878">
        <v>1072.24</v>
      </c>
    </row>
    <row r="1656" spans="1:2" ht="16.149999999999999" customHeight="1">
      <c r="A1656" s="877">
        <v>35216</v>
      </c>
      <c r="B1656" s="880">
        <v>1073.06</v>
      </c>
    </row>
    <row r="1657" spans="1:2" ht="16.149999999999999" customHeight="1">
      <c r="A1657" s="877">
        <v>35217</v>
      </c>
      <c r="B1657" s="878">
        <v>1072.5899999999999</v>
      </c>
    </row>
    <row r="1658" spans="1:2" ht="16.149999999999999" customHeight="1">
      <c r="A1658" s="877">
        <v>35218</v>
      </c>
      <c r="B1658" s="880">
        <v>1072.5899999999999</v>
      </c>
    </row>
    <row r="1659" spans="1:2" ht="16.149999999999999" customHeight="1">
      <c r="A1659" s="877">
        <v>35219</v>
      </c>
      <c r="B1659" s="878">
        <v>1072.5899999999999</v>
      </c>
    </row>
    <row r="1660" spans="1:2" ht="16.149999999999999" customHeight="1">
      <c r="A1660" s="877">
        <v>35220</v>
      </c>
      <c r="B1660" s="880">
        <v>1074.7</v>
      </c>
    </row>
    <row r="1661" spans="1:2" ht="16.149999999999999" customHeight="1">
      <c r="A1661" s="877">
        <v>35221</v>
      </c>
      <c r="B1661" s="878">
        <v>1074.72</v>
      </c>
    </row>
    <row r="1662" spans="1:2" ht="16.149999999999999" customHeight="1">
      <c r="A1662" s="877">
        <v>35222</v>
      </c>
      <c r="B1662" s="880">
        <v>1074.27</v>
      </c>
    </row>
    <row r="1663" spans="1:2" ht="16.149999999999999" customHeight="1">
      <c r="A1663" s="877">
        <v>35223</v>
      </c>
      <c r="B1663" s="878">
        <v>1072.95</v>
      </c>
    </row>
    <row r="1664" spans="1:2" ht="16.149999999999999" customHeight="1">
      <c r="A1664" s="877">
        <v>35224</v>
      </c>
      <c r="B1664" s="880">
        <v>1073.06</v>
      </c>
    </row>
    <row r="1665" spans="1:2" ht="16.149999999999999" customHeight="1">
      <c r="A1665" s="877">
        <v>35225</v>
      </c>
      <c r="B1665" s="878">
        <v>1073.06</v>
      </c>
    </row>
    <row r="1666" spans="1:2" ht="16.149999999999999" customHeight="1">
      <c r="A1666" s="877">
        <v>35226</v>
      </c>
      <c r="B1666" s="880">
        <v>1073.06</v>
      </c>
    </row>
    <row r="1667" spans="1:2" ht="16.149999999999999" customHeight="1">
      <c r="A1667" s="877">
        <v>35227</v>
      </c>
      <c r="B1667" s="878">
        <v>1073.06</v>
      </c>
    </row>
    <row r="1668" spans="1:2" ht="16.149999999999999" customHeight="1">
      <c r="A1668" s="877">
        <v>35228</v>
      </c>
      <c r="B1668" s="880">
        <v>1073.6500000000001</v>
      </c>
    </row>
    <row r="1669" spans="1:2" ht="16.149999999999999" customHeight="1">
      <c r="A1669" s="877">
        <v>35229</v>
      </c>
      <c r="B1669" s="878">
        <v>1070.8</v>
      </c>
    </row>
    <row r="1670" spans="1:2" ht="16.149999999999999" customHeight="1">
      <c r="A1670" s="877">
        <v>35230</v>
      </c>
      <c r="B1670" s="880">
        <v>1072.3399999999999</v>
      </c>
    </row>
    <row r="1671" spans="1:2" ht="16.149999999999999" customHeight="1">
      <c r="A1671" s="877">
        <v>35231</v>
      </c>
      <c r="B1671" s="878">
        <v>1071.3499999999999</v>
      </c>
    </row>
    <row r="1672" spans="1:2" ht="16.149999999999999" customHeight="1">
      <c r="A1672" s="877">
        <v>35232</v>
      </c>
      <c r="B1672" s="880">
        <v>1071.3499999999999</v>
      </c>
    </row>
    <row r="1673" spans="1:2" ht="16.149999999999999" customHeight="1">
      <c r="A1673" s="877">
        <v>35233</v>
      </c>
      <c r="B1673" s="878">
        <v>1071.3499999999999</v>
      </c>
    </row>
    <row r="1674" spans="1:2" ht="16.149999999999999" customHeight="1">
      <c r="A1674" s="877">
        <v>35234</v>
      </c>
      <c r="B1674" s="880">
        <v>1071.3499999999999</v>
      </c>
    </row>
    <row r="1675" spans="1:2" ht="16.149999999999999" customHeight="1">
      <c r="A1675" s="877">
        <v>35235</v>
      </c>
      <c r="B1675" s="878">
        <v>1072.74</v>
      </c>
    </row>
    <row r="1676" spans="1:2" ht="16.149999999999999" customHeight="1">
      <c r="A1676" s="877">
        <v>35236</v>
      </c>
      <c r="B1676" s="880">
        <v>1070.94</v>
      </c>
    </row>
    <row r="1677" spans="1:2" ht="16.149999999999999" customHeight="1">
      <c r="A1677" s="877">
        <v>35237</v>
      </c>
      <c r="B1677" s="878">
        <v>1070.8599999999999</v>
      </c>
    </row>
    <row r="1678" spans="1:2" ht="16.149999999999999" customHeight="1">
      <c r="A1678" s="877">
        <v>35238</v>
      </c>
      <c r="B1678" s="880">
        <v>1068.2</v>
      </c>
    </row>
    <row r="1679" spans="1:2" ht="16.149999999999999" customHeight="1">
      <c r="A1679" s="877">
        <v>35239</v>
      </c>
      <c r="B1679" s="878">
        <v>1068.2</v>
      </c>
    </row>
    <row r="1680" spans="1:2" ht="16.149999999999999" customHeight="1">
      <c r="A1680" s="877">
        <v>35240</v>
      </c>
      <c r="B1680" s="880">
        <v>1068.2</v>
      </c>
    </row>
    <row r="1681" spans="1:2" ht="16.149999999999999" customHeight="1">
      <c r="A1681" s="877">
        <v>35241</v>
      </c>
      <c r="B1681" s="878">
        <v>1070.25</v>
      </c>
    </row>
    <row r="1682" spans="1:2" ht="16.149999999999999" customHeight="1">
      <c r="A1682" s="877">
        <v>35242</v>
      </c>
      <c r="B1682" s="880">
        <v>1069.81</v>
      </c>
    </row>
    <row r="1683" spans="1:2" ht="16.149999999999999" customHeight="1">
      <c r="A1683" s="877">
        <v>35243</v>
      </c>
      <c r="B1683" s="878">
        <v>1072.3699999999999</v>
      </c>
    </row>
    <row r="1684" spans="1:2" ht="16.149999999999999" customHeight="1">
      <c r="A1684" s="877">
        <v>35244</v>
      </c>
      <c r="B1684" s="880">
        <v>1069.73</v>
      </c>
    </row>
    <row r="1685" spans="1:2" ht="16.149999999999999" customHeight="1">
      <c r="A1685" s="877">
        <v>35245</v>
      </c>
      <c r="B1685" s="878">
        <v>1069.1099999999999</v>
      </c>
    </row>
    <row r="1686" spans="1:2" ht="16.149999999999999" customHeight="1">
      <c r="A1686" s="877">
        <v>35246</v>
      </c>
      <c r="B1686" s="880">
        <v>1069.1099999999999</v>
      </c>
    </row>
    <row r="1687" spans="1:2" ht="16.149999999999999" customHeight="1">
      <c r="A1687" s="877">
        <v>35247</v>
      </c>
      <c r="B1687" s="878">
        <v>1069.1099999999999</v>
      </c>
    </row>
    <row r="1688" spans="1:2" ht="16.149999999999999" customHeight="1">
      <c r="A1688" s="877">
        <v>35248</v>
      </c>
      <c r="B1688" s="880">
        <v>1069.1099999999999</v>
      </c>
    </row>
    <row r="1689" spans="1:2" ht="16.149999999999999" customHeight="1">
      <c r="A1689" s="877">
        <v>35249</v>
      </c>
      <c r="B1689" s="878">
        <v>1070.55</v>
      </c>
    </row>
    <row r="1690" spans="1:2" ht="16.149999999999999" customHeight="1">
      <c r="A1690" s="877">
        <v>35250</v>
      </c>
      <c r="B1690" s="880">
        <v>1068.1199999999999</v>
      </c>
    </row>
    <row r="1691" spans="1:2" ht="16.149999999999999" customHeight="1">
      <c r="A1691" s="877">
        <v>35251</v>
      </c>
      <c r="B1691" s="878">
        <v>1068.3</v>
      </c>
    </row>
    <row r="1692" spans="1:2" ht="16.149999999999999" customHeight="1">
      <c r="A1692" s="877">
        <v>35252</v>
      </c>
      <c r="B1692" s="880">
        <v>1067.3499999999999</v>
      </c>
    </row>
    <row r="1693" spans="1:2" ht="16.149999999999999" customHeight="1">
      <c r="A1693" s="877">
        <v>35253</v>
      </c>
      <c r="B1693" s="878">
        <v>1067.3499999999999</v>
      </c>
    </row>
    <row r="1694" spans="1:2" ht="16.149999999999999" customHeight="1">
      <c r="A1694" s="877">
        <v>35254</v>
      </c>
      <c r="B1694" s="880">
        <v>1067.3499999999999</v>
      </c>
    </row>
    <row r="1695" spans="1:2" ht="16.149999999999999" customHeight="1">
      <c r="A1695" s="877">
        <v>35255</v>
      </c>
      <c r="B1695" s="878">
        <v>1068.17</v>
      </c>
    </row>
    <row r="1696" spans="1:2" ht="16.149999999999999" customHeight="1">
      <c r="A1696" s="877">
        <v>35256</v>
      </c>
      <c r="B1696" s="880">
        <v>1067.97</v>
      </c>
    </row>
    <row r="1697" spans="1:2" ht="16.149999999999999" customHeight="1">
      <c r="A1697" s="877">
        <v>35257</v>
      </c>
      <c r="B1697" s="878">
        <v>1065.6500000000001</v>
      </c>
    </row>
    <row r="1698" spans="1:2" ht="16.149999999999999" customHeight="1">
      <c r="A1698" s="877">
        <v>35258</v>
      </c>
      <c r="B1698" s="880">
        <v>1061.79</v>
      </c>
    </row>
    <row r="1699" spans="1:2" ht="16.149999999999999" customHeight="1">
      <c r="A1699" s="877">
        <v>35259</v>
      </c>
      <c r="B1699" s="878">
        <v>1061.99</v>
      </c>
    </row>
    <row r="1700" spans="1:2" ht="16.149999999999999" customHeight="1">
      <c r="A1700" s="877">
        <v>35260</v>
      </c>
      <c r="B1700" s="880">
        <v>1061.99</v>
      </c>
    </row>
    <row r="1701" spans="1:2" ht="16.149999999999999" customHeight="1">
      <c r="A1701" s="877">
        <v>35261</v>
      </c>
      <c r="B1701" s="878">
        <v>1061.99</v>
      </c>
    </row>
    <row r="1702" spans="1:2" ht="16.149999999999999" customHeight="1">
      <c r="A1702" s="877">
        <v>35262</v>
      </c>
      <c r="B1702" s="880">
        <v>1065.58</v>
      </c>
    </row>
    <row r="1703" spans="1:2" ht="16.149999999999999" customHeight="1">
      <c r="A1703" s="877">
        <v>35263</v>
      </c>
      <c r="B1703" s="878">
        <v>1064.82</v>
      </c>
    </row>
    <row r="1704" spans="1:2" ht="16.149999999999999" customHeight="1">
      <c r="A1704" s="877">
        <v>35264</v>
      </c>
      <c r="B1704" s="880">
        <v>1062.8599999999999</v>
      </c>
    </row>
    <row r="1705" spans="1:2" ht="16.149999999999999" customHeight="1">
      <c r="A1705" s="877">
        <v>35265</v>
      </c>
      <c r="B1705" s="878">
        <v>1058.92</v>
      </c>
    </row>
    <row r="1706" spans="1:2" ht="16.149999999999999" customHeight="1">
      <c r="A1706" s="877">
        <v>35266</v>
      </c>
      <c r="B1706" s="880">
        <v>1061.02</v>
      </c>
    </row>
    <row r="1707" spans="1:2" ht="16.149999999999999" customHeight="1">
      <c r="A1707" s="877">
        <v>35267</v>
      </c>
      <c r="B1707" s="878">
        <v>1061.02</v>
      </c>
    </row>
    <row r="1708" spans="1:2" ht="16.149999999999999" customHeight="1">
      <c r="A1708" s="877">
        <v>35268</v>
      </c>
      <c r="B1708" s="880">
        <v>1061.02</v>
      </c>
    </row>
    <row r="1709" spans="1:2" ht="16.149999999999999" customHeight="1">
      <c r="A1709" s="877">
        <v>35269</v>
      </c>
      <c r="B1709" s="878">
        <v>1063.53</v>
      </c>
    </row>
    <row r="1710" spans="1:2" ht="16.149999999999999" customHeight="1">
      <c r="A1710" s="877">
        <v>35270</v>
      </c>
      <c r="B1710" s="880">
        <v>1064.56</v>
      </c>
    </row>
    <row r="1711" spans="1:2" ht="16.149999999999999" customHeight="1">
      <c r="A1711" s="877">
        <v>35271</v>
      </c>
      <c r="B1711" s="878">
        <v>1061.46</v>
      </c>
    </row>
    <row r="1712" spans="1:2" ht="16.149999999999999" customHeight="1">
      <c r="A1712" s="877">
        <v>35272</v>
      </c>
      <c r="B1712" s="880">
        <v>1061.03</v>
      </c>
    </row>
    <row r="1713" spans="1:2" ht="16.149999999999999" customHeight="1">
      <c r="A1713" s="877">
        <v>35273</v>
      </c>
      <c r="B1713" s="878">
        <v>1061.48</v>
      </c>
    </row>
    <row r="1714" spans="1:2" ht="16.149999999999999" customHeight="1">
      <c r="A1714" s="877">
        <v>35274</v>
      </c>
      <c r="B1714" s="880">
        <v>1061.48</v>
      </c>
    </row>
    <row r="1715" spans="1:2" ht="16.149999999999999" customHeight="1">
      <c r="A1715" s="877">
        <v>35275</v>
      </c>
      <c r="B1715" s="878">
        <v>1061.48</v>
      </c>
    </row>
    <row r="1716" spans="1:2" ht="16.149999999999999" customHeight="1">
      <c r="A1716" s="877">
        <v>35276</v>
      </c>
      <c r="B1716" s="880">
        <v>1059.18</v>
      </c>
    </row>
    <row r="1717" spans="1:2" ht="16.149999999999999" customHeight="1">
      <c r="A1717" s="877">
        <v>35277</v>
      </c>
      <c r="B1717" s="878">
        <v>1056.74</v>
      </c>
    </row>
    <row r="1718" spans="1:2" ht="16.149999999999999" customHeight="1">
      <c r="A1718" s="877">
        <v>35278</v>
      </c>
      <c r="B1718" s="880">
        <v>1057.47</v>
      </c>
    </row>
    <row r="1719" spans="1:2" ht="16.149999999999999" customHeight="1">
      <c r="A1719" s="877">
        <v>35279</v>
      </c>
      <c r="B1719" s="878">
        <v>1054.8699999999999</v>
      </c>
    </row>
    <row r="1720" spans="1:2" ht="16.149999999999999" customHeight="1">
      <c r="A1720" s="877">
        <v>35280</v>
      </c>
      <c r="B1720" s="880">
        <v>1054.0999999999999</v>
      </c>
    </row>
    <row r="1721" spans="1:2" ht="16.149999999999999" customHeight="1">
      <c r="A1721" s="877">
        <v>35281</v>
      </c>
      <c r="B1721" s="878">
        <v>1054.0999999999999</v>
      </c>
    </row>
    <row r="1722" spans="1:2" ht="16.149999999999999" customHeight="1">
      <c r="A1722" s="877">
        <v>35282</v>
      </c>
      <c r="B1722" s="880">
        <v>1054.0999999999999</v>
      </c>
    </row>
    <row r="1723" spans="1:2" ht="16.149999999999999" customHeight="1">
      <c r="A1723" s="877">
        <v>35283</v>
      </c>
      <c r="B1723" s="878">
        <v>1051.6099999999999</v>
      </c>
    </row>
    <row r="1724" spans="1:2" ht="16.149999999999999" customHeight="1">
      <c r="A1724" s="877">
        <v>35284</v>
      </c>
      <c r="B1724" s="880">
        <v>1049.3699999999999</v>
      </c>
    </row>
    <row r="1725" spans="1:2" ht="16.149999999999999" customHeight="1">
      <c r="A1725" s="877">
        <v>35285</v>
      </c>
      <c r="B1725" s="878">
        <v>1049.3699999999999</v>
      </c>
    </row>
    <row r="1726" spans="1:2" ht="16.149999999999999" customHeight="1">
      <c r="A1726" s="877">
        <v>35286</v>
      </c>
      <c r="B1726" s="880">
        <v>1044.9000000000001</v>
      </c>
    </row>
    <row r="1727" spans="1:2" ht="16.149999999999999" customHeight="1">
      <c r="A1727" s="877">
        <v>35287</v>
      </c>
      <c r="B1727" s="878">
        <v>1040.68</v>
      </c>
    </row>
    <row r="1728" spans="1:2" ht="16.149999999999999" customHeight="1">
      <c r="A1728" s="877">
        <v>35288</v>
      </c>
      <c r="B1728" s="880">
        <v>1040.68</v>
      </c>
    </row>
    <row r="1729" spans="1:2" ht="16.149999999999999" customHeight="1">
      <c r="A1729" s="877">
        <v>35289</v>
      </c>
      <c r="B1729" s="878">
        <v>1040.68</v>
      </c>
    </row>
    <row r="1730" spans="1:2" ht="16.149999999999999" customHeight="1">
      <c r="A1730" s="877">
        <v>35290</v>
      </c>
      <c r="B1730" s="880">
        <v>1035.79</v>
      </c>
    </row>
    <row r="1731" spans="1:2" ht="16.149999999999999" customHeight="1">
      <c r="A1731" s="877">
        <v>35291</v>
      </c>
      <c r="B1731" s="878">
        <v>1029.46</v>
      </c>
    </row>
    <row r="1732" spans="1:2" ht="16.149999999999999" customHeight="1">
      <c r="A1732" s="877">
        <v>35292</v>
      </c>
      <c r="B1732" s="880">
        <v>1041.76</v>
      </c>
    </row>
    <row r="1733" spans="1:2" ht="16.149999999999999" customHeight="1">
      <c r="A1733" s="877">
        <v>35293</v>
      </c>
      <c r="B1733" s="878">
        <v>1051.82</v>
      </c>
    </row>
    <row r="1734" spans="1:2" ht="16.149999999999999" customHeight="1">
      <c r="A1734" s="877">
        <v>35294</v>
      </c>
      <c r="B1734" s="880">
        <v>1047.9000000000001</v>
      </c>
    </row>
    <row r="1735" spans="1:2" ht="16.149999999999999" customHeight="1">
      <c r="A1735" s="877">
        <v>35295</v>
      </c>
      <c r="B1735" s="878">
        <v>1047.9000000000001</v>
      </c>
    </row>
    <row r="1736" spans="1:2" ht="16.149999999999999" customHeight="1">
      <c r="A1736" s="877">
        <v>35296</v>
      </c>
      <c r="B1736" s="880">
        <v>1047.9000000000001</v>
      </c>
    </row>
    <row r="1737" spans="1:2" ht="16.149999999999999" customHeight="1">
      <c r="A1737" s="877">
        <v>35297</v>
      </c>
      <c r="B1737" s="878">
        <v>1047.9000000000001</v>
      </c>
    </row>
    <row r="1738" spans="1:2" ht="16.149999999999999" customHeight="1">
      <c r="A1738" s="877">
        <v>35298</v>
      </c>
      <c r="B1738" s="880">
        <v>1044.54</v>
      </c>
    </row>
    <row r="1739" spans="1:2" ht="16.149999999999999" customHeight="1">
      <c r="A1739" s="877">
        <v>35299</v>
      </c>
      <c r="B1739" s="878">
        <v>1037.43</v>
      </c>
    </row>
    <row r="1740" spans="1:2" ht="16.149999999999999" customHeight="1">
      <c r="A1740" s="877">
        <v>35300</v>
      </c>
      <c r="B1740" s="880">
        <v>1040.1500000000001</v>
      </c>
    </row>
    <row r="1741" spans="1:2" ht="16.149999999999999" customHeight="1">
      <c r="A1741" s="877">
        <v>35301</v>
      </c>
      <c r="B1741" s="878">
        <v>1037.0999999999999</v>
      </c>
    </row>
    <row r="1742" spans="1:2" ht="16.149999999999999" customHeight="1">
      <c r="A1742" s="877">
        <v>35302</v>
      </c>
      <c r="B1742" s="880">
        <v>1037.0999999999999</v>
      </c>
    </row>
    <row r="1743" spans="1:2" ht="16.149999999999999" customHeight="1">
      <c r="A1743" s="877">
        <v>35303</v>
      </c>
      <c r="B1743" s="878">
        <v>1037.0999999999999</v>
      </c>
    </row>
    <row r="1744" spans="1:2" ht="16.149999999999999" customHeight="1">
      <c r="A1744" s="877">
        <v>35304</v>
      </c>
      <c r="B1744" s="880">
        <v>1041.6400000000001</v>
      </c>
    </row>
    <row r="1745" spans="1:2" ht="16.149999999999999" customHeight="1">
      <c r="A1745" s="877">
        <v>35305</v>
      </c>
      <c r="B1745" s="878">
        <v>1044.54</v>
      </c>
    </row>
    <row r="1746" spans="1:2" ht="16.149999999999999" customHeight="1">
      <c r="A1746" s="877">
        <v>35306</v>
      </c>
      <c r="B1746" s="880">
        <v>1046.7</v>
      </c>
    </row>
    <row r="1747" spans="1:2" ht="16.149999999999999" customHeight="1">
      <c r="A1747" s="877">
        <v>35307</v>
      </c>
      <c r="B1747" s="878">
        <v>1045.02</v>
      </c>
    </row>
    <row r="1748" spans="1:2" ht="16.149999999999999" customHeight="1">
      <c r="A1748" s="877">
        <v>35308</v>
      </c>
      <c r="B1748" s="880">
        <v>1042.32</v>
      </c>
    </row>
    <row r="1749" spans="1:2" ht="16.149999999999999" customHeight="1">
      <c r="A1749" s="877">
        <v>35309</v>
      </c>
      <c r="B1749" s="878">
        <v>1042.32</v>
      </c>
    </row>
    <row r="1750" spans="1:2" ht="16.149999999999999" customHeight="1">
      <c r="A1750" s="877">
        <v>35310</v>
      </c>
      <c r="B1750" s="880">
        <v>1042.32</v>
      </c>
    </row>
    <row r="1751" spans="1:2" ht="16.149999999999999" customHeight="1">
      <c r="A1751" s="877">
        <v>35311</v>
      </c>
      <c r="B1751" s="878">
        <v>1044.3800000000001</v>
      </c>
    </row>
    <row r="1752" spans="1:2" ht="16.149999999999999" customHeight="1">
      <c r="A1752" s="877">
        <v>35312</v>
      </c>
      <c r="B1752" s="880">
        <v>1045.27</v>
      </c>
    </row>
    <row r="1753" spans="1:2" ht="16.149999999999999" customHeight="1">
      <c r="A1753" s="877">
        <v>35313</v>
      </c>
      <c r="B1753" s="878">
        <v>1044.0899999999999</v>
      </c>
    </row>
    <row r="1754" spans="1:2" ht="16.149999999999999" customHeight="1">
      <c r="A1754" s="877">
        <v>35314</v>
      </c>
      <c r="B1754" s="880">
        <v>1043.93</v>
      </c>
    </row>
    <row r="1755" spans="1:2" ht="16.149999999999999" customHeight="1">
      <c r="A1755" s="877">
        <v>35315</v>
      </c>
      <c r="B1755" s="878">
        <v>1045.8699999999999</v>
      </c>
    </row>
    <row r="1756" spans="1:2" ht="16.149999999999999" customHeight="1">
      <c r="A1756" s="877">
        <v>35316</v>
      </c>
      <c r="B1756" s="880">
        <v>1045.8699999999999</v>
      </c>
    </row>
    <row r="1757" spans="1:2" ht="16.149999999999999" customHeight="1">
      <c r="A1757" s="877">
        <v>35317</v>
      </c>
      <c r="B1757" s="878">
        <v>1045.8699999999999</v>
      </c>
    </row>
    <row r="1758" spans="1:2" ht="16.149999999999999" customHeight="1">
      <c r="A1758" s="877">
        <v>35318</v>
      </c>
      <c r="B1758" s="880">
        <v>1047.95</v>
      </c>
    </row>
    <row r="1759" spans="1:2" ht="16.149999999999999" customHeight="1">
      <c r="A1759" s="877">
        <v>35319</v>
      </c>
      <c r="B1759" s="878">
        <v>1051.6400000000001</v>
      </c>
    </row>
    <row r="1760" spans="1:2" ht="16.149999999999999" customHeight="1">
      <c r="A1760" s="877">
        <v>35320</v>
      </c>
      <c r="B1760" s="880">
        <v>1047.26</v>
      </c>
    </row>
    <row r="1761" spans="1:2" ht="16.149999999999999" customHeight="1">
      <c r="A1761" s="877">
        <v>35321</v>
      </c>
      <c r="B1761" s="878">
        <v>1047.6600000000001</v>
      </c>
    </row>
    <row r="1762" spans="1:2" ht="16.149999999999999" customHeight="1">
      <c r="A1762" s="877">
        <v>35322</v>
      </c>
      <c r="B1762" s="880">
        <v>1043.8900000000001</v>
      </c>
    </row>
    <row r="1763" spans="1:2" ht="16.149999999999999" customHeight="1">
      <c r="A1763" s="877">
        <v>35323</v>
      </c>
      <c r="B1763" s="878">
        <v>1043.8900000000001</v>
      </c>
    </row>
    <row r="1764" spans="1:2" ht="16.149999999999999" customHeight="1">
      <c r="A1764" s="877">
        <v>35324</v>
      </c>
      <c r="B1764" s="880">
        <v>1043.8900000000001</v>
      </c>
    </row>
    <row r="1765" spans="1:2" ht="16.149999999999999" customHeight="1">
      <c r="A1765" s="877">
        <v>35325</v>
      </c>
      <c r="B1765" s="878">
        <v>1042.8</v>
      </c>
    </row>
    <row r="1766" spans="1:2" ht="16.149999999999999" customHeight="1">
      <c r="A1766" s="877">
        <v>35326</v>
      </c>
      <c r="B1766" s="880">
        <v>1038.9000000000001</v>
      </c>
    </row>
    <row r="1767" spans="1:2" ht="16.149999999999999" customHeight="1">
      <c r="A1767" s="877">
        <v>35327</v>
      </c>
      <c r="B1767" s="878">
        <v>1035.94</v>
      </c>
    </row>
    <row r="1768" spans="1:2" ht="16.149999999999999" customHeight="1">
      <c r="A1768" s="877">
        <v>35328</v>
      </c>
      <c r="B1768" s="880">
        <v>1037.0999999999999</v>
      </c>
    </row>
    <row r="1769" spans="1:2" ht="16.149999999999999" customHeight="1">
      <c r="A1769" s="877">
        <v>35329</v>
      </c>
      <c r="B1769" s="878">
        <v>1037.1099999999999</v>
      </c>
    </row>
    <row r="1770" spans="1:2" ht="16.149999999999999" customHeight="1">
      <c r="A1770" s="877">
        <v>35330</v>
      </c>
      <c r="B1770" s="880">
        <v>1037.1099999999999</v>
      </c>
    </row>
    <row r="1771" spans="1:2" ht="16.149999999999999" customHeight="1">
      <c r="A1771" s="877">
        <v>35331</v>
      </c>
      <c r="B1771" s="878">
        <v>1037.1099999999999</v>
      </c>
    </row>
    <row r="1772" spans="1:2" ht="16.149999999999999" customHeight="1">
      <c r="A1772" s="877">
        <v>35332</v>
      </c>
      <c r="B1772" s="880">
        <v>1038.0899999999999</v>
      </c>
    </row>
    <row r="1773" spans="1:2" ht="16.149999999999999" customHeight="1">
      <c r="A1773" s="877">
        <v>35333</v>
      </c>
      <c r="B1773" s="878">
        <v>1040.3599999999999</v>
      </c>
    </row>
    <row r="1774" spans="1:2" ht="16.149999999999999" customHeight="1">
      <c r="A1774" s="877">
        <v>35334</v>
      </c>
      <c r="B1774" s="880">
        <v>1030.25</v>
      </c>
    </row>
    <row r="1775" spans="1:2" ht="16.149999999999999" customHeight="1">
      <c r="A1775" s="877">
        <v>35335</v>
      </c>
      <c r="B1775" s="878">
        <v>1027.68</v>
      </c>
    </row>
    <row r="1776" spans="1:2" ht="16.149999999999999" customHeight="1">
      <c r="A1776" s="877">
        <v>35336</v>
      </c>
      <c r="B1776" s="880">
        <v>1025.06</v>
      </c>
    </row>
    <row r="1777" spans="1:2" ht="16.149999999999999" customHeight="1">
      <c r="A1777" s="877">
        <v>35337</v>
      </c>
      <c r="B1777" s="878">
        <v>1025.06</v>
      </c>
    </row>
    <row r="1778" spans="1:2" ht="16.149999999999999" customHeight="1">
      <c r="A1778" s="877">
        <v>35338</v>
      </c>
      <c r="B1778" s="880">
        <v>1025.06</v>
      </c>
    </row>
    <row r="1779" spans="1:2" ht="16.149999999999999" customHeight="1">
      <c r="A1779" s="877">
        <v>35339</v>
      </c>
      <c r="B1779" s="878">
        <v>1027.08</v>
      </c>
    </row>
    <row r="1780" spans="1:2" ht="16.149999999999999" customHeight="1">
      <c r="A1780" s="877">
        <v>35340</v>
      </c>
      <c r="B1780" s="880">
        <v>1030.54</v>
      </c>
    </row>
    <row r="1781" spans="1:2" ht="16.149999999999999" customHeight="1">
      <c r="A1781" s="877">
        <v>35341</v>
      </c>
      <c r="B1781" s="878">
        <v>1019.17</v>
      </c>
    </row>
    <row r="1782" spans="1:2" ht="16.149999999999999" customHeight="1">
      <c r="A1782" s="877">
        <v>35342</v>
      </c>
      <c r="B1782" s="880">
        <v>1015.24</v>
      </c>
    </row>
    <row r="1783" spans="1:2" ht="16.149999999999999" customHeight="1">
      <c r="A1783" s="877">
        <v>35343</v>
      </c>
      <c r="B1783" s="878">
        <v>1014.99</v>
      </c>
    </row>
    <row r="1784" spans="1:2" ht="16.149999999999999" customHeight="1">
      <c r="A1784" s="877">
        <v>35344</v>
      </c>
      <c r="B1784" s="880">
        <v>1014.99</v>
      </c>
    </row>
    <row r="1785" spans="1:2" ht="16.149999999999999" customHeight="1">
      <c r="A1785" s="877">
        <v>35345</v>
      </c>
      <c r="B1785" s="878">
        <v>1014.99</v>
      </c>
    </row>
    <row r="1786" spans="1:2" ht="16.149999999999999" customHeight="1">
      <c r="A1786" s="877">
        <v>35346</v>
      </c>
      <c r="B1786" s="880">
        <v>1012.56</v>
      </c>
    </row>
    <row r="1787" spans="1:2" ht="16.149999999999999" customHeight="1">
      <c r="A1787" s="877">
        <v>35347</v>
      </c>
      <c r="B1787" s="878">
        <v>1010.32</v>
      </c>
    </row>
    <row r="1788" spans="1:2" ht="16.149999999999999" customHeight="1">
      <c r="A1788" s="877">
        <v>35348</v>
      </c>
      <c r="B1788" s="880">
        <v>1012.27</v>
      </c>
    </row>
    <row r="1789" spans="1:2" ht="16.149999999999999" customHeight="1">
      <c r="A1789" s="877">
        <v>35349</v>
      </c>
      <c r="B1789" s="878">
        <v>1013.12</v>
      </c>
    </row>
    <row r="1790" spans="1:2" ht="16.149999999999999" customHeight="1">
      <c r="A1790" s="877">
        <v>35350</v>
      </c>
      <c r="B1790" s="880">
        <v>1015.07</v>
      </c>
    </row>
    <row r="1791" spans="1:2" ht="16.149999999999999" customHeight="1">
      <c r="A1791" s="877">
        <v>35351</v>
      </c>
      <c r="B1791" s="878">
        <v>1015.07</v>
      </c>
    </row>
    <row r="1792" spans="1:2" ht="16.149999999999999" customHeight="1">
      <c r="A1792" s="877">
        <v>35352</v>
      </c>
      <c r="B1792" s="880">
        <v>1015.07</v>
      </c>
    </row>
    <row r="1793" spans="1:2" ht="16.149999999999999" customHeight="1">
      <c r="A1793" s="877">
        <v>35353</v>
      </c>
      <c r="B1793" s="878">
        <v>1015.07</v>
      </c>
    </row>
    <row r="1794" spans="1:2" ht="16.149999999999999" customHeight="1">
      <c r="A1794" s="877">
        <v>35354</v>
      </c>
      <c r="B1794" s="880">
        <v>1019.22</v>
      </c>
    </row>
    <row r="1795" spans="1:2" ht="16.149999999999999" customHeight="1">
      <c r="A1795" s="877">
        <v>35355</v>
      </c>
      <c r="B1795" s="878">
        <v>1018.5</v>
      </c>
    </row>
    <row r="1796" spans="1:2" ht="16.149999999999999" customHeight="1">
      <c r="A1796" s="877">
        <v>35356</v>
      </c>
      <c r="B1796" s="880">
        <v>1015.24</v>
      </c>
    </row>
    <row r="1797" spans="1:2" ht="16.149999999999999" customHeight="1">
      <c r="A1797" s="877">
        <v>35357</v>
      </c>
      <c r="B1797" s="878">
        <v>1016.87</v>
      </c>
    </row>
    <row r="1798" spans="1:2" ht="16.149999999999999" customHeight="1">
      <c r="A1798" s="877">
        <v>35358</v>
      </c>
      <c r="B1798" s="880">
        <v>1016.87</v>
      </c>
    </row>
    <row r="1799" spans="1:2" ht="16.149999999999999" customHeight="1">
      <c r="A1799" s="877">
        <v>35359</v>
      </c>
      <c r="B1799" s="878">
        <v>1016.87</v>
      </c>
    </row>
    <row r="1800" spans="1:2" ht="16.149999999999999" customHeight="1">
      <c r="A1800" s="877">
        <v>35360</v>
      </c>
      <c r="B1800" s="880">
        <v>1018.33</v>
      </c>
    </row>
    <row r="1801" spans="1:2" ht="16.149999999999999" customHeight="1">
      <c r="A1801" s="877">
        <v>35361</v>
      </c>
      <c r="B1801" s="878">
        <v>1018.04</v>
      </c>
    </row>
    <row r="1802" spans="1:2" ht="16.149999999999999" customHeight="1">
      <c r="A1802" s="877">
        <v>35362</v>
      </c>
      <c r="B1802" s="880">
        <v>1017.52</v>
      </c>
    </row>
    <row r="1803" spans="1:2" ht="16.149999999999999" customHeight="1">
      <c r="A1803" s="877">
        <v>35363</v>
      </c>
      <c r="B1803" s="878">
        <v>1015.49</v>
      </c>
    </row>
    <row r="1804" spans="1:2" ht="16.149999999999999" customHeight="1">
      <c r="A1804" s="877">
        <v>35364</v>
      </c>
      <c r="B1804" s="880">
        <v>1011.69</v>
      </c>
    </row>
    <row r="1805" spans="1:2" ht="16.149999999999999" customHeight="1">
      <c r="A1805" s="877">
        <v>35365</v>
      </c>
      <c r="B1805" s="878">
        <v>1011.69</v>
      </c>
    </row>
    <row r="1806" spans="1:2" ht="16.149999999999999" customHeight="1">
      <c r="A1806" s="877">
        <v>35366</v>
      </c>
      <c r="B1806" s="880">
        <v>1011.69</v>
      </c>
    </row>
    <row r="1807" spans="1:2" ht="16.149999999999999" customHeight="1">
      <c r="A1807" s="877">
        <v>35367</v>
      </c>
      <c r="B1807" s="878">
        <v>1012.43</v>
      </c>
    </row>
    <row r="1808" spans="1:2" ht="16.149999999999999" customHeight="1">
      <c r="A1808" s="877">
        <v>35368</v>
      </c>
      <c r="B1808" s="880">
        <v>1007.57</v>
      </c>
    </row>
    <row r="1809" spans="1:2" ht="16.149999999999999" customHeight="1">
      <c r="A1809" s="877">
        <v>35369</v>
      </c>
      <c r="B1809" s="878">
        <v>1005.83</v>
      </c>
    </row>
    <row r="1810" spans="1:2" ht="16.149999999999999" customHeight="1">
      <c r="A1810" s="877">
        <v>35370</v>
      </c>
      <c r="B1810" s="880">
        <v>1000.14</v>
      </c>
    </row>
    <row r="1811" spans="1:2" ht="16.149999999999999" customHeight="1">
      <c r="A1811" s="877">
        <v>35371</v>
      </c>
      <c r="B1811" s="878">
        <v>999.49</v>
      </c>
    </row>
    <row r="1812" spans="1:2" ht="16.149999999999999" customHeight="1">
      <c r="A1812" s="877">
        <v>35372</v>
      </c>
      <c r="B1812" s="880">
        <v>999.49</v>
      </c>
    </row>
    <row r="1813" spans="1:2" ht="16.149999999999999" customHeight="1">
      <c r="A1813" s="877">
        <v>35373</v>
      </c>
      <c r="B1813" s="878">
        <v>999.49</v>
      </c>
    </row>
    <row r="1814" spans="1:2" ht="16.149999999999999" customHeight="1">
      <c r="A1814" s="877">
        <v>35374</v>
      </c>
      <c r="B1814" s="880">
        <v>999.49</v>
      </c>
    </row>
    <row r="1815" spans="1:2" ht="16.149999999999999" customHeight="1">
      <c r="A1815" s="877">
        <v>35375</v>
      </c>
      <c r="B1815" s="878">
        <v>1006.36</v>
      </c>
    </row>
    <row r="1816" spans="1:2" ht="16.149999999999999" customHeight="1">
      <c r="A1816" s="877">
        <v>35376</v>
      </c>
      <c r="B1816" s="880">
        <v>1003.75</v>
      </c>
    </row>
    <row r="1817" spans="1:2" ht="16.149999999999999" customHeight="1">
      <c r="A1817" s="877">
        <v>35377</v>
      </c>
      <c r="B1817" s="878">
        <v>999.59</v>
      </c>
    </row>
    <row r="1818" spans="1:2" ht="16.149999999999999" customHeight="1">
      <c r="A1818" s="877">
        <v>35378</v>
      </c>
      <c r="B1818" s="880">
        <v>1001.24</v>
      </c>
    </row>
    <row r="1819" spans="1:2" ht="16.149999999999999" customHeight="1">
      <c r="A1819" s="877">
        <v>35379</v>
      </c>
      <c r="B1819" s="878">
        <v>1001.24</v>
      </c>
    </row>
    <row r="1820" spans="1:2" ht="16.149999999999999" customHeight="1">
      <c r="A1820" s="877">
        <v>35380</v>
      </c>
      <c r="B1820" s="880">
        <v>1001.24</v>
      </c>
    </row>
    <row r="1821" spans="1:2" ht="16.149999999999999" customHeight="1">
      <c r="A1821" s="877">
        <v>35381</v>
      </c>
      <c r="B1821" s="878">
        <v>1001.24</v>
      </c>
    </row>
    <row r="1822" spans="1:2" ht="16.149999999999999" customHeight="1">
      <c r="A1822" s="877">
        <v>35382</v>
      </c>
      <c r="B1822" s="880">
        <v>1000.22</v>
      </c>
    </row>
    <row r="1823" spans="1:2" ht="16.149999999999999" customHeight="1">
      <c r="A1823" s="877">
        <v>35383</v>
      </c>
      <c r="B1823" s="878">
        <v>997.38</v>
      </c>
    </row>
    <row r="1824" spans="1:2" ht="16.149999999999999" customHeight="1">
      <c r="A1824" s="877">
        <v>35384</v>
      </c>
      <c r="B1824" s="880">
        <v>1001.68</v>
      </c>
    </row>
    <row r="1825" spans="1:2" ht="16.149999999999999" customHeight="1">
      <c r="A1825" s="877">
        <v>35385</v>
      </c>
      <c r="B1825" s="878">
        <v>999.68</v>
      </c>
    </row>
    <row r="1826" spans="1:2" ht="16.149999999999999" customHeight="1">
      <c r="A1826" s="877">
        <v>35386</v>
      </c>
      <c r="B1826" s="880">
        <v>999.68</v>
      </c>
    </row>
    <row r="1827" spans="1:2" ht="16.149999999999999" customHeight="1">
      <c r="A1827" s="877">
        <v>35387</v>
      </c>
      <c r="B1827" s="878">
        <v>999.68</v>
      </c>
    </row>
    <row r="1828" spans="1:2" ht="16.149999999999999" customHeight="1">
      <c r="A1828" s="877">
        <v>35388</v>
      </c>
      <c r="B1828" s="880">
        <v>995.96</v>
      </c>
    </row>
    <row r="1829" spans="1:2" ht="16.149999999999999" customHeight="1">
      <c r="A1829" s="877">
        <v>35389</v>
      </c>
      <c r="B1829" s="878">
        <v>994.02</v>
      </c>
    </row>
    <row r="1830" spans="1:2" ht="16.149999999999999" customHeight="1">
      <c r="A1830" s="877">
        <v>35390</v>
      </c>
      <c r="B1830" s="880">
        <v>995.2</v>
      </c>
    </row>
    <row r="1831" spans="1:2" ht="16.149999999999999" customHeight="1">
      <c r="A1831" s="877">
        <v>35391</v>
      </c>
      <c r="B1831" s="878">
        <v>994.37</v>
      </c>
    </row>
    <row r="1832" spans="1:2" ht="16.149999999999999" customHeight="1">
      <c r="A1832" s="877">
        <v>35392</v>
      </c>
      <c r="B1832" s="880">
        <v>995.34</v>
      </c>
    </row>
    <row r="1833" spans="1:2" ht="16.149999999999999" customHeight="1">
      <c r="A1833" s="877">
        <v>35393</v>
      </c>
      <c r="B1833" s="878">
        <v>995.34</v>
      </c>
    </row>
    <row r="1834" spans="1:2" ht="16.149999999999999" customHeight="1">
      <c r="A1834" s="877">
        <v>35394</v>
      </c>
      <c r="B1834" s="880">
        <v>995.34</v>
      </c>
    </row>
    <row r="1835" spans="1:2" ht="16.149999999999999" customHeight="1">
      <c r="A1835" s="877">
        <v>35395</v>
      </c>
      <c r="B1835" s="878">
        <v>995.05</v>
      </c>
    </row>
    <row r="1836" spans="1:2" ht="16.149999999999999" customHeight="1">
      <c r="A1836" s="877">
        <v>35396</v>
      </c>
      <c r="B1836" s="880">
        <v>995.05</v>
      </c>
    </row>
    <row r="1837" spans="1:2" ht="16.149999999999999" customHeight="1">
      <c r="A1837" s="877">
        <v>35397</v>
      </c>
      <c r="B1837" s="878">
        <v>995.93</v>
      </c>
    </row>
    <row r="1838" spans="1:2" ht="16.149999999999999" customHeight="1">
      <c r="A1838" s="877">
        <v>35398</v>
      </c>
      <c r="B1838" s="880">
        <v>994.94</v>
      </c>
    </row>
    <row r="1839" spans="1:2" ht="16.149999999999999" customHeight="1">
      <c r="A1839" s="877">
        <v>35399</v>
      </c>
      <c r="B1839" s="878">
        <v>1002.28</v>
      </c>
    </row>
    <row r="1840" spans="1:2" ht="16.149999999999999" customHeight="1">
      <c r="A1840" s="877">
        <v>35400</v>
      </c>
      <c r="B1840" s="880">
        <v>1002.28</v>
      </c>
    </row>
    <row r="1841" spans="1:2" ht="16.149999999999999" customHeight="1">
      <c r="A1841" s="877">
        <v>35401</v>
      </c>
      <c r="B1841" s="878">
        <v>1002.28</v>
      </c>
    </row>
    <row r="1842" spans="1:2" ht="16.149999999999999" customHeight="1">
      <c r="A1842" s="877">
        <v>35402</v>
      </c>
      <c r="B1842" s="880">
        <v>1000.09</v>
      </c>
    </row>
    <row r="1843" spans="1:2" ht="16.149999999999999" customHeight="1">
      <c r="A1843" s="877">
        <v>35403</v>
      </c>
      <c r="B1843" s="878">
        <v>995.73</v>
      </c>
    </row>
    <row r="1844" spans="1:2" ht="16.149999999999999" customHeight="1">
      <c r="A1844" s="877">
        <v>35404</v>
      </c>
      <c r="B1844" s="880">
        <v>997.4</v>
      </c>
    </row>
    <row r="1845" spans="1:2" ht="16.149999999999999" customHeight="1">
      <c r="A1845" s="877">
        <v>35405</v>
      </c>
      <c r="B1845" s="878">
        <v>997.48</v>
      </c>
    </row>
    <row r="1846" spans="1:2" ht="16.149999999999999" customHeight="1">
      <c r="A1846" s="877">
        <v>35406</v>
      </c>
      <c r="B1846" s="880">
        <v>1001.82</v>
      </c>
    </row>
    <row r="1847" spans="1:2" ht="16.149999999999999" customHeight="1">
      <c r="A1847" s="877">
        <v>35407</v>
      </c>
      <c r="B1847" s="878">
        <v>1001.82</v>
      </c>
    </row>
    <row r="1848" spans="1:2" ht="16.149999999999999" customHeight="1">
      <c r="A1848" s="877">
        <v>35408</v>
      </c>
      <c r="B1848" s="880">
        <v>1001.82</v>
      </c>
    </row>
    <row r="1849" spans="1:2" ht="16.149999999999999" customHeight="1">
      <c r="A1849" s="877">
        <v>35409</v>
      </c>
      <c r="B1849" s="878">
        <v>997.99</v>
      </c>
    </row>
    <row r="1850" spans="1:2" ht="16.149999999999999" customHeight="1">
      <c r="A1850" s="877">
        <v>35410</v>
      </c>
      <c r="B1850" s="880">
        <v>998.17</v>
      </c>
    </row>
    <row r="1851" spans="1:2" ht="16.149999999999999" customHeight="1">
      <c r="A1851" s="877">
        <v>35411</v>
      </c>
      <c r="B1851" s="878">
        <v>998.31</v>
      </c>
    </row>
    <row r="1852" spans="1:2" ht="16.149999999999999" customHeight="1">
      <c r="A1852" s="877">
        <v>35412</v>
      </c>
      <c r="B1852" s="880">
        <v>999.47</v>
      </c>
    </row>
    <row r="1853" spans="1:2" ht="16.149999999999999" customHeight="1">
      <c r="A1853" s="877">
        <v>35413</v>
      </c>
      <c r="B1853" s="878">
        <v>1002.95</v>
      </c>
    </row>
    <row r="1854" spans="1:2" ht="16.149999999999999" customHeight="1">
      <c r="A1854" s="877">
        <v>35414</v>
      </c>
      <c r="B1854" s="880">
        <v>1002.95</v>
      </c>
    </row>
    <row r="1855" spans="1:2" ht="16.149999999999999" customHeight="1">
      <c r="A1855" s="877">
        <v>35415</v>
      </c>
      <c r="B1855" s="878">
        <v>1002.95</v>
      </c>
    </row>
    <row r="1856" spans="1:2" ht="16.149999999999999" customHeight="1">
      <c r="A1856" s="877">
        <v>35416</v>
      </c>
      <c r="B1856" s="880">
        <v>1001.58</v>
      </c>
    </row>
    <row r="1857" spans="1:2" ht="16.149999999999999" customHeight="1">
      <c r="A1857" s="877">
        <v>35417</v>
      </c>
      <c r="B1857" s="878">
        <v>1000.4</v>
      </c>
    </row>
    <row r="1858" spans="1:2" ht="16.149999999999999" customHeight="1">
      <c r="A1858" s="877">
        <v>35418</v>
      </c>
      <c r="B1858" s="880">
        <v>1001.18</v>
      </c>
    </row>
    <row r="1859" spans="1:2" ht="16.149999999999999" customHeight="1">
      <c r="A1859" s="877">
        <v>35419</v>
      </c>
      <c r="B1859" s="878">
        <v>1001.1</v>
      </c>
    </row>
    <row r="1860" spans="1:2" ht="16.149999999999999" customHeight="1">
      <c r="A1860" s="877">
        <v>35420</v>
      </c>
      <c r="B1860" s="880">
        <v>1003.15</v>
      </c>
    </row>
    <row r="1861" spans="1:2" ht="16.149999999999999" customHeight="1">
      <c r="A1861" s="877">
        <v>35421</v>
      </c>
      <c r="B1861" s="878">
        <v>1003.15</v>
      </c>
    </row>
    <row r="1862" spans="1:2" ht="16.149999999999999" customHeight="1">
      <c r="A1862" s="877">
        <v>35422</v>
      </c>
      <c r="B1862" s="880">
        <v>1003.15</v>
      </c>
    </row>
    <row r="1863" spans="1:2" ht="16.149999999999999" customHeight="1">
      <c r="A1863" s="877">
        <v>35423</v>
      </c>
      <c r="B1863" s="878">
        <v>1002.51</v>
      </c>
    </row>
    <row r="1864" spans="1:2" ht="16.149999999999999" customHeight="1">
      <c r="A1864" s="877">
        <v>35424</v>
      </c>
      <c r="B1864" s="880">
        <v>1002.51</v>
      </c>
    </row>
    <row r="1865" spans="1:2" ht="16.149999999999999" customHeight="1">
      <c r="A1865" s="877">
        <v>35425</v>
      </c>
      <c r="B1865" s="878">
        <v>1002.51</v>
      </c>
    </row>
    <row r="1866" spans="1:2" ht="16.149999999999999" customHeight="1">
      <c r="A1866" s="877">
        <v>35426</v>
      </c>
      <c r="B1866" s="880">
        <v>1003.49</v>
      </c>
    </row>
    <row r="1867" spans="1:2" ht="16.149999999999999" customHeight="1">
      <c r="A1867" s="877">
        <v>35427</v>
      </c>
      <c r="B1867" s="878">
        <v>1005.4</v>
      </c>
    </row>
    <row r="1868" spans="1:2" ht="16.149999999999999" customHeight="1">
      <c r="A1868" s="877">
        <v>35428</v>
      </c>
      <c r="B1868" s="880">
        <v>1005.4</v>
      </c>
    </row>
    <row r="1869" spans="1:2" ht="16.149999999999999" customHeight="1">
      <c r="A1869" s="877">
        <v>35429</v>
      </c>
      <c r="B1869" s="878">
        <v>1005.4</v>
      </c>
    </row>
    <row r="1870" spans="1:2" ht="16.149999999999999" customHeight="1">
      <c r="A1870" s="877">
        <v>35430</v>
      </c>
      <c r="B1870" s="880">
        <v>1005.33</v>
      </c>
    </row>
    <row r="1871" spans="1:2" ht="16.149999999999999" customHeight="1">
      <c r="A1871" s="877">
        <v>35431</v>
      </c>
      <c r="B1871" s="878">
        <v>1005.33</v>
      </c>
    </row>
    <row r="1872" spans="1:2" ht="16.149999999999999" customHeight="1">
      <c r="A1872" s="877">
        <v>35432</v>
      </c>
      <c r="B1872" s="880">
        <v>1005.33</v>
      </c>
    </row>
    <row r="1873" spans="1:2" ht="16.149999999999999" customHeight="1">
      <c r="A1873" s="877">
        <v>35433</v>
      </c>
      <c r="B1873" s="878">
        <v>1007.33</v>
      </c>
    </row>
    <row r="1874" spans="1:2" ht="16.149999999999999" customHeight="1">
      <c r="A1874" s="877">
        <v>35434</v>
      </c>
      <c r="B1874" s="880">
        <v>1016.81</v>
      </c>
    </row>
    <row r="1875" spans="1:2" ht="16.149999999999999" customHeight="1">
      <c r="A1875" s="877">
        <v>35435</v>
      </c>
      <c r="B1875" s="878">
        <v>1016.81</v>
      </c>
    </row>
    <row r="1876" spans="1:2" ht="16.149999999999999" customHeight="1">
      <c r="A1876" s="877">
        <v>35436</v>
      </c>
      <c r="B1876" s="880">
        <v>1016.81</v>
      </c>
    </row>
    <row r="1877" spans="1:2" ht="16.149999999999999" customHeight="1">
      <c r="A1877" s="877">
        <v>35437</v>
      </c>
      <c r="B1877" s="878">
        <v>1016.81</v>
      </c>
    </row>
    <row r="1878" spans="1:2" ht="16.149999999999999" customHeight="1">
      <c r="A1878" s="877">
        <v>35438</v>
      </c>
      <c r="B1878" s="880">
        <v>1022</v>
      </c>
    </row>
    <row r="1879" spans="1:2" ht="16.149999999999999" customHeight="1">
      <c r="A1879" s="877">
        <v>35439</v>
      </c>
      <c r="B1879" s="878">
        <v>1020.16</v>
      </c>
    </row>
    <row r="1880" spans="1:2" ht="16.149999999999999" customHeight="1">
      <c r="A1880" s="877">
        <v>35440</v>
      </c>
      <c r="B1880" s="880">
        <v>1013.68</v>
      </c>
    </row>
    <row r="1881" spans="1:2" ht="16.149999999999999" customHeight="1">
      <c r="A1881" s="877">
        <v>35441</v>
      </c>
      <c r="B1881" s="878">
        <v>1011.01</v>
      </c>
    </row>
    <row r="1882" spans="1:2" ht="16.149999999999999" customHeight="1">
      <c r="A1882" s="877">
        <v>35442</v>
      </c>
      <c r="B1882" s="880">
        <v>1011.01</v>
      </c>
    </row>
    <row r="1883" spans="1:2" ht="16.149999999999999" customHeight="1">
      <c r="A1883" s="877">
        <v>35443</v>
      </c>
      <c r="B1883" s="878">
        <v>1011.01</v>
      </c>
    </row>
    <row r="1884" spans="1:2" ht="16.149999999999999" customHeight="1">
      <c r="A1884" s="877">
        <v>35444</v>
      </c>
      <c r="B1884" s="880">
        <v>1015.53</v>
      </c>
    </row>
    <row r="1885" spans="1:2" ht="16.149999999999999" customHeight="1">
      <c r="A1885" s="877">
        <v>35445</v>
      </c>
      <c r="B1885" s="878">
        <v>1026.53</v>
      </c>
    </row>
    <row r="1886" spans="1:2" ht="16.149999999999999" customHeight="1">
      <c r="A1886" s="877">
        <v>35446</v>
      </c>
      <c r="B1886" s="880">
        <v>1023.47</v>
      </c>
    </row>
    <row r="1887" spans="1:2" ht="16.149999999999999" customHeight="1">
      <c r="A1887" s="877">
        <v>35447</v>
      </c>
      <c r="B1887" s="878">
        <v>1018.15</v>
      </c>
    </row>
    <row r="1888" spans="1:2" ht="16.149999999999999" customHeight="1">
      <c r="A1888" s="877">
        <v>35448</v>
      </c>
      <c r="B1888" s="880">
        <v>1020.9</v>
      </c>
    </row>
    <row r="1889" spans="1:2" ht="16.149999999999999" customHeight="1">
      <c r="A1889" s="877">
        <v>35449</v>
      </c>
      <c r="B1889" s="878">
        <v>1020.9</v>
      </c>
    </row>
    <row r="1890" spans="1:2" ht="16.149999999999999" customHeight="1">
      <c r="A1890" s="877">
        <v>35450</v>
      </c>
      <c r="B1890" s="880">
        <v>1020.9</v>
      </c>
    </row>
    <row r="1891" spans="1:2" ht="16.149999999999999" customHeight="1">
      <c r="A1891" s="877">
        <v>35451</v>
      </c>
      <c r="B1891" s="878">
        <v>1022.75</v>
      </c>
    </row>
    <row r="1892" spans="1:2" ht="16.149999999999999" customHeight="1">
      <c r="A1892" s="877">
        <v>35452</v>
      </c>
      <c r="B1892" s="880">
        <v>1023.67</v>
      </c>
    </row>
    <row r="1893" spans="1:2" ht="16.149999999999999" customHeight="1">
      <c r="A1893" s="877">
        <v>35453</v>
      </c>
      <c r="B1893" s="878">
        <v>1031.02</v>
      </c>
    </row>
    <row r="1894" spans="1:2" ht="16.149999999999999" customHeight="1">
      <c r="A1894" s="877">
        <v>35454</v>
      </c>
      <c r="B1894" s="880">
        <v>1031.51</v>
      </c>
    </row>
    <row r="1895" spans="1:2" ht="16.149999999999999" customHeight="1">
      <c r="A1895" s="877">
        <v>35455</v>
      </c>
      <c r="B1895" s="878">
        <v>1032.6199999999999</v>
      </c>
    </row>
    <row r="1896" spans="1:2" ht="16.149999999999999" customHeight="1">
      <c r="A1896" s="877">
        <v>35456</v>
      </c>
      <c r="B1896" s="880">
        <v>1032.6199999999999</v>
      </c>
    </row>
    <row r="1897" spans="1:2" ht="16.149999999999999" customHeight="1">
      <c r="A1897" s="877">
        <v>35457</v>
      </c>
      <c r="B1897" s="878">
        <v>1032.6199999999999</v>
      </c>
    </row>
    <row r="1898" spans="1:2" ht="16.149999999999999" customHeight="1">
      <c r="A1898" s="877">
        <v>35458</v>
      </c>
      <c r="B1898" s="880">
        <v>1040.07</v>
      </c>
    </row>
    <row r="1899" spans="1:2" ht="16.149999999999999" customHeight="1">
      <c r="A1899" s="877">
        <v>35459</v>
      </c>
      <c r="B1899" s="878">
        <v>1057</v>
      </c>
    </row>
    <row r="1900" spans="1:2" ht="16.149999999999999" customHeight="1">
      <c r="A1900" s="877">
        <v>35460</v>
      </c>
      <c r="B1900" s="880">
        <v>1057.82</v>
      </c>
    </row>
    <row r="1901" spans="1:2" ht="16.149999999999999" customHeight="1">
      <c r="A1901" s="877">
        <v>35461</v>
      </c>
      <c r="B1901" s="878">
        <v>1070.97</v>
      </c>
    </row>
    <row r="1902" spans="1:2" ht="16.149999999999999" customHeight="1">
      <c r="A1902" s="877">
        <v>35462</v>
      </c>
      <c r="B1902" s="880">
        <v>1064</v>
      </c>
    </row>
    <row r="1903" spans="1:2" ht="16.149999999999999" customHeight="1">
      <c r="A1903" s="877">
        <v>35463</v>
      </c>
      <c r="B1903" s="878">
        <v>1064</v>
      </c>
    </row>
    <row r="1904" spans="1:2" ht="16.149999999999999" customHeight="1">
      <c r="A1904" s="877">
        <v>35464</v>
      </c>
      <c r="B1904" s="880">
        <v>1064</v>
      </c>
    </row>
    <row r="1905" spans="1:2" ht="16.149999999999999" customHeight="1">
      <c r="A1905" s="877">
        <v>35465</v>
      </c>
      <c r="B1905" s="878">
        <v>1065.98</v>
      </c>
    </row>
    <row r="1906" spans="1:2" ht="16.149999999999999" customHeight="1">
      <c r="A1906" s="877">
        <v>35466</v>
      </c>
      <c r="B1906" s="880">
        <v>1076.25</v>
      </c>
    </row>
    <row r="1907" spans="1:2" ht="16.149999999999999" customHeight="1">
      <c r="A1907" s="877">
        <v>35467</v>
      </c>
      <c r="B1907" s="878">
        <v>1071.8800000000001</v>
      </c>
    </row>
    <row r="1908" spans="1:2" ht="16.149999999999999" customHeight="1">
      <c r="A1908" s="877">
        <v>35468</v>
      </c>
      <c r="B1908" s="880">
        <v>1070.08</v>
      </c>
    </row>
    <row r="1909" spans="1:2" ht="16.149999999999999" customHeight="1">
      <c r="A1909" s="877">
        <v>35469</v>
      </c>
      <c r="B1909" s="878">
        <v>1066.44</v>
      </c>
    </row>
    <row r="1910" spans="1:2" ht="16.149999999999999" customHeight="1">
      <c r="A1910" s="877">
        <v>35470</v>
      </c>
      <c r="B1910" s="880">
        <v>1066.44</v>
      </c>
    </row>
    <row r="1911" spans="1:2" ht="16.149999999999999" customHeight="1">
      <c r="A1911" s="877">
        <v>35471</v>
      </c>
      <c r="B1911" s="878">
        <v>1066.44</v>
      </c>
    </row>
    <row r="1912" spans="1:2" ht="16.149999999999999" customHeight="1">
      <c r="A1912" s="877">
        <v>35472</v>
      </c>
      <c r="B1912" s="880">
        <v>1074.25</v>
      </c>
    </row>
    <row r="1913" spans="1:2" ht="16.149999999999999" customHeight="1">
      <c r="A1913" s="877">
        <v>35473</v>
      </c>
      <c r="B1913" s="878">
        <v>1075.17</v>
      </c>
    </row>
    <row r="1914" spans="1:2" ht="16.149999999999999" customHeight="1">
      <c r="A1914" s="877">
        <v>35474</v>
      </c>
      <c r="B1914" s="880">
        <v>1075.51</v>
      </c>
    </row>
    <row r="1915" spans="1:2" ht="16.149999999999999" customHeight="1">
      <c r="A1915" s="877">
        <v>35475</v>
      </c>
      <c r="B1915" s="878">
        <v>1073.3599999999999</v>
      </c>
    </row>
    <row r="1916" spans="1:2" ht="16.149999999999999" customHeight="1">
      <c r="A1916" s="877">
        <v>35476</v>
      </c>
      <c r="B1916" s="880">
        <v>1075</v>
      </c>
    </row>
    <row r="1917" spans="1:2" ht="16.149999999999999" customHeight="1">
      <c r="A1917" s="877">
        <v>35477</v>
      </c>
      <c r="B1917" s="878">
        <v>1075</v>
      </c>
    </row>
    <row r="1918" spans="1:2" ht="16.149999999999999" customHeight="1">
      <c r="A1918" s="877">
        <v>35478</v>
      </c>
      <c r="B1918" s="880">
        <v>1075</v>
      </c>
    </row>
    <row r="1919" spans="1:2" ht="16.149999999999999" customHeight="1">
      <c r="A1919" s="877">
        <v>35479</v>
      </c>
      <c r="B1919" s="878">
        <v>1076.04</v>
      </c>
    </row>
    <row r="1920" spans="1:2" ht="16.149999999999999" customHeight="1">
      <c r="A1920" s="877">
        <v>35480</v>
      </c>
      <c r="B1920" s="880">
        <v>1075.1099999999999</v>
      </c>
    </row>
    <row r="1921" spans="1:2" ht="16.149999999999999" customHeight="1">
      <c r="A1921" s="877">
        <v>35481</v>
      </c>
      <c r="B1921" s="878">
        <v>1074.5</v>
      </c>
    </row>
    <row r="1922" spans="1:2" ht="16.149999999999999" customHeight="1">
      <c r="A1922" s="877">
        <v>35482</v>
      </c>
      <c r="B1922" s="880">
        <v>1074.0999999999999</v>
      </c>
    </row>
    <row r="1923" spans="1:2" ht="16.149999999999999" customHeight="1">
      <c r="A1923" s="877">
        <v>35483</v>
      </c>
      <c r="B1923" s="878">
        <v>1073.42</v>
      </c>
    </row>
    <row r="1924" spans="1:2" ht="16.149999999999999" customHeight="1">
      <c r="A1924" s="877">
        <v>35484</v>
      </c>
      <c r="B1924" s="880">
        <v>1073.42</v>
      </c>
    </row>
    <row r="1925" spans="1:2" ht="16.149999999999999" customHeight="1">
      <c r="A1925" s="877">
        <v>35485</v>
      </c>
      <c r="B1925" s="878">
        <v>1073.42</v>
      </c>
    </row>
    <row r="1926" spans="1:2" ht="16.149999999999999" customHeight="1">
      <c r="A1926" s="877">
        <v>35486</v>
      </c>
      <c r="B1926" s="880">
        <v>1078.23</v>
      </c>
    </row>
    <row r="1927" spans="1:2" ht="16.149999999999999" customHeight="1">
      <c r="A1927" s="877">
        <v>35487</v>
      </c>
      <c r="B1927" s="878">
        <v>1084.0899999999999</v>
      </c>
    </row>
    <row r="1928" spans="1:2" ht="16.149999999999999" customHeight="1">
      <c r="A1928" s="877">
        <v>35488</v>
      </c>
      <c r="B1928" s="880">
        <v>1080.93</v>
      </c>
    </row>
    <row r="1929" spans="1:2" ht="16.149999999999999" customHeight="1">
      <c r="A1929" s="877">
        <v>35489</v>
      </c>
      <c r="B1929" s="878">
        <v>1080.51</v>
      </c>
    </row>
    <row r="1930" spans="1:2" ht="16.149999999999999" customHeight="1">
      <c r="A1930" s="877">
        <v>35490</v>
      </c>
      <c r="B1930" s="880">
        <v>1077.07</v>
      </c>
    </row>
    <row r="1931" spans="1:2" ht="16.149999999999999" customHeight="1">
      <c r="A1931" s="877">
        <v>35491</v>
      </c>
      <c r="B1931" s="878">
        <v>1077.07</v>
      </c>
    </row>
    <row r="1932" spans="1:2" ht="16.149999999999999" customHeight="1">
      <c r="A1932" s="877">
        <v>35492</v>
      </c>
      <c r="B1932" s="880">
        <v>1077.07</v>
      </c>
    </row>
    <row r="1933" spans="1:2" ht="16.149999999999999" customHeight="1">
      <c r="A1933" s="877">
        <v>35493</v>
      </c>
      <c r="B1933" s="878">
        <v>1075.8599999999999</v>
      </c>
    </row>
    <row r="1934" spans="1:2" ht="16.149999999999999" customHeight="1">
      <c r="A1934" s="877">
        <v>35494</v>
      </c>
      <c r="B1934" s="880">
        <v>1067.77</v>
      </c>
    </row>
    <row r="1935" spans="1:2" ht="16.149999999999999" customHeight="1">
      <c r="A1935" s="877">
        <v>35495</v>
      </c>
      <c r="B1935" s="878">
        <v>1063.44</v>
      </c>
    </row>
    <row r="1936" spans="1:2" ht="16.149999999999999" customHeight="1">
      <c r="A1936" s="877">
        <v>35496</v>
      </c>
      <c r="B1936" s="880">
        <v>1057.58</v>
      </c>
    </row>
    <row r="1937" spans="1:2" ht="16.149999999999999" customHeight="1">
      <c r="A1937" s="877">
        <v>35497</v>
      </c>
      <c r="B1937" s="878">
        <v>1054.05</v>
      </c>
    </row>
    <row r="1938" spans="1:2" ht="16.149999999999999" customHeight="1">
      <c r="A1938" s="877">
        <v>35498</v>
      </c>
      <c r="B1938" s="880">
        <v>1054.05</v>
      </c>
    </row>
    <row r="1939" spans="1:2" ht="16.149999999999999" customHeight="1">
      <c r="A1939" s="877">
        <v>35499</v>
      </c>
      <c r="B1939" s="878">
        <v>1054.05</v>
      </c>
    </row>
    <row r="1940" spans="1:2" ht="16.149999999999999" customHeight="1">
      <c r="A1940" s="877">
        <v>35500</v>
      </c>
      <c r="B1940" s="880">
        <v>1056.92</v>
      </c>
    </row>
    <row r="1941" spans="1:2" ht="16.149999999999999" customHeight="1">
      <c r="A1941" s="877">
        <v>35501</v>
      </c>
      <c r="B1941" s="878">
        <v>1062.73</v>
      </c>
    </row>
    <row r="1942" spans="1:2" ht="16.149999999999999" customHeight="1">
      <c r="A1942" s="877">
        <v>35502</v>
      </c>
      <c r="B1942" s="880">
        <v>1063.33</v>
      </c>
    </row>
    <row r="1943" spans="1:2" ht="16.149999999999999" customHeight="1">
      <c r="A1943" s="877">
        <v>35503</v>
      </c>
      <c r="B1943" s="878">
        <v>1060.3499999999999</v>
      </c>
    </row>
    <row r="1944" spans="1:2" ht="16.149999999999999" customHeight="1">
      <c r="A1944" s="877">
        <v>35504</v>
      </c>
      <c r="B1944" s="880">
        <v>1060.8599999999999</v>
      </c>
    </row>
    <row r="1945" spans="1:2" ht="16.149999999999999" customHeight="1">
      <c r="A1945" s="877">
        <v>35505</v>
      </c>
      <c r="B1945" s="878">
        <v>1060.8599999999999</v>
      </c>
    </row>
    <row r="1946" spans="1:2" ht="16.149999999999999" customHeight="1">
      <c r="A1946" s="877">
        <v>35506</v>
      </c>
      <c r="B1946" s="880">
        <v>1060.8599999999999</v>
      </c>
    </row>
    <row r="1947" spans="1:2" ht="16.149999999999999" customHeight="1">
      <c r="A1947" s="877">
        <v>35507</v>
      </c>
      <c r="B1947" s="878">
        <v>1059.8699999999999</v>
      </c>
    </row>
    <row r="1948" spans="1:2" ht="16.149999999999999" customHeight="1">
      <c r="A1948" s="877">
        <v>35508</v>
      </c>
      <c r="B1948" s="880">
        <v>1058.6099999999999</v>
      </c>
    </row>
    <row r="1949" spans="1:2" ht="16.149999999999999" customHeight="1">
      <c r="A1949" s="877">
        <v>35509</v>
      </c>
      <c r="B1949" s="878">
        <v>1060.31</v>
      </c>
    </row>
    <row r="1950" spans="1:2" ht="16.149999999999999" customHeight="1">
      <c r="A1950" s="877">
        <v>35510</v>
      </c>
      <c r="B1950" s="880">
        <v>1060.6600000000001</v>
      </c>
    </row>
    <row r="1951" spans="1:2" ht="16.149999999999999" customHeight="1">
      <c r="A1951" s="877">
        <v>35511</v>
      </c>
      <c r="B1951" s="878">
        <v>1060.03</v>
      </c>
    </row>
    <row r="1952" spans="1:2" ht="16.149999999999999" customHeight="1">
      <c r="A1952" s="877">
        <v>35512</v>
      </c>
      <c r="B1952" s="880">
        <v>1060.03</v>
      </c>
    </row>
    <row r="1953" spans="1:2" ht="16.149999999999999" customHeight="1">
      <c r="A1953" s="877">
        <v>35513</v>
      </c>
      <c r="B1953" s="878">
        <v>1060.03</v>
      </c>
    </row>
    <row r="1954" spans="1:2" ht="16.149999999999999" customHeight="1">
      <c r="A1954" s="877">
        <v>35514</v>
      </c>
      <c r="B1954" s="880">
        <v>1060.03</v>
      </c>
    </row>
    <row r="1955" spans="1:2" ht="16.149999999999999" customHeight="1">
      <c r="A1955" s="877">
        <v>35515</v>
      </c>
      <c r="B1955" s="878">
        <v>1059.53</v>
      </c>
    </row>
    <row r="1956" spans="1:2" ht="16.149999999999999" customHeight="1">
      <c r="A1956" s="877">
        <v>35516</v>
      </c>
      <c r="B1956" s="880">
        <v>1059.8800000000001</v>
      </c>
    </row>
    <row r="1957" spans="1:2" ht="16.149999999999999" customHeight="1">
      <c r="A1957" s="877">
        <v>35517</v>
      </c>
      <c r="B1957" s="878">
        <v>1059.8800000000001</v>
      </c>
    </row>
    <row r="1958" spans="1:2" ht="16.149999999999999" customHeight="1">
      <c r="A1958" s="877">
        <v>35518</v>
      </c>
      <c r="B1958" s="880">
        <v>1059.8800000000001</v>
      </c>
    </row>
    <row r="1959" spans="1:2" ht="16.149999999999999" customHeight="1">
      <c r="A1959" s="877">
        <v>35519</v>
      </c>
      <c r="B1959" s="878">
        <v>1059.8800000000001</v>
      </c>
    </row>
    <row r="1960" spans="1:2" ht="16.149999999999999" customHeight="1">
      <c r="A1960" s="877">
        <v>35520</v>
      </c>
      <c r="B1960" s="880">
        <v>1059.8800000000001</v>
      </c>
    </row>
    <row r="1961" spans="1:2" ht="16.149999999999999" customHeight="1">
      <c r="A1961" s="877">
        <v>35521</v>
      </c>
      <c r="B1961" s="878">
        <v>1060.93</v>
      </c>
    </row>
    <row r="1962" spans="1:2" ht="16.149999999999999" customHeight="1">
      <c r="A1962" s="877">
        <v>35522</v>
      </c>
      <c r="B1962" s="880">
        <v>1061.98</v>
      </c>
    </row>
    <row r="1963" spans="1:2" ht="16.149999999999999" customHeight="1">
      <c r="A1963" s="877">
        <v>35523</v>
      </c>
      <c r="B1963" s="878">
        <v>1061.95</v>
      </c>
    </row>
    <row r="1964" spans="1:2" ht="16.149999999999999" customHeight="1">
      <c r="A1964" s="877">
        <v>35524</v>
      </c>
      <c r="B1964" s="880">
        <v>1062.46</v>
      </c>
    </row>
    <row r="1965" spans="1:2" ht="16.149999999999999" customHeight="1">
      <c r="A1965" s="877">
        <v>35525</v>
      </c>
      <c r="B1965" s="878">
        <v>1062.58</v>
      </c>
    </row>
    <row r="1966" spans="1:2" ht="16.149999999999999" customHeight="1">
      <c r="A1966" s="877">
        <v>35526</v>
      </c>
      <c r="B1966" s="880">
        <v>1062.58</v>
      </c>
    </row>
    <row r="1967" spans="1:2" ht="16.149999999999999" customHeight="1">
      <c r="A1967" s="877">
        <v>35527</v>
      </c>
      <c r="B1967" s="878">
        <v>1062.58</v>
      </c>
    </row>
    <row r="1968" spans="1:2" ht="16.149999999999999" customHeight="1">
      <c r="A1968" s="877">
        <v>35528</v>
      </c>
      <c r="B1968" s="880">
        <v>1063.3</v>
      </c>
    </row>
    <row r="1969" spans="1:2" ht="16.149999999999999" customHeight="1">
      <c r="A1969" s="877">
        <v>35529</v>
      </c>
      <c r="B1969" s="878">
        <v>1062.67</v>
      </c>
    </row>
    <row r="1970" spans="1:2" ht="16.149999999999999" customHeight="1">
      <c r="A1970" s="877">
        <v>35530</v>
      </c>
      <c r="B1970" s="880">
        <v>1062.78</v>
      </c>
    </row>
    <row r="1971" spans="1:2" ht="16.149999999999999" customHeight="1">
      <c r="A1971" s="877">
        <v>35531</v>
      </c>
      <c r="B1971" s="878">
        <v>1060.71</v>
      </c>
    </row>
    <row r="1972" spans="1:2" ht="16.149999999999999" customHeight="1">
      <c r="A1972" s="877">
        <v>35532</v>
      </c>
      <c r="B1972" s="880">
        <v>1058.76</v>
      </c>
    </row>
    <row r="1973" spans="1:2" ht="16.149999999999999" customHeight="1">
      <c r="A1973" s="877">
        <v>35533</v>
      </c>
      <c r="B1973" s="878">
        <v>1058.76</v>
      </c>
    </row>
    <row r="1974" spans="1:2" ht="16.149999999999999" customHeight="1">
      <c r="A1974" s="877">
        <v>35534</v>
      </c>
      <c r="B1974" s="880">
        <v>1058.76</v>
      </c>
    </row>
    <row r="1975" spans="1:2" ht="16.149999999999999" customHeight="1">
      <c r="A1975" s="877">
        <v>35535</v>
      </c>
      <c r="B1975" s="878">
        <v>1058.73</v>
      </c>
    </row>
    <row r="1976" spans="1:2" ht="16.149999999999999" customHeight="1">
      <c r="A1976" s="877">
        <v>35536</v>
      </c>
      <c r="B1976" s="880">
        <v>1058.97</v>
      </c>
    </row>
    <row r="1977" spans="1:2" ht="16.149999999999999" customHeight="1">
      <c r="A1977" s="877">
        <v>35537</v>
      </c>
      <c r="B1977" s="878">
        <v>1056.9100000000001</v>
      </c>
    </row>
    <row r="1978" spans="1:2" ht="16.149999999999999" customHeight="1">
      <c r="A1978" s="877">
        <v>35538</v>
      </c>
      <c r="B1978" s="880">
        <v>1054.3499999999999</v>
      </c>
    </row>
    <row r="1979" spans="1:2" ht="16.149999999999999" customHeight="1">
      <c r="A1979" s="877">
        <v>35539</v>
      </c>
      <c r="B1979" s="878">
        <v>1051.43</v>
      </c>
    </row>
    <row r="1980" spans="1:2" ht="16.149999999999999" customHeight="1">
      <c r="A1980" s="877">
        <v>35540</v>
      </c>
      <c r="B1980" s="880">
        <v>1051.43</v>
      </c>
    </row>
    <row r="1981" spans="1:2" ht="16.149999999999999" customHeight="1">
      <c r="A1981" s="877">
        <v>35541</v>
      </c>
      <c r="B1981" s="878">
        <v>1051.43</v>
      </c>
    </row>
    <row r="1982" spans="1:2" ht="16.149999999999999" customHeight="1">
      <c r="A1982" s="877">
        <v>35542</v>
      </c>
      <c r="B1982" s="880">
        <v>1054.94</v>
      </c>
    </row>
    <row r="1983" spans="1:2" ht="16.149999999999999" customHeight="1">
      <c r="A1983" s="877">
        <v>35543</v>
      </c>
      <c r="B1983" s="878">
        <v>1057.6400000000001</v>
      </c>
    </row>
    <row r="1984" spans="1:2" ht="16.149999999999999" customHeight="1">
      <c r="A1984" s="877">
        <v>35544</v>
      </c>
      <c r="B1984" s="880">
        <v>1065.48</v>
      </c>
    </row>
    <row r="1985" spans="1:2" ht="16.149999999999999" customHeight="1">
      <c r="A1985" s="877">
        <v>35545</v>
      </c>
      <c r="B1985" s="878">
        <v>1066.77</v>
      </c>
    </row>
    <row r="1986" spans="1:2" ht="16.149999999999999" customHeight="1">
      <c r="A1986" s="877">
        <v>35546</v>
      </c>
      <c r="B1986" s="880">
        <v>1063.83</v>
      </c>
    </row>
    <row r="1987" spans="1:2" ht="16.149999999999999" customHeight="1">
      <c r="A1987" s="877">
        <v>35547</v>
      </c>
      <c r="B1987" s="878">
        <v>1063.83</v>
      </c>
    </row>
    <row r="1988" spans="1:2" ht="16.149999999999999" customHeight="1">
      <c r="A1988" s="877">
        <v>35548</v>
      </c>
      <c r="B1988" s="880">
        <v>1063.83</v>
      </c>
    </row>
    <row r="1989" spans="1:2" ht="16.149999999999999" customHeight="1">
      <c r="A1989" s="877">
        <v>35549</v>
      </c>
      <c r="B1989" s="878">
        <v>1064</v>
      </c>
    </row>
    <row r="1990" spans="1:2" ht="16.149999999999999" customHeight="1">
      <c r="A1990" s="877">
        <v>35550</v>
      </c>
      <c r="B1990" s="880">
        <v>1063.1099999999999</v>
      </c>
    </row>
    <row r="1991" spans="1:2" ht="16.149999999999999" customHeight="1">
      <c r="A1991" s="877">
        <v>35551</v>
      </c>
      <c r="B1991" s="878">
        <v>1064.01</v>
      </c>
    </row>
    <row r="1992" spans="1:2" ht="16.149999999999999" customHeight="1">
      <c r="A1992" s="877">
        <v>35552</v>
      </c>
      <c r="B1992" s="880">
        <v>1064.01</v>
      </c>
    </row>
    <row r="1993" spans="1:2" ht="16.149999999999999" customHeight="1">
      <c r="A1993" s="877">
        <v>35553</v>
      </c>
      <c r="B1993" s="878">
        <v>1068.53</v>
      </c>
    </row>
    <row r="1994" spans="1:2" ht="16.149999999999999" customHeight="1">
      <c r="A1994" s="877">
        <v>35554</v>
      </c>
      <c r="B1994" s="880">
        <v>1068.53</v>
      </c>
    </row>
    <row r="1995" spans="1:2" ht="16.149999999999999" customHeight="1">
      <c r="A1995" s="877">
        <v>35555</v>
      </c>
      <c r="B1995" s="878">
        <v>1068.53</v>
      </c>
    </row>
    <row r="1996" spans="1:2" ht="16.149999999999999" customHeight="1">
      <c r="A1996" s="877">
        <v>35556</v>
      </c>
      <c r="B1996" s="880">
        <v>1076.3900000000001</v>
      </c>
    </row>
    <row r="1997" spans="1:2" ht="16.149999999999999" customHeight="1">
      <c r="A1997" s="877">
        <v>35557</v>
      </c>
      <c r="B1997" s="878">
        <v>1080.48</v>
      </c>
    </row>
    <row r="1998" spans="1:2" ht="16.149999999999999" customHeight="1">
      <c r="A1998" s="877">
        <v>35558</v>
      </c>
      <c r="B1998" s="880">
        <v>1075.05</v>
      </c>
    </row>
    <row r="1999" spans="1:2" ht="16.149999999999999" customHeight="1">
      <c r="A1999" s="877">
        <v>35559</v>
      </c>
      <c r="B1999" s="878">
        <v>1073.77</v>
      </c>
    </row>
    <row r="2000" spans="1:2" ht="16.149999999999999" customHeight="1">
      <c r="A2000" s="877">
        <v>35560</v>
      </c>
      <c r="B2000" s="880">
        <v>1076.93</v>
      </c>
    </row>
    <row r="2001" spans="1:2" ht="16.149999999999999" customHeight="1">
      <c r="A2001" s="877">
        <v>35561</v>
      </c>
      <c r="B2001" s="878">
        <v>1076.93</v>
      </c>
    </row>
    <row r="2002" spans="1:2" ht="16.149999999999999" customHeight="1">
      <c r="A2002" s="877">
        <v>35562</v>
      </c>
      <c r="B2002" s="880">
        <v>1076.93</v>
      </c>
    </row>
    <row r="2003" spans="1:2" ht="16.149999999999999" customHeight="1">
      <c r="A2003" s="877">
        <v>35563</v>
      </c>
      <c r="B2003" s="878">
        <v>1076.93</v>
      </c>
    </row>
    <row r="2004" spans="1:2" ht="16.149999999999999" customHeight="1">
      <c r="A2004" s="877">
        <v>35564</v>
      </c>
      <c r="B2004" s="880">
        <v>1077.3599999999999</v>
      </c>
    </row>
    <row r="2005" spans="1:2" ht="16.149999999999999" customHeight="1">
      <c r="A2005" s="877">
        <v>35565</v>
      </c>
      <c r="B2005" s="878">
        <v>1074.43</v>
      </c>
    </row>
    <row r="2006" spans="1:2" ht="16.149999999999999" customHeight="1">
      <c r="A2006" s="877">
        <v>35566</v>
      </c>
      <c r="B2006" s="880">
        <v>1074.52</v>
      </c>
    </row>
    <row r="2007" spans="1:2" ht="16.149999999999999" customHeight="1">
      <c r="A2007" s="877">
        <v>35567</v>
      </c>
      <c r="B2007" s="878">
        <v>1072.24</v>
      </c>
    </row>
    <row r="2008" spans="1:2" ht="16.149999999999999" customHeight="1">
      <c r="A2008" s="877">
        <v>35568</v>
      </c>
      <c r="B2008" s="880">
        <v>1072.24</v>
      </c>
    </row>
    <row r="2009" spans="1:2" ht="16.149999999999999" customHeight="1">
      <c r="A2009" s="877">
        <v>35569</v>
      </c>
      <c r="B2009" s="878">
        <v>1072.24</v>
      </c>
    </row>
    <row r="2010" spans="1:2" ht="16.149999999999999" customHeight="1">
      <c r="A2010" s="877">
        <v>35570</v>
      </c>
      <c r="B2010" s="880">
        <v>1073.54</v>
      </c>
    </row>
    <row r="2011" spans="1:2" ht="16.149999999999999" customHeight="1">
      <c r="A2011" s="877">
        <v>35571</v>
      </c>
      <c r="B2011" s="878">
        <v>1075.2</v>
      </c>
    </row>
    <row r="2012" spans="1:2" ht="16.149999999999999" customHeight="1">
      <c r="A2012" s="877">
        <v>35572</v>
      </c>
      <c r="B2012" s="880">
        <v>1080.44</v>
      </c>
    </row>
    <row r="2013" spans="1:2" ht="16.149999999999999" customHeight="1">
      <c r="A2013" s="877">
        <v>35573</v>
      </c>
      <c r="B2013" s="878">
        <v>1080.43</v>
      </c>
    </row>
    <row r="2014" spans="1:2" ht="16.149999999999999" customHeight="1">
      <c r="A2014" s="877">
        <v>35574</v>
      </c>
      <c r="B2014" s="880">
        <v>1076.69</v>
      </c>
    </row>
    <row r="2015" spans="1:2" ht="16.149999999999999" customHeight="1">
      <c r="A2015" s="877">
        <v>35575</v>
      </c>
      <c r="B2015" s="878">
        <v>1076.69</v>
      </c>
    </row>
    <row r="2016" spans="1:2" ht="16.149999999999999" customHeight="1">
      <c r="A2016" s="877">
        <v>35576</v>
      </c>
      <c r="B2016" s="880">
        <v>1076.69</v>
      </c>
    </row>
    <row r="2017" spans="1:2" ht="16.149999999999999" customHeight="1">
      <c r="A2017" s="877">
        <v>35577</v>
      </c>
      <c r="B2017" s="878">
        <v>1076.69</v>
      </c>
    </row>
    <row r="2018" spans="1:2" ht="16.149999999999999" customHeight="1">
      <c r="A2018" s="877">
        <v>35578</v>
      </c>
      <c r="B2018" s="880">
        <v>1076.24</v>
      </c>
    </row>
    <row r="2019" spans="1:2" ht="16.149999999999999" customHeight="1">
      <c r="A2019" s="877">
        <v>35579</v>
      </c>
      <c r="B2019" s="878">
        <v>1074.32</v>
      </c>
    </row>
    <row r="2020" spans="1:2" ht="16.149999999999999" customHeight="1">
      <c r="A2020" s="877">
        <v>35580</v>
      </c>
      <c r="B2020" s="880">
        <v>1076.4000000000001</v>
      </c>
    </row>
    <row r="2021" spans="1:2" ht="16.149999999999999" customHeight="1">
      <c r="A2021" s="877">
        <v>35581</v>
      </c>
      <c r="B2021" s="878">
        <v>1077.0899999999999</v>
      </c>
    </row>
    <row r="2022" spans="1:2" ht="16.149999999999999" customHeight="1">
      <c r="A2022" s="877">
        <v>35582</v>
      </c>
      <c r="B2022" s="880">
        <v>1077.0899999999999</v>
      </c>
    </row>
    <row r="2023" spans="1:2" ht="16.149999999999999" customHeight="1">
      <c r="A2023" s="877">
        <v>35583</v>
      </c>
      <c r="B2023" s="878">
        <v>1077.0899999999999</v>
      </c>
    </row>
    <row r="2024" spans="1:2" ht="16.149999999999999" customHeight="1">
      <c r="A2024" s="877">
        <v>35584</v>
      </c>
      <c r="B2024" s="880">
        <v>1077.0899999999999</v>
      </c>
    </row>
    <row r="2025" spans="1:2" ht="16.149999999999999" customHeight="1">
      <c r="A2025" s="877">
        <v>35585</v>
      </c>
      <c r="B2025" s="878">
        <v>1079.0999999999999</v>
      </c>
    </row>
    <row r="2026" spans="1:2" ht="16.149999999999999" customHeight="1">
      <c r="A2026" s="877">
        <v>35586</v>
      </c>
      <c r="B2026" s="880">
        <v>1077.19</v>
      </c>
    </row>
    <row r="2027" spans="1:2" ht="16.149999999999999" customHeight="1">
      <c r="A2027" s="877">
        <v>35587</v>
      </c>
      <c r="B2027" s="878">
        <v>1076.49</v>
      </c>
    </row>
    <row r="2028" spans="1:2" ht="16.149999999999999" customHeight="1">
      <c r="A2028" s="877">
        <v>35588</v>
      </c>
      <c r="B2028" s="880">
        <v>1076.18</v>
      </c>
    </row>
    <row r="2029" spans="1:2" ht="16.149999999999999" customHeight="1">
      <c r="A2029" s="877">
        <v>35589</v>
      </c>
      <c r="B2029" s="878">
        <v>1076.18</v>
      </c>
    </row>
    <row r="2030" spans="1:2" ht="16.149999999999999" customHeight="1">
      <c r="A2030" s="877">
        <v>35590</v>
      </c>
      <c r="B2030" s="880">
        <v>1076.18</v>
      </c>
    </row>
    <row r="2031" spans="1:2" ht="16.149999999999999" customHeight="1">
      <c r="A2031" s="877">
        <v>35591</v>
      </c>
      <c r="B2031" s="878">
        <v>1076.18</v>
      </c>
    </row>
    <row r="2032" spans="1:2" ht="16.149999999999999" customHeight="1">
      <c r="A2032" s="877">
        <v>35592</v>
      </c>
      <c r="B2032" s="880">
        <v>1078.6400000000001</v>
      </c>
    </row>
    <row r="2033" spans="1:2" ht="16.149999999999999" customHeight="1">
      <c r="A2033" s="877">
        <v>35593</v>
      </c>
      <c r="B2033" s="878">
        <v>1080.6099999999999</v>
      </c>
    </row>
    <row r="2034" spans="1:2" ht="16.149999999999999" customHeight="1">
      <c r="A2034" s="877">
        <v>35594</v>
      </c>
      <c r="B2034" s="880">
        <v>1080.46</v>
      </c>
    </row>
    <row r="2035" spans="1:2" ht="16.149999999999999" customHeight="1">
      <c r="A2035" s="877">
        <v>35595</v>
      </c>
      <c r="B2035" s="878">
        <v>1080.5899999999999</v>
      </c>
    </row>
    <row r="2036" spans="1:2" ht="16.149999999999999" customHeight="1">
      <c r="A2036" s="877">
        <v>35596</v>
      </c>
      <c r="B2036" s="880">
        <v>1080.5899999999999</v>
      </c>
    </row>
    <row r="2037" spans="1:2" ht="16.149999999999999" customHeight="1">
      <c r="A2037" s="877">
        <v>35597</v>
      </c>
      <c r="B2037" s="878">
        <v>1080.5899999999999</v>
      </c>
    </row>
    <row r="2038" spans="1:2" ht="16.149999999999999" customHeight="1">
      <c r="A2038" s="877">
        <v>35598</v>
      </c>
      <c r="B2038" s="880">
        <v>1082.43</v>
      </c>
    </row>
    <row r="2039" spans="1:2" ht="16.149999999999999" customHeight="1">
      <c r="A2039" s="877">
        <v>35599</v>
      </c>
      <c r="B2039" s="878">
        <v>1086</v>
      </c>
    </row>
    <row r="2040" spans="1:2" ht="16.149999999999999" customHeight="1">
      <c r="A2040" s="877">
        <v>35600</v>
      </c>
      <c r="B2040" s="880">
        <v>1084.3800000000001</v>
      </c>
    </row>
    <row r="2041" spans="1:2" ht="16.149999999999999" customHeight="1">
      <c r="A2041" s="877">
        <v>35601</v>
      </c>
      <c r="B2041" s="878">
        <v>1084.28</v>
      </c>
    </row>
    <row r="2042" spans="1:2" ht="16.149999999999999" customHeight="1">
      <c r="A2042" s="877">
        <v>35602</v>
      </c>
      <c r="B2042" s="880">
        <v>1086.3599999999999</v>
      </c>
    </row>
    <row r="2043" spans="1:2" ht="16.149999999999999" customHeight="1">
      <c r="A2043" s="877">
        <v>35603</v>
      </c>
      <c r="B2043" s="878">
        <v>1086.3599999999999</v>
      </c>
    </row>
    <row r="2044" spans="1:2" ht="16.149999999999999" customHeight="1">
      <c r="A2044" s="877">
        <v>35604</v>
      </c>
      <c r="B2044" s="880">
        <v>1086.3599999999999</v>
      </c>
    </row>
    <row r="2045" spans="1:2" ht="16.149999999999999" customHeight="1">
      <c r="A2045" s="877">
        <v>35605</v>
      </c>
      <c r="B2045" s="878">
        <v>1088.1600000000001</v>
      </c>
    </row>
    <row r="2046" spans="1:2" ht="16.149999999999999" customHeight="1">
      <c r="A2046" s="877">
        <v>35606</v>
      </c>
      <c r="B2046" s="880">
        <v>1086.47</v>
      </c>
    </row>
    <row r="2047" spans="1:2" ht="16.149999999999999" customHeight="1">
      <c r="A2047" s="877">
        <v>35607</v>
      </c>
      <c r="B2047" s="878">
        <v>1087.72</v>
      </c>
    </row>
    <row r="2048" spans="1:2" ht="16.149999999999999" customHeight="1">
      <c r="A2048" s="877">
        <v>35608</v>
      </c>
      <c r="B2048" s="880">
        <v>1090.58</v>
      </c>
    </row>
    <row r="2049" spans="1:2" ht="16.149999999999999" customHeight="1">
      <c r="A2049" s="877">
        <v>35609</v>
      </c>
      <c r="B2049" s="878">
        <v>1089.01</v>
      </c>
    </row>
    <row r="2050" spans="1:2" ht="16.149999999999999" customHeight="1">
      <c r="A2050" s="877">
        <v>35610</v>
      </c>
      <c r="B2050" s="880">
        <v>1089.01</v>
      </c>
    </row>
    <row r="2051" spans="1:2" ht="16.149999999999999" customHeight="1">
      <c r="A2051" s="877">
        <v>35611</v>
      </c>
      <c r="B2051" s="878">
        <v>1089.01</v>
      </c>
    </row>
    <row r="2052" spans="1:2" ht="16.149999999999999" customHeight="1">
      <c r="A2052" s="877">
        <v>35612</v>
      </c>
      <c r="B2052" s="880">
        <v>1089.01</v>
      </c>
    </row>
    <row r="2053" spans="1:2" ht="16.149999999999999" customHeight="1">
      <c r="A2053" s="877">
        <v>35613</v>
      </c>
      <c r="B2053" s="878">
        <v>1093.25</v>
      </c>
    </row>
    <row r="2054" spans="1:2" ht="16.149999999999999" customHeight="1">
      <c r="A2054" s="877">
        <v>35614</v>
      </c>
      <c r="B2054" s="880">
        <v>1098.72</v>
      </c>
    </row>
    <row r="2055" spans="1:2" ht="16.149999999999999" customHeight="1">
      <c r="A2055" s="877">
        <v>35615</v>
      </c>
      <c r="B2055" s="878">
        <v>1102.8399999999999</v>
      </c>
    </row>
    <row r="2056" spans="1:2" ht="16.149999999999999" customHeight="1">
      <c r="A2056" s="877">
        <v>35616</v>
      </c>
      <c r="B2056" s="880">
        <v>1101.57</v>
      </c>
    </row>
    <row r="2057" spans="1:2" ht="16.149999999999999" customHeight="1">
      <c r="A2057" s="877">
        <v>35617</v>
      </c>
      <c r="B2057" s="878">
        <v>1101.57</v>
      </c>
    </row>
    <row r="2058" spans="1:2" ht="16.149999999999999" customHeight="1">
      <c r="A2058" s="877">
        <v>35618</v>
      </c>
      <c r="B2058" s="880">
        <v>1101.57</v>
      </c>
    </row>
    <row r="2059" spans="1:2" ht="16.149999999999999" customHeight="1">
      <c r="A2059" s="877">
        <v>35619</v>
      </c>
      <c r="B2059" s="878">
        <v>1102.45</v>
      </c>
    </row>
    <row r="2060" spans="1:2" ht="16.149999999999999" customHeight="1">
      <c r="A2060" s="877">
        <v>35620</v>
      </c>
      <c r="B2060" s="880">
        <v>1101.18</v>
      </c>
    </row>
    <row r="2061" spans="1:2" ht="16.149999999999999" customHeight="1">
      <c r="A2061" s="877">
        <v>35621</v>
      </c>
      <c r="B2061" s="878">
        <v>1098.6400000000001</v>
      </c>
    </row>
    <row r="2062" spans="1:2" ht="16.149999999999999" customHeight="1">
      <c r="A2062" s="877">
        <v>35622</v>
      </c>
      <c r="B2062" s="880">
        <v>1097.8800000000001</v>
      </c>
    </row>
    <row r="2063" spans="1:2" ht="16.149999999999999" customHeight="1">
      <c r="A2063" s="877">
        <v>35623</v>
      </c>
      <c r="B2063" s="878">
        <v>1098.46</v>
      </c>
    </row>
    <row r="2064" spans="1:2" ht="16.149999999999999" customHeight="1">
      <c r="A2064" s="877">
        <v>35624</v>
      </c>
      <c r="B2064" s="880">
        <v>1098.46</v>
      </c>
    </row>
    <row r="2065" spans="1:2" ht="16.149999999999999" customHeight="1">
      <c r="A2065" s="877">
        <v>35625</v>
      </c>
      <c r="B2065" s="878">
        <v>1098.46</v>
      </c>
    </row>
    <row r="2066" spans="1:2" ht="16.149999999999999" customHeight="1">
      <c r="A2066" s="877">
        <v>35626</v>
      </c>
      <c r="B2066" s="880">
        <v>1099.56</v>
      </c>
    </row>
    <row r="2067" spans="1:2" ht="16.149999999999999" customHeight="1">
      <c r="A2067" s="877">
        <v>35627</v>
      </c>
      <c r="B2067" s="878">
        <v>1099.25</v>
      </c>
    </row>
    <row r="2068" spans="1:2" ht="16.149999999999999" customHeight="1">
      <c r="A2068" s="877">
        <v>35628</v>
      </c>
      <c r="B2068" s="880">
        <v>1100.83</v>
      </c>
    </row>
    <row r="2069" spans="1:2" ht="16.149999999999999" customHeight="1">
      <c r="A2069" s="877">
        <v>35629</v>
      </c>
      <c r="B2069" s="878">
        <v>1102.48</v>
      </c>
    </row>
    <row r="2070" spans="1:2" ht="16.149999999999999" customHeight="1">
      <c r="A2070" s="877">
        <v>35630</v>
      </c>
      <c r="B2070" s="880">
        <v>1105.33</v>
      </c>
    </row>
    <row r="2071" spans="1:2" ht="16.149999999999999" customHeight="1">
      <c r="A2071" s="877">
        <v>35631</v>
      </c>
      <c r="B2071" s="878">
        <v>1105.33</v>
      </c>
    </row>
    <row r="2072" spans="1:2" ht="16.149999999999999" customHeight="1">
      <c r="A2072" s="877">
        <v>35632</v>
      </c>
      <c r="B2072" s="880">
        <v>1105.33</v>
      </c>
    </row>
    <row r="2073" spans="1:2" ht="16.149999999999999" customHeight="1">
      <c r="A2073" s="877">
        <v>35633</v>
      </c>
      <c r="B2073" s="878">
        <v>1109.46</v>
      </c>
    </row>
    <row r="2074" spans="1:2" ht="16.149999999999999" customHeight="1">
      <c r="A2074" s="877">
        <v>35634</v>
      </c>
      <c r="B2074" s="880">
        <v>1110.32</v>
      </c>
    </row>
    <row r="2075" spans="1:2" ht="16.149999999999999" customHeight="1">
      <c r="A2075" s="877">
        <v>35635</v>
      </c>
      <c r="B2075" s="878">
        <v>1106.7</v>
      </c>
    </row>
    <row r="2076" spans="1:2" ht="16.149999999999999" customHeight="1">
      <c r="A2076" s="877">
        <v>35636</v>
      </c>
      <c r="B2076" s="880">
        <v>1106.6400000000001</v>
      </c>
    </row>
    <row r="2077" spans="1:2" ht="16.149999999999999" customHeight="1">
      <c r="A2077" s="877">
        <v>35637</v>
      </c>
      <c r="B2077" s="878">
        <v>1106.06</v>
      </c>
    </row>
    <row r="2078" spans="1:2" ht="16.149999999999999" customHeight="1">
      <c r="A2078" s="877">
        <v>35638</v>
      </c>
      <c r="B2078" s="880">
        <v>1106.06</v>
      </c>
    </row>
    <row r="2079" spans="1:2" ht="16.149999999999999" customHeight="1">
      <c r="A2079" s="877">
        <v>35639</v>
      </c>
      <c r="B2079" s="878">
        <v>1106.06</v>
      </c>
    </row>
    <row r="2080" spans="1:2" ht="16.149999999999999" customHeight="1">
      <c r="A2080" s="877">
        <v>35640</v>
      </c>
      <c r="B2080" s="880">
        <v>1108.1600000000001</v>
      </c>
    </row>
    <row r="2081" spans="1:2" ht="16.149999999999999" customHeight="1">
      <c r="A2081" s="877">
        <v>35641</v>
      </c>
      <c r="B2081" s="878">
        <v>1106.67</v>
      </c>
    </row>
    <row r="2082" spans="1:2" ht="16.149999999999999" customHeight="1">
      <c r="A2082" s="877">
        <v>35642</v>
      </c>
      <c r="B2082" s="880">
        <v>1109.6500000000001</v>
      </c>
    </row>
    <row r="2083" spans="1:2" ht="16.149999999999999" customHeight="1">
      <c r="A2083" s="877">
        <v>35643</v>
      </c>
      <c r="B2083" s="878">
        <v>1112.53</v>
      </c>
    </row>
    <row r="2084" spans="1:2" ht="16.149999999999999" customHeight="1">
      <c r="A2084" s="877">
        <v>35644</v>
      </c>
      <c r="B2084" s="880">
        <v>1113.43</v>
      </c>
    </row>
    <row r="2085" spans="1:2" ht="16.149999999999999" customHeight="1">
      <c r="A2085" s="877">
        <v>35645</v>
      </c>
      <c r="B2085" s="878">
        <v>1113.43</v>
      </c>
    </row>
    <row r="2086" spans="1:2" ht="16.149999999999999" customHeight="1">
      <c r="A2086" s="877">
        <v>35646</v>
      </c>
      <c r="B2086" s="880">
        <v>1113.43</v>
      </c>
    </row>
    <row r="2087" spans="1:2" ht="16.149999999999999" customHeight="1">
      <c r="A2087" s="877">
        <v>35647</v>
      </c>
      <c r="B2087" s="878">
        <v>1112.83</v>
      </c>
    </row>
    <row r="2088" spans="1:2" ht="16.149999999999999" customHeight="1">
      <c r="A2088" s="877">
        <v>35648</v>
      </c>
      <c r="B2088" s="880">
        <v>1115.43</v>
      </c>
    </row>
    <row r="2089" spans="1:2" ht="16.149999999999999" customHeight="1">
      <c r="A2089" s="877">
        <v>35649</v>
      </c>
      <c r="B2089" s="878">
        <v>1115.2</v>
      </c>
    </row>
    <row r="2090" spans="1:2" ht="16.149999999999999" customHeight="1">
      <c r="A2090" s="877">
        <v>35650</v>
      </c>
      <c r="B2090" s="880">
        <v>1115.2</v>
      </c>
    </row>
    <row r="2091" spans="1:2" ht="16.149999999999999" customHeight="1">
      <c r="A2091" s="877">
        <v>35651</v>
      </c>
      <c r="B2091" s="878">
        <v>1118.96</v>
      </c>
    </row>
    <row r="2092" spans="1:2" ht="16.149999999999999" customHeight="1">
      <c r="A2092" s="877">
        <v>35652</v>
      </c>
      <c r="B2092" s="880">
        <v>1118.96</v>
      </c>
    </row>
    <row r="2093" spans="1:2" ht="16.149999999999999" customHeight="1">
      <c r="A2093" s="877">
        <v>35653</v>
      </c>
      <c r="B2093" s="878">
        <v>1118.96</v>
      </c>
    </row>
    <row r="2094" spans="1:2" ht="16.149999999999999" customHeight="1">
      <c r="A2094" s="877">
        <v>35654</v>
      </c>
      <c r="B2094" s="880">
        <v>1119.3800000000001</v>
      </c>
    </row>
    <row r="2095" spans="1:2" ht="16.149999999999999" customHeight="1">
      <c r="A2095" s="877">
        <v>35655</v>
      </c>
      <c r="B2095" s="878">
        <v>1120.33</v>
      </c>
    </row>
    <row r="2096" spans="1:2" ht="16.149999999999999" customHeight="1">
      <c r="A2096" s="877">
        <v>35656</v>
      </c>
      <c r="B2096" s="880">
        <v>1125.6199999999999</v>
      </c>
    </row>
    <row r="2097" spans="1:2" ht="16.149999999999999" customHeight="1">
      <c r="A2097" s="877">
        <v>35657</v>
      </c>
      <c r="B2097" s="878">
        <v>1128.25</v>
      </c>
    </row>
    <row r="2098" spans="1:2" ht="16.149999999999999" customHeight="1">
      <c r="A2098" s="877">
        <v>35658</v>
      </c>
      <c r="B2098" s="880">
        <v>1129.05</v>
      </c>
    </row>
    <row r="2099" spans="1:2" ht="16.149999999999999" customHeight="1">
      <c r="A2099" s="877">
        <v>35659</v>
      </c>
      <c r="B2099" s="878">
        <v>1129.05</v>
      </c>
    </row>
    <row r="2100" spans="1:2" ht="16.149999999999999" customHeight="1">
      <c r="A2100" s="877">
        <v>35660</v>
      </c>
      <c r="B2100" s="880">
        <v>1129.05</v>
      </c>
    </row>
    <row r="2101" spans="1:2" ht="16.149999999999999" customHeight="1">
      <c r="A2101" s="877">
        <v>35661</v>
      </c>
      <c r="B2101" s="878">
        <v>1129.05</v>
      </c>
    </row>
    <row r="2102" spans="1:2" ht="16.149999999999999" customHeight="1">
      <c r="A2102" s="877">
        <v>35662</v>
      </c>
      <c r="B2102" s="880">
        <v>1137.54</v>
      </c>
    </row>
    <row r="2103" spans="1:2" ht="16.149999999999999" customHeight="1">
      <c r="A2103" s="877">
        <v>35663</v>
      </c>
      <c r="B2103" s="878">
        <v>1140.54</v>
      </c>
    </row>
    <row r="2104" spans="1:2" ht="16.149999999999999" customHeight="1">
      <c r="A2104" s="877">
        <v>35664</v>
      </c>
      <c r="B2104" s="880">
        <v>1149.19</v>
      </c>
    </row>
    <row r="2105" spans="1:2" ht="16.149999999999999" customHeight="1">
      <c r="A2105" s="877">
        <v>35665</v>
      </c>
      <c r="B2105" s="878">
        <v>1154.23</v>
      </c>
    </row>
    <row r="2106" spans="1:2" ht="16.149999999999999" customHeight="1">
      <c r="A2106" s="877">
        <v>35666</v>
      </c>
      <c r="B2106" s="880">
        <v>1154.23</v>
      </c>
    </row>
    <row r="2107" spans="1:2" ht="16.149999999999999" customHeight="1">
      <c r="A2107" s="877">
        <v>35667</v>
      </c>
      <c r="B2107" s="878">
        <v>1154.23</v>
      </c>
    </row>
    <row r="2108" spans="1:2" ht="16.149999999999999" customHeight="1">
      <c r="A2108" s="877">
        <v>35668</v>
      </c>
      <c r="B2108" s="880">
        <v>1145.52</v>
      </c>
    </row>
    <row r="2109" spans="1:2" ht="16.149999999999999" customHeight="1">
      <c r="A2109" s="877">
        <v>35669</v>
      </c>
      <c r="B2109" s="878">
        <v>1154.8900000000001</v>
      </c>
    </row>
    <row r="2110" spans="1:2" ht="16.149999999999999" customHeight="1">
      <c r="A2110" s="877">
        <v>35670</v>
      </c>
      <c r="B2110" s="880">
        <v>1161.1500000000001</v>
      </c>
    </row>
    <row r="2111" spans="1:2" ht="16.149999999999999" customHeight="1">
      <c r="A2111" s="877">
        <v>35671</v>
      </c>
      <c r="B2111" s="878">
        <v>1167.28</v>
      </c>
    </row>
    <row r="2112" spans="1:2" ht="16.149999999999999" customHeight="1">
      <c r="A2112" s="877">
        <v>35672</v>
      </c>
      <c r="B2112" s="880">
        <v>1172.28</v>
      </c>
    </row>
    <row r="2113" spans="1:2" ht="16.149999999999999" customHeight="1">
      <c r="A2113" s="877">
        <v>35673</v>
      </c>
      <c r="B2113" s="878">
        <v>1172.28</v>
      </c>
    </row>
    <row r="2114" spans="1:2" ht="16.149999999999999" customHeight="1">
      <c r="A2114" s="877">
        <v>35674</v>
      </c>
      <c r="B2114" s="880">
        <v>1172.28</v>
      </c>
    </row>
    <row r="2115" spans="1:2" ht="16.149999999999999" customHeight="1">
      <c r="A2115" s="877">
        <v>35675</v>
      </c>
      <c r="B2115" s="878">
        <v>1174.01</v>
      </c>
    </row>
    <row r="2116" spans="1:2" ht="16.149999999999999" customHeight="1">
      <c r="A2116" s="877">
        <v>35676</v>
      </c>
      <c r="B2116" s="880">
        <v>1169.3800000000001</v>
      </c>
    </row>
    <row r="2117" spans="1:2" ht="16.149999999999999" customHeight="1">
      <c r="A2117" s="877">
        <v>35677</v>
      </c>
      <c r="B2117" s="878">
        <v>1172.82</v>
      </c>
    </row>
    <row r="2118" spans="1:2" ht="16.149999999999999" customHeight="1">
      <c r="A2118" s="877">
        <v>35678</v>
      </c>
      <c r="B2118" s="880">
        <v>1180.94</v>
      </c>
    </row>
    <row r="2119" spans="1:2" ht="16.149999999999999" customHeight="1">
      <c r="A2119" s="877">
        <v>35679</v>
      </c>
      <c r="B2119" s="878">
        <v>1186.98</v>
      </c>
    </row>
    <row r="2120" spans="1:2" ht="16.149999999999999" customHeight="1">
      <c r="A2120" s="877">
        <v>35680</v>
      </c>
      <c r="B2120" s="880">
        <v>1186.98</v>
      </c>
    </row>
    <row r="2121" spans="1:2" ht="16.149999999999999" customHeight="1">
      <c r="A2121" s="877">
        <v>35681</v>
      </c>
      <c r="B2121" s="878">
        <v>1186.98</v>
      </c>
    </row>
    <row r="2122" spans="1:2" ht="16.149999999999999" customHeight="1">
      <c r="A2122" s="877">
        <v>35682</v>
      </c>
      <c r="B2122" s="880">
        <v>1204.0899999999999</v>
      </c>
    </row>
    <row r="2123" spans="1:2" ht="16.149999999999999" customHeight="1">
      <c r="A2123" s="877">
        <v>35683</v>
      </c>
      <c r="B2123" s="878">
        <v>1238.21</v>
      </c>
    </row>
    <row r="2124" spans="1:2" ht="16.149999999999999" customHeight="1">
      <c r="A2124" s="877">
        <v>35684</v>
      </c>
      <c r="B2124" s="880">
        <v>1250.03</v>
      </c>
    </row>
    <row r="2125" spans="1:2" ht="16.149999999999999" customHeight="1">
      <c r="A2125" s="877">
        <v>35685</v>
      </c>
      <c r="B2125" s="878">
        <v>1232.1199999999999</v>
      </c>
    </row>
    <row r="2126" spans="1:2" ht="16.149999999999999" customHeight="1">
      <c r="A2126" s="877">
        <v>35686</v>
      </c>
      <c r="B2126" s="880">
        <v>1228.01</v>
      </c>
    </row>
    <row r="2127" spans="1:2" ht="16.149999999999999" customHeight="1">
      <c r="A2127" s="877">
        <v>35687</v>
      </c>
      <c r="B2127" s="878">
        <v>1228.01</v>
      </c>
    </row>
    <row r="2128" spans="1:2" ht="16.149999999999999" customHeight="1">
      <c r="A2128" s="877">
        <v>35688</v>
      </c>
      <c r="B2128" s="880">
        <v>1228.01</v>
      </c>
    </row>
    <row r="2129" spans="1:2" ht="16.149999999999999" customHeight="1">
      <c r="A2129" s="877">
        <v>35689</v>
      </c>
      <c r="B2129" s="878">
        <v>1245.06</v>
      </c>
    </row>
    <row r="2130" spans="1:2" ht="16.149999999999999" customHeight="1">
      <c r="A2130" s="877">
        <v>35690</v>
      </c>
      <c r="B2130" s="880">
        <v>1243.58</v>
      </c>
    </row>
    <row r="2131" spans="1:2" ht="16.149999999999999" customHeight="1">
      <c r="A2131" s="877">
        <v>35691</v>
      </c>
      <c r="B2131" s="878">
        <v>1241.83</v>
      </c>
    </row>
    <row r="2132" spans="1:2" ht="16.149999999999999" customHeight="1">
      <c r="A2132" s="877">
        <v>35692</v>
      </c>
      <c r="B2132" s="880">
        <v>1236.31</v>
      </c>
    </row>
    <row r="2133" spans="1:2" ht="16.149999999999999" customHeight="1">
      <c r="A2133" s="877">
        <v>35693</v>
      </c>
      <c r="B2133" s="878">
        <v>1238.29</v>
      </c>
    </row>
    <row r="2134" spans="1:2" ht="16.149999999999999" customHeight="1">
      <c r="A2134" s="877">
        <v>35694</v>
      </c>
      <c r="B2134" s="880">
        <v>1238.29</v>
      </c>
    </row>
    <row r="2135" spans="1:2" ht="16.149999999999999" customHeight="1">
      <c r="A2135" s="877">
        <v>35695</v>
      </c>
      <c r="B2135" s="878">
        <v>1238.29</v>
      </c>
    </row>
    <row r="2136" spans="1:2" ht="16.149999999999999" customHeight="1">
      <c r="A2136" s="877">
        <v>35696</v>
      </c>
      <c r="B2136" s="880">
        <v>1242.45</v>
      </c>
    </row>
    <row r="2137" spans="1:2" ht="16.149999999999999" customHeight="1">
      <c r="A2137" s="877">
        <v>35697</v>
      </c>
      <c r="B2137" s="878">
        <v>1248.83</v>
      </c>
    </row>
    <row r="2138" spans="1:2" ht="16.149999999999999" customHeight="1">
      <c r="A2138" s="877">
        <v>35698</v>
      </c>
      <c r="B2138" s="880">
        <v>1251.8800000000001</v>
      </c>
    </row>
    <row r="2139" spans="1:2" ht="16.149999999999999" customHeight="1">
      <c r="A2139" s="877">
        <v>35699</v>
      </c>
      <c r="B2139" s="878">
        <v>1249.73</v>
      </c>
    </row>
    <row r="2140" spans="1:2" ht="16.149999999999999" customHeight="1">
      <c r="A2140" s="877">
        <v>35700</v>
      </c>
      <c r="B2140" s="880">
        <v>1241.72</v>
      </c>
    </row>
    <row r="2141" spans="1:2" ht="16.149999999999999" customHeight="1">
      <c r="A2141" s="877">
        <v>35701</v>
      </c>
      <c r="B2141" s="878">
        <v>1241.72</v>
      </c>
    </row>
    <row r="2142" spans="1:2" ht="16.149999999999999" customHeight="1">
      <c r="A2142" s="877">
        <v>35702</v>
      </c>
      <c r="B2142" s="880">
        <v>1241.72</v>
      </c>
    </row>
    <row r="2143" spans="1:2" ht="16.149999999999999" customHeight="1">
      <c r="A2143" s="877">
        <v>35703</v>
      </c>
      <c r="B2143" s="878">
        <v>1246.27</v>
      </c>
    </row>
    <row r="2144" spans="1:2" ht="16.149999999999999" customHeight="1">
      <c r="A2144" s="877">
        <v>35704</v>
      </c>
      <c r="B2144" s="880">
        <v>1244.6300000000001</v>
      </c>
    </row>
    <row r="2145" spans="1:2" ht="16.149999999999999" customHeight="1">
      <c r="A2145" s="877">
        <v>35705</v>
      </c>
      <c r="B2145" s="878">
        <v>1243.27</v>
      </c>
    </row>
    <row r="2146" spans="1:2" ht="16.149999999999999" customHeight="1">
      <c r="A2146" s="877">
        <v>35706</v>
      </c>
      <c r="B2146" s="880">
        <v>1242.1600000000001</v>
      </c>
    </row>
    <row r="2147" spans="1:2" ht="16.149999999999999" customHeight="1">
      <c r="A2147" s="877">
        <v>35707</v>
      </c>
      <c r="B2147" s="878">
        <v>1244.8399999999999</v>
      </c>
    </row>
    <row r="2148" spans="1:2" ht="16.149999999999999" customHeight="1">
      <c r="A2148" s="877">
        <v>35708</v>
      </c>
      <c r="B2148" s="880">
        <v>1244.8399999999999</v>
      </c>
    </row>
    <row r="2149" spans="1:2" ht="16.149999999999999" customHeight="1">
      <c r="A2149" s="877">
        <v>35709</v>
      </c>
      <c r="B2149" s="878">
        <v>1244.8399999999999</v>
      </c>
    </row>
    <row r="2150" spans="1:2" ht="16.149999999999999" customHeight="1">
      <c r="A2150" s="877">
        <v>35710</v>
      </c>
      <c r="B2150" s="880">
        <v>1250.95</v>
      </c>
    </row>
    <row r="2151" spans="1:2" ht="16.149999999999999" customHeight="1">
      <c r="A2151" s="877">
        <v>35711</v>
      </c>
      <c r="B2151" s="878">
        <v>1247.51</v>
      </c>
    </row>
    <row r="2152" spans="1:2" ht="16.149999999999999" customHeight="1">
      <c r="A2152" s="877">
        <v>35712</v>
      </c>
      <c r="B2152" s="880">
        <v>1252.74</v>
      </c>
    </row>
    <row r="2153" spans="1:2" ht="16.149999999999999" customHeight="1">
      <c r="A2153" s="877">
        <v>35713</v>
      </c>
      <c r="B2153" s="878">
        <v>1258.04</v>
      </c>
    </row>
    <row r="2154" spans="1:2" ht="16.149999999999999" customHeight="1">
      <c r="A2154" s="877">
        <v>35714</v>
      </c>
      <c r="B2154" s="880">
        <v>1265.3800000000001</v>
      </c>
    </row>
    <row r="2155" spans="1:2" ht="16.149999999999999" customHeight="1">
      <c r="A2155" s="877">
        <v>35715</v>
      </c>
      <c r="B2155" s="878">
        <v>1265.3800000000001</v>
      </c>
    </row>
    <row r="2156" spans="1:2" ht="16.149999999999999" customHeight="1">
      <c r="A2156" s="877">
        <v>35716</v>
      </c>
      <c r="B2156" s="880">
        <v>1265.3800000000001</v>
      </c>
    </row>
    <row r="2157" spans="1:2" ht="16.149999999999999" customHeight="1">
      <c r="A2157" s="877">
        <v>35717</v>
      </c>
      <c r="B2157" s="878">
        <v>1265.3800000000001</v>
      </c>
    </row>
    <row r="2158" spans="1:2" ht="16.149999999999999" customHeight="1">
      <c r="A2158" s="877">
        <v>35718</v>
      </c>
      <c r="B2158" s="880">
        <v>1272.77</v>
      </c>
    </row>
    <row r="2159" spans="1:2" ht="16.149999999999999" customHeight="1">
      <c r="A2159" s="877">
        <v>35719</v>
      </c>
      <c r="B2159" s="878">
        <v>1263.79</v>
      </c>
    </row>
    <row r="2160" spans="1:2" ht="16.149999999999999" customHeight="1">
      <c r="A2160" s="877">
        <v>35720</v>
      </c>
      <c r="B2160" s="880">
        <v>1268.8699999999999</v>
      </c>
    </row>
    <row r="2161" spans="1:2" ht="16.149999999999999" customHeight="1">
      <c r="A2161" s="877">
        <v>35721</v>
      </c>
      <c r="B2161" s="878">
        <v>1264.7</v>
      </c>
    </row>
    <row r="2162" spans="1:2" ht="16.149999999999999" customHeight="1">
      <c r="A2162" s="877">
        <v>35722</v>
      </c>
      <c r="B2162" s="880">
        <v>1264.7</v>
      </c>
    </row>
    <row r="2163" spans="1:2" ht="16.149999999999999" customHeight="1">
      <c r="A2163" s="877">
        <v>35723</v>
      </c>
      <c r="B2163" s="878">
        <v>1264.7</v>
      </c>
    </row>
    <row r="2164" spans="1:2" ht="16.149999999999999" customHeight="1">
      <c r="A2164" s="877">
        <v>35724</v>
      </c>
      <c r="B2164" s="880">
        <v>1264.5999999999999</v>
      </c>
    </row>
    <row r="2165" spans="1:2" ht="16.149999999999999" customHeight="1">
      <c r="A2165" s="877">
        <v>35725</v>
      </c>
      <c r="B2165" s="878">
        <v>1264.32</v>
      </c>
    </row>
    <row r="2166" spans="1:2" ht="16.149999999999999" customHeight="1">
      <c r="A2166" s="877">
        <v>35726</v>
      </c>
      <c r="B2166" s="880">
        <v>1267.8699999999999</v>
      </c>
    </row>
    <row r="2167" spans="1:2" ht="16.149999999999999" customHeight="1">
      <c r="A2167" s="877">
        <v>35727</v>
      </c>
      <c r="B2167" s="878">
        <v>1267.0999999999999</v>
      </c>
    </row>
    <row r="2168" spans="1:2" ht="16.149999999999999" customHeight="1">
      <c r="A2168" s="877">
        <v>35728</v>
      </c>
      <c r="B2168" s="880">
        <v>1272.02</v>
      </c>
    </row>
    <row r="2169" spans="1:2" ht="16.149999999999999" customHeight="1">
      <c r="A2169" s="877">
        <v>35729</v>
      </c>
      <c r="B2169" s="878">
        <v>1272.02</v>
      </c>
    </row>
    <row r="2170" spans="1:2" ht="16.149999999999999" customHeight="1">
      <c r="A2170" s="877">
        <v>35730</v>
      </c>
      <c r="B2170" s="880">
        <v>1272.02</v>
      </c>
    </row>
    <row r="2171" spans="1:2" ht="16.149999999999999" customHeight="1">
      <c r="A2171" s="877">
        <v>35731</v>
      </c>
      <c r="B2171" s="878">
        <v>1274.05</v>
      </c>
    </row>
    <row r="2172" spans="1:2" ht="16.149999999999999" customHeight="1">
      <c r="A2172" s="877">
        <v>35732</v>
      </c>
      <c r="B2172" s="880">
        <v>1289.8399999999999</v>
      </c>
    </row>
    <row r="2173" spans="1:2" ht="16.149999999999999" customHeight="1">
      <c r="A2173" s="877">
        <v>35733</v>
      </c>
      <c r="B2173" s="878">
        <v>1282.82</v>
      </c>
    </row>
    <row r="2174" spans="1:2" ht="16.149999999999999" customHeight="1">
      <c r="A2174" s="877">
        <v>35734</v>
      </c>
      <c r="B2174" s="880">
        <v>1281.2</v>
      </c>
    </row>
    <row r="2175" spans="1:2" ht="16.149999999999999" customHeight="1">
      <c r="A2175" s="877">
        <v>35735</v>
      </c>
      <c r="B2175" s="878">
        <v>1284.6500000000001</v>
      </c>
    </row>
    <row r="2176" spans="1:2" ht="16.149999999999999" customHeight="1">
      <c r="A2176" s="877">
        <v>35736</v>
      </c>
      <c r="B2176" s="880">
        <v>1284.6500000000001</v>
      </c>
    </row>
    <row r="2177" spans="1:2" ht="16.149999999999999" customHeight="1">
      <c r="A2177" s="877">
        <v>35737</v>
      </c>
      <c r="B2177" s="878">
        <v>1284.6500000000001</v>
      </c>
    </row>
    <row r="2178" spans="1:2" ht="16.149999999999999" customHeight="1">
      <c r="A2178" s="877">
        <v>35738</v>
      </c>
      <c r="B2178" s="880">
        <v>1284.6500000000001</v>
      </c>
    </row>
    <row r="2179" spans="1:2" ht="16.149999999999999" customHeight="1">
      <c r="A2179" s="877">
        <v>35739</v>
      </c>
      <c r="B2179" s="878">
        <v>1284.6300000000001</v>
      </c>
    </row>
    <row r="2180" spans="1:2" ht="16.149999999999999" customHeight="1">
      <c r="A2180" s="877">
        <v>35740</v>
      </c>
      <c r="B2180" s="880">
        <v>1281.18</v>
      </c>
    </row>
    <row r="2181" spans="1:2" ht="16.149999999999999" customHeight="1">
      <c r="A2181" s="877">
        <v>35741</v>
      </c>
      <c r="B2181" s="878">
        <v>1286.73</v>
      </c>
    </row>
    <row r="2182" spans="1:2" ht="16.149999999999999" customHeight="1">
      <c r="A2182" s="877">
        <v>35742</v>
      </c>
      <c r="B2182" s="880">
        <v>1291.3499999999999</v>
      </c>
    </row>
    <row r="2183" spans="1:2" ht="16.149999999999999" customHeight="1">
      <c r="A2183" s="877">
        <v>35743</v>
      </c>
      <c r="B2183" s="878">
        <v>1291.3499999999999</v>
      </c>
    </row>
    <row r="2184" spans="1:2" ht="16.149999999999999" customHeight="1">
      <c r="A2184" s="877">
        <v>35744</v>
      </c>
      <c r="B2184" s="880">
        <v>1291.3499999999999</v>
      </c>
    </row>
    <row r="2185" spans="1:2" ht="16.149999999999999" customHeight="1">
      <c r="A2185" s="877">
        <v>35745</v>
      </c>
      <c r="B2185" s="878">
        <v>1295.52</v>
      </c>
    </row>
    <row r="2186" spans="1:2" ht="16.149999999999999" customHeight="1">
      <c r="A2186" s="877">
        <v>35746</v>
      </c>
      <c r="B2186" s="880">
        <v>1294.51</v>
      </c>
    </row>
    <row r="2187" spans="1:2" ht="16.149999999999999" customHeight="1">
      <c r="A2187" s="877">
        <v>35747</v>
      </c>
      <c r="B2187" s="878">
        <v>1296.6600000000001</v>
      </c>
    </row>
    <row r="2188" spans="1:2" ht="16.149999999999999" customHeight="1">
      <c r="A2188" s="877">
        <v>35748</v>
      </c>
      <c r="B2188" s="880">
        <v>1297.8699999999999</v>
      </c>
    </row>
    <row r="2189" spans="1:2" ht="16.149999999999999" customHeight="1">
      <c r="A2189" s="877">
        <v>35749</v>
      </c>
      <c r="B2189" s="878">
        <v>1298.04</v>
      </c>
    </row>
    <row r="2190" spans="1:2" ht="16.149999999999999" customHeight="1">
      <c r="A2190" s="877">
        <v>35750</v>
      </c>
      <c r="B2190" s="880">
        <v>1298.04</v>
      </c>
    </row>
    <row r="2191" spans="1:2" ht="16.149999999999999" customHeight="1">
      <c r="A2191" s="877">
        <v>35751</v>
      </c>
      <c r="B2191" s="878">
        <v>1298.04</v>
      </c>
    </row>
    <row r="2192" spans="1:2" ht="16.149999999999999" customHeight="1">
      <c r="A2192" s="877">
        <v>35752</v>
      </c>
      <c r="B2192" s="880">
        <v>1298.04</v>
      </c>
    </row>
    <row r="2193" spans="1:2" ht="16.149999999999999" customHeight="1">
      <c r="A2193" s="877">
        <v>35753</v>
      </c>
      <c r="B2193" s="878">
        <v>1297.94</v>
      </c>
    </row>
    <row r="2194" spans="1:2" ht="16.149999999999999" customHeight="1">
      <c r="A2194" s="877">
        <v>35754</v>
      </c>
      <c r="B2194" s="880">
        <v>1296.6199999999999</v>
      </c>
    </row>
    <row r="2195" spans="1:2" ht="16.149999999999999" customHeight="1">
      <c r="A2195" s="877">
        <v>35755</v>
      </c>
      <c r="B2195" s="878">
        <v>1298.19</v>
      </c>
    </row>
    <row r="2196" spans="1:2" ht="16.149999999999999" customHeight="1">
      <c r="A2196" s="877">
        <v>35756</v>
      </c>
      <c r="B2196" s="880">
        <v>1296.3</v>
      </c>
    </row>
    <row r="2197" spans="1:2" ht="16.149999999999999" customHeight="1">
      <c r="A2197" s="877">
        <v>35757</v>
      </c>
      <c r="B2197" s="878">
        <v>1296.3</v>
      </c>
    </row>
    <row r="2198" spans="1:2" ht="16.149999999999999" customHeight="1">
      <c r="A2198" s="877">
        <v>35758</v>
      </c>
      <c r="B2198" s="880">
        <v>1296.3</v>
      </c>
    </row>
    <row r="2199" spans="1:2" ht="16.149999999999999" customHeight="1">
      <c r="A2199" s="877">
        <v>35759</v>
      </c>
      <c r="B2199" s="878">
        <v>1296.3699999999999</v>
      </c>
    </row>
    <row r="2200" spans="1:2" ht="16.149999999999999" customHeight="1">
      <c r="A2200" s="877">
        <v>35760</v>
      </c>
      <c r="B2200" s="880">
        <v>1299.19</v>
      </c>
    </row>
    <row r="2201" spans="1:2" ht="16.149999999999999" customHeight="1">
      <c r="A2201" s="877">
        <v>35761</v>
      </c>
      <c r="B2201" s="878">
        <v>1303.1500000000001</v>
      </c>
    </row>
    <row r="2202" spans="1:2" ht="16.149999999999999" customHeight="1">
      <c r="A2202" s="877">
        <v>35762</v>
      </c>
      <c r="B2202" s="880">
        <v>1303.0999999999999</v>
      </c>
    </row>
    <row r="2203" spans="1:2" ht="16.149999999999999" customHeight="1">
      <c r="A2203" s="877">
        <v>35763</v>
      </c>
      <c r="B2203" s="878">
        <v>1305.6600000000001</v>
      </c>
    </row>
    <row r="2204" spans="1:2" ht="16.149999999999999" customHeight="1">
      <c r="A2204" s="877">
        <v>35764</v>
      </c>
      <c r="B2204" s="880">
        <v>1305.6600000000001</v>
      </c>
    </row>
    <row r="2205" spans="1:2" ht="16.149999999999999" customHeight="1">
      <c r="A2205" s="877">
        <v>35765</v>
      </c>
      <c r="B2205" s="878">
        <v>1305.6600000000001</v>
      </c>
    </row>
    <row r="2206" spans="1:2" ht="16.149999999999999" customHeight="1">
      <c r="A2206" s="877">
        <v>35766</v>
      </c>
      <c r="B2206" s="880">
        <v>1307.54</v>
      </c>
    </row>
    <row r="2207" spans="1:2" ht="16.149999999999999" customHeight="1">
      <c r="A2207" s="877">
        <v>35767</v>
      </c>
      <c r="B2207" s="878">
        <v>1307.01</v>
      </c>
    </row>
    <row r="2208" spans="1:2" ht="16.149999999999999" customHeight="1">
      <c r="A2208" s="877">
        <v>35768</v>
      </c>
      <c r="B2208" s="880">
        <v>1299.43</v>
      </c>
    </row>
    <row r="2209" spans="1:2" ht="16.149999999999999" customHeight="1">
      <c r="A2209" s="877">
        <v>35769</v>
      </c>
      <c r="B2209" s="878">
        <v>1298.6400000000001</v>
      </c>
    </row>
    <row r="2210" spans="1:2" ht="16.149999999999999" customHeight="1">
      <c r="A2210" s="877">
        <v>35770</v>
      </c>
      <c r="B2210" s="880">
        <v>1300.55</v>
      </c>
    </row>
    <row r="2211" spans="1:2" ht="16.149999999999999" customHeight="1">
      <c r="A2211" s="877">
        <v>35771</v>
      </c>
      <c r="B2211" s="878">
        <v>1300.55</v>
      </c>
    </row>
    <row r="2212" spans="1:2" ht="16.149999999999999" customHeight="1">
      <c r="A2212" s="877">
        <v>35772</v>
      </c>
      <c r="B2212" s="880">
        <v>1300.55</v>
      </c>
    </row>
    <row r="2213" spans="1:2" ht="16.149999999999999" customHeight="1">
      <c r="A2213" s="877">
        <v>35773</v>
      </c>
      <c r="B2213" s="878">
        <v>1300.55</v>
      </c>
    </row>
    <row r="2214" spans="1:2" ht="16.149999999999999" customHeight="1">
      <c r="A2214" s="877">
        <v>35774</v>
      </c>
      <c r="B2214" s="880">
        <v>1298.78</v>
      </c>
    </row>
    <row r="2215" spans="1:2" ht="16.149999999999999" customHeight="1">
      <c r="A2215" s="877">
        <v>35775</v>
      </c>
      <c r="B2215" s="878">
        <v>1301.1500000000001</v>
      </c>
    </row>
    <row r="2216" spans="1:2" ht="16.149999999999999" customHeight="1">
      <c r="A2216" s="877">
        <v>35776</v>
      </c>
      <c r="B2216" s="880">
        <v>1304.8499999999999</v>
      </c>
    </row>
    <row r="2217" spans="1:2" ht="16.149999999999999" customHeight="1">
      <c r="A2217" s="877">
        <v>35777</v>
      </c>
      <c r="B2217" s="878">
        <v>1307.42</v>
      </c>
    </row>
    <row r="2218" spans="1:2" ht="16.149999999999999" customHeight="1">
      <c r="A2218" s="877">
        <v>35778</v>
      </c>
      <c r="B2218" s="880">
        <v>1307.42</v>
      </c>
    </row>
    <row r="2219" spans="1:2" ht="16.149999999999999" customHeight="1">
      <c r="A2219" s="877">
        <v>35779</v>
      </c>
      <c r="B2219" s="878">
        <v>1307.42</v>
      </c>
    </row>
    <row r="2220" spans="1:2" ht="16.149999999999999" customHeight="1">
      <c r="A2220" s="877">
        <v>35780</v>
      </c>
      <c r="B2220" s="880">
        <v>1304.02</v>
      </c>
    </row>
    <row r="2221" spans="1:2" ht="16.149999999999999" customHeight="1">
      <c r="A2221" s="877">
        <v>35781</v>
      </c>
      <c r="B2221" s="878">
        <v>1296.3</v>
      </c>
    </row>
    <row r="2222" spans="1:2" ht="16.149999999999999" customHeight="1">
      <c r="A2222" s="877">
        <v>35782</v>
      </c>
      <c r="B2222" s="880">
        <v>1286.74</v>
      </c>
    </row>
    <row r="2223" spans="1:2" ht="16.149999999999999" customHeight="1">
      <c r="A2223" s="877">
        <v>35783</v>
      </c>
      <c r="B2223" s="878">
        <v>1286.1199999999999</v>
      </c>
    </row>
    <row r="2224" spans="1:2" ht="16.149999999999999" customHeight="1">
      <c r="A2224" s="877">
        <v>35784</v>
      </c>
      <c r="B2224" s="880">
        <v>1287.51</v>
      </c>
    </row>
    <row r="2225" spans="1:2" ht="16.149999999999999" customHeight="1">
      <c r="A2225" s="877">
        <v>35785</v>
      </c>
      <c r="B2225" s="878">
        <v>1287.51</v>
      </c>
    </row>
    <row r="2226" spans="1:2" ht="16.149999999999999" customHeight="1">
      <c r="A2226" s="877">
        <v>35786</v>
      </c>
      <c r="B2226" s="880">
        <v>1287.51</v>
      </c>
    </row>
    <row r="2227" spans="1:2" ht="16.149999999999999" customHeight="1">
      <c r="A2227" s="877">
        <v>35787</v>
      </c>
      <c r="B2227" s="878">
        <v>1288.32</v>
      </c>
    </row>
    <row r="2228" spans="1:2" ht="16.149999999999999" customHeight="1">
      <c r="A2228" s="877">
        <v>35788</v>
      </c>
      <c r="B2228" s="880">
        <v>1281.5999999999999</v>
      </c>
    </row>
    <row r="2229" spans="1:2" ht="16.149999999999999" customHeight="1">
      <c r="A2229" s="877">
        <v>35789</v>
      </c>
      <c r="B2229" s="878">
        <v>1281.5999999999999</v>
      </c>
    </row>
    <row r="2230" spans="1:2" ht="16.149999999999999" customHeight="1">
      <c r="A2230" s="877">
        <v>35790</v>
      </c>
      <c r="B2230" s="880">
        <v>1281.5999999999999</v>
      </c>
    </row>
    <row r="2231" spans="1:2" ht="16.149999999999999" customHeight="1">
      <c r="A2231" s="877">
        <v>35791</v>
      </c>
      <c r="B2231" s="878">
        <v>1286.92</v>
      </c>
    </row>
    <row r="2232" spans="1:2" ht="16.149999999999999" customHeight="1">
      <c r="A2232" s="877">
        <v>35792</v>
      </c>
      <c r="B2232" s="880">
        <v>1286.92</v>
      </c>
    </row>
    <row r="2233" spans="1:2" ht="16.149999999999999" customHeight="1">
      <c r="A2233" s="877">
        <v>35793</v>
      </c>
      <c r="B2233" s="878">
        <v>1286.92</v>
      </c>
    </row>
    <row r="2234" spans="1:2" ht="16.149999999999999" customHeight="1">
      <c r="A2234" s="877">
        <v>35794</v>
      </c>
      <c r="B2234" s="880">
        <v>1291.92</v>
      </c>
    </row>
    <row r="2235" spans="1:2" ht="16.149999999999999" customHeight="1">
      <c r="A2235" s="877">
        <v>35795</v>
      </c>
      <c r="B2235" s="878">
        <v>1293.58</v>
      </c>
    </row>
    <row r="2236" spans="1:2" ht="16.149999999999999" customHeight="1">
      <c r="A2236" s="877">
        <v>35796</v>
      </c>
      <c r="B2236" s="880">
        <v>1293.58</v>
      </c>
    </row>
    <row r="2237" spans="1:2" ht="16.149999999999999" customHeight="1">
      <c r="A2237" s="877">
        <v>35797</v>
      </c>
      <c r="B2237" s="878">
        <v>1293.58</v>
      </c>
    </row>
    <row r="2238" spans="1:2" ht="16.149999999999999" customHeight="1">
      <c r="A2238" s="877">
        <v>35798</v>
      </c>
      <c r="B2238" s="880">
        <v>1304.33</v>
      </c>
    </row>
    <row r="2239" spans="1:2" ht="16.149999999999999" customHeight="1">
      <c r="A2239" s="877">
        <v>35799</v>
      </c>
      <c r="B2239" s="878">
        <v>1304.33</v>
      </c>
    </row>
    <row r="2240" spans="1:2" ht="16.149999999999999" customHeight="1">
      <c r="A2240" s="877">
        <v>35800</v>
      </c>
      <c r="B2240" s="880">
        <v>1304.33</v>
      </c>
    </row>
    <row r="2241" spans="1:2" ht="16.149999999999999" customHeight="1">
      <c r="A2241" s="877">
        <v>35801</v>
      </c>
      <c r="B2241" s="878">
        <v>1317.15</v>
      </c>
    </row>
    <row r="2242" spans="1:2" ht="16.149999999999999" customHeight="1">
      <c r="A2242" s="877">
        <v>35802</v>
      </c>
      <c r="B2242" s="880">
        <v>1318.57</v>
      </c>
    </row>
    <row r="2243" spans="1:2" ht="16.149999999999999" customHeight="1">
      <c r="A2243" s="877">
        <v>35803</v>
      </c>
      <c r="B2243" s="878">
        <v>1315.95</v>
      </c>
    </row>
    <row r="2244" spans="1:2" ht="16.149999999999999" customHeight="1">
      <c r="A2244" s="877">
        <v>35804</v>
      </c>
      <c r="B2244" s="880">
        <v>1313.56</v>
      </c>
    </row>
    <row r="2245" spans="1:2" ht="16.149999999999999" customHeight="1">
      <c r="A2245" s="877">
        <v>35805</v>
      </c>
      <c r="B2245" s="878">
        <v>1315.7</v>
      </c>
    </row>
    <row r="2246" spans="1:2" ht="16.149999999999999" customHeight="1">
      <c r="A2246" s="877">
        <v>35806</v>
      </c>
      <c r="B2246" s="880">
        <v>1315.7</v>
      </c>
    </row>
    <row r="2247" spans="1:2" ht="16.149999999999999" customHeight="1">
      <c r="A2247" s="877">
        <v>35807</v>
      </c>
      <c r="B2247" s="878">
        <v>1315.7</v>
      </c>
    </row>
    <row r="2248" spans="1:2" ht="16.149999999999999" customHeight="1">
      <c r="A2248" s="877">
        <v>35808</v>
      </c>
      <c r="B2248" s="880">
        <v>1315.7</v>
      </c>
    </row>
    <row r="2249" spans="1:2" ht="16.149999999999999" customHeight="1">
      <c r="A2249" s="877">
        <v>35809</v>
      </c>
      <c r="B2249" s="878">
        <v>1318.25</v>
      </c>
    </row>
    <row r="2250" spans="1:2" ht="16.149999999999999" customHeight="1">
      <c r="A2250" s="877">
        <v>35810</v>
      </c>
      <c r="B2250" s="880">
        <v>1318.53</v>
      </c>
    </row>
    <row r="2251" spans="1:2" ht="16.149999999999999" customHeight="1">
      <c r="A2251" s="877">
        <v>35811</v>
      </c>
      <c r="B2251" s="878">
        <v>1319.21</v>
      </c>
    </row>
    <row r="2252" spans="1:2" ht="16.149999999999999" customHeight="1">
      <c r="A2252" s="877">
        <v>35812</v>
      </c>
      <c r="B2252" s="880">
        <v>1322.16</v>
      </c>
    </row>
    <row r="2253" spans="1:2" ht="16.149999999999999" customHeight="1">
      <c r="A2253" s="877">
        <v>35813</v>
      </c>
      <c r="B2253" s="878">
        <v>1322.16</v>
      </c>
    </row>
    <row r="2254" spans="1:2" ht="16.149999999999999" customHeight="1">
      <c r="A2254" s="877">
        <v>35814</v>
      </c>
      <c r="B2254" s="880">
        <v>1322.16</v>
      </c>
    </row>
    <row r="2255" spans="1:2" ht="16.149999999999999" customHeight="1">
      <c r="A2255" s="877">
        <v>35815</v>
      </c>
      <c r="B2255" s="878">
        <v>1325.07</v>
      </c>
    </row>
    <row r="2256" spans="1:2" ht="16.149999999999999" customHeight="1">
      <c r="A2256" s="877">
        <v>35816</v>
      </c>
      <c r="B2256" s="880">
        <v>1327</v>
      </c>
    </row>
    <row r="2257" spans="1:2" ht="16.149999999999999" customHeight="1">
      <c r="A2257" s="877">
        <v>35817</v>
      </c>
      <c r="B2257" s="878">
        <v>1331.48</v>
      </c>
    </row>
    <row r="2258" spans="1:2" ht="16.149999999999999" customHeight="1">
      <c r="A2258" s="877">
        <v>35818</v>
      </c>
      <c r="B2258" s="880">
        <v>1334.71</v>
      </c>
    </row>
    <row r="2259" spans="1:2" ht="16.149999999999999" customHeight="1">
      <c r="A2259" s="877">
        <v>35819</v>
      </c>
      <c r="B2259" s="878">
        <v>1332.78</v>
      </c>
    </row>
    <row r="2260" spans="1:2" ht="16.149999999999999" customHeight="1">
      <c r="A2260" s="877">
        <v>35820</v>
      </c>
      <c r="B2260" s="880">
        <v>1332.78</v>
      </c>
    </row>
    <row r="2261" spans="1:2" ht="16.149999999999999" customHeight="1">
      <c r="A2261" s="877">
        <v>35821</v>
      </c>
      <c r="B2261" s="878">
        <v>1332.78</v>
      </c>
    </row>
    <row r="2262" spans="1:2" ht="16.149999999999999" customHeight="1">
      <c r="A2262" s="877">
        <v>35822</v>
      </c>
      <c r="B2262" s="880">
        <v>1336.38</v>
      </c>
    </row>
    <row r="2263" spans="1:2" ht="16.149999999999999" customHeight="1">
      <c r="A2263" s="877">
        <v>35823</v>
      </c>
      <c r="B2263" s="878">
        <v>1337.3</v>
      </c>
    </row>
    <row r="2264" spans="1:2" ht="16.149999999999999" customHeight="1">
      <c r="A2264" s="877">
        <v>35824</v>
      </c>
      <c r="B2264" s="880">
        <v>1339.57</v>
      </c>
    </row>
    <row r="2265" spans="1:2" ht="16.149999999999999" customHeight="1">
      <c r="A2265" s="877">
        <v>35825</v>
      </c>
      <c r="B2265" s="878">
        <v>1341.85</v>
      </c>
    </row>
    <row r="2266" spans="1:2" ht="16.149999999999999" customHeight="1">
      <c r="A2266" s="877">
        <v>35826</v>
      </c>
      <c r="B2266" s="880">
        <v>1342</v>
      </c>
    </row>
    <row r="2267" spans="1:2" ht="16.149999999999999" customHeight="1">
      <c r="A2267" s="877">
        <v>35827</v>
      </c>
      <c r="B2267" s="878">
        <v>1342</v>
      </c>
    </row>
    <row r="2268" spans="1:2" ht="16.149999999999999" customHeight="1">
      <c r="A2268" s="877">
        <v>35828</v>
      </c>
      <c r="B2268" s="880">
        <v>1342</v>
      </c>
    </row>
    <row r="2269" spans="1:2" ht="16.149999999999999" customHeight="1">
      <c r="A2269" s="877">
        <v>35829</v>
      </c>
      <c r="B2269" s="878">
        <v>1343.9</v>
      </c>
    </row>
    <row r="2270" spans="1:2" ht="16.149999999999999" customHeight="1">
      <c r="A2270" s="877">
        <v>35830</v>
      </c>
      <c r="B2270" s="880">
        <v>1345.01</v>
      </c>
    </row>
    <row r="2271" spans="1:2" ht="16.149999999999999" customHeight="1">
      <c r="A2271" s="877">
        <v>35831</v>
      </c>
      <c r="B2271" s="878">
        <v>1345.46</v>
      </c>
    </row>
    <row r="2272" spans="1:2" ht="16.149999999999999" customHeight="1">
      <c r="A2272" s="877">
        <v>35832</v>
      </c>
      <c r="B2272" s="880">
        <v>1346.09</v>
      </c>
    </row>
    <row r="2273" spans="1:2" ht="16.149999999999999" customHeight="1">
      <c r="A2273" s="877">
        <v>35833</v>
      </c>
      <c r="B2273" s="878">
        <v>1346.42</v>
      </c>
    </row>
    <row r="2274" spans="1:2" ht="16.149999999999999" customHeight="1">
      <c r="A2274" s="877">
        <v>35834</v>
      </c>
      <c r="B2274" s="880">
        <v>1346.42</v>
      </c>
    </row>
    <row r="2275" spans="1:2" ht="16.149999999999999" customHeight="1">
      <c r="A2275" s="877">
        <v>35835</v>
      </c>
      <c r="B2275" s="878">
        <v>1346.42</v>
      </c>
    </row>
    <row r="2276" spans="1:2" ht="16.149999999999999" customHeight="1">
      <c r="A2276" s="877">
        <v>35836</v>
      </c>
      <c r="B2276" s="880">
        <v>1347.72</v>
      </c>
    </row>
    <row r="2277" spans="1:2" ht="16.149999999999999" customHeight="1">
      <c r="A2277" s="877">
        <v>35837</v>
      </c>
      <c r="B2277" s="878">
        <v>1348.23</v>
      </c>
    </row>
    <row r="2278" spans="1:2" ht="16.149999999999999" customHeight="1">
      <c r="A2278" s="877">
        <v>35838</v>
      </c>
      <c r="B2278" s="880">
        <v>1348.86</v>
      </c>
    </row>
    <row r="2279" spans="1:2" ht="16.149999999999999" customHeight="1">
      <c r="A2279" s="877">
        <v>35839</v>
      </c>
      <c r="B2279" s="878">
        <v>1349.34</v>
      </c>
    </row>
    <row r="2280" spans="1:2" ht="16.149999999999999" customHeight="1">
      <c r="A2280" s="877">
        <v>35840</v>
      </c>
      <c r="B2280" s="880">
        <v>1349.54</v>
      </c>
    </row>
    <row r="2281" spans="1:2" ht="16.149999999999999" customHeight="1">
      <c r="A2281" s="877">
        <v>35841</v>
      </c>
      <c r="B2281" s="878">
        <v>1349.54</v>
      </c>
    </row>
    <row r="2282" spans="1:2" ht="16.149999999999999" customHeight="1">
      <c r="A2282" s="877">
        <v>35842</v>
      </c>
      <c r="B2282" s="880">
        <v>1349.54</v>
      </c>
    </row>
    <row r="2283" spans="1:2" ht="16.149999999999999" customHeight="1">
      <c r="A2283" s="877">
        <v>35843</v>
      </c>
      <c r="B2283" s="878">
        <v>1350.97</v>
      </c>
    </row>
    <row r="2284" spans="1:2" ht="16.149999999999999" customHeight="1">
      <c r="A2284" s="877">
        <v>35844</v>
      </c>
      <c r="B2284" s="880">
        <v>1350.23</v>
      </c>
    </row>
    <row r="2285" spans="1:2" ht="16.149999999999999" customHeight="1">
      <c r="A2285" s="877">
        <v>35845</v>
      </c>
      <c r="B2285" s="878">
        <v>1349.95</v>
      </c>
    </row>
    <row r="2286" spans="1:2" ht="16.149999999999999" customHeight="1">
      <c r="A2286" s="877">
        <v>35846</v>
      </c>
      <c r="B2286" s="880">
        <v>1350.1</v>
      </c>
    </row>
    <row r="2287" spans="1:2" ht="16.149999999999999" customHeight="1">
      <c r="A2287" s="877">
        <v>35847</v>
      </c>
      <c r="B2287" s="878">
        <v>1347.94</v>
      </c>
    </row>
    <row r="2288" spans="1:2" ht="16.149999999999999" customHeight="1">
      <c r="A2288" s="877">
        <v>35848</v>
      </c>
      <c r="B2288" s="880">
        <v>1347.94</v>
      </c>
    </row>
    <row r="2289" spans="1:2" ht="16.149999999999999" customHeight="1">
      <c r="A2289" s="877">
        <v>35849</v>
      </c>
      <c r="B2289" s="878">
        <v>1347.94</v>
      </c>
    </row>
    <row r="2290" spans="1:2" ht="16.149999999999999" customHeight="1">
      <c r="A2290" s="877">
        <v>35850</v>
      </c>
      <c r="B2290" s="880">
        <v>1340.92</v>
      </c>
    </row>
    <row r="2291" spans="1:2" ht="16.149999999999999" customHeight="1">
      <c r="A2291" s="877">
        <v>35851</v>
      </c>
      <c r="B2291" s="878">
        <v>1334.72</v>
      </c>
    </row>
    <row r="2292" spans="1:2" ht="16.149999999999999" customHeight="1">
      <c r="A2292" s="877">
        <v>35852</v>
      </c>
      <c r="B2292" s="880">
        <v>1340.75</v>
      </c>
    </row>
    <row r="2293" spans="1:2" ht="16.149999999999999" customHeight="1">
      <c r="A2293" s="877">
        <v>35853</v>
      </c>
      <c r="B2293" s="878">
        <v>1344.25</v>
      </c>
    </row>
    <row r="2294" spans="1:2" ht="16.149999999999999" customHeight="1">
      <c r="A2294" s="877">
        <v>35854</v>
      </c>
      <c r="B2294" s="880">
        <v>1343.85</v>
      </c>
    </row>
    <row r="2295" spans="1:2" ht="16.149999999999999" customHeight="1">
      <c r="A2295" s="877">
        <v>35855</v>
      </c>
      <c r="B2295" s="878">
        <v>1343.85</v>
      </c>
    </row>
    <row r="2296" spans="1:2" ht="16.149999999999999" customHeight="1">
      <c r="A2296" s="877">
        <v>35856</v>
      </c>
      <c r="B2296" s="880">
        <v>1343.85</v>
      </c>
    </row>
    <row r="2297" spans="1:2" ht="16.149999999999999" customHeight="1">
      <c r="A2297" s="877">
        <v>35857</v>
      </c>
      <c r="B2297" s="878">
        <v>1349.04</v>
      </c>
    </row>
    <row r="2298" spans="1:2" ht="16.149999999999999" customHeight="1">
      <c r="A2298" s="877">
        <v>35858</v>
      </c>
      <c r="B2298" s="880">
        <v>1352.21</v>
      </c>
    </row>
    <row r="2299" spans="1:2" ht="16.149999999999999" customHeight="1">
      <c r="A2299" s="877">
        <v>35859</v>
      </c>
      <c r="B2299" s="878">
        <v>1349.8</v>
      </c>
    </row>
    <row r="2300" spans="1:2" ht="16.149999999999999" customHeight="1">
      <c r="A2300" s="877">
        <v>35860</v>
      </c>
      <c r="B2300" s="880">
        <v>1353.19</v>
      </c>
    </row>
    <row r="2301" spans="1:2" ht="16.149999999999999" customHeight="1">
      <c r="A2301" s="877">
        <v>35861</v>
      </c>
      <c r="B2301" s="878">
        <v>1353.71</v>
      </c>
    </row>
    <row r="2302" spans="1:2" ht="16.149999999999999" customHeight="1">
      <c r="A2302" s="877">
        <v>35862</v>
      </c>
      <c r="B2302" s="880">
        <v>1353.71</v>
      </c>
    </row>
    <row r="2303" spans="1:2" ht="16.149999999999999" customHeight="1">
      <c r="A2303" s="877">
        <v>35863</v>
      </c>
      <c r="B2303" s="878">
        <v>1353.71</v>
      </c>
    </row>
    <row r="2304" spans="1:2" ht="16.149999999999999" customHeight="1">
      <c r="A2304" s="877">
        <v>35864</v>
      </c>
      <c r="B2304" s="880">
        <v>1354.9</v>
      </c>
    </row>
    <row r="2305" spans="1:2" ht="16.149999999999999" customHeight="1">
      <c r="A2305" s="877">
        <v>35865</v>
      </c>
      <c r="B2305" s="878">
        <v>1355.88</v>
      </c>
    </row>
    <row r="2306" spans="1:2" ht="16.149999999999999" customHeight="1">
      <c r="A2306" s="877">
        <v>35866</v>
      </c>
      <c r="B2306" s="880">
        <v>1356.63</v>
      </c>
    </row>
    <row r="2307" spans="1:2" ht="16.149999999999999" customHeight="1">
      <c r="A2307" s="877">
        <v>35867</v>
      </c>
      <c r="B2307" s="878">
        <v>1356.7</v>
      </c>
    </row>
    <row r="2308" spans="1:2" ht="16.149999999999999" customHeight="1">
      <c r="A2308" s="877">
        <v>35868</v>
      </c>
      <c r="B2308" s="880">
        <v>1355.9</v>
      </c>
    </row>
    <row r="2309" spans="1:2" ht="16.149999999999999" customHeight="1">
      <c r="A2309" s="877">
        <v>35869</v>
      </c>
      <c r="B2309" s="878">
        <v>1355.9</v>
      </c>
    </row>
    <row r="2310" spans="1:2" ht="16.149999999999999" customHeight="1">
      <c r="A2310" s="877">
        <v>35870</v>
      </c>
      <c r="B2310" s="880">
        <v>1355.9</v>
      </c>
    </row>
    <row r="2311" spans="1:2" ht="16.149999999999999" customHeight="1">
      <c r="A2311" s="877">
        <v>35871</v>
      </c>
      <c r="B2311" s="878">
        <v>1358.66</v>
      </c>
    </row>
    <row r="2312" spans="1:2" ht="16.149999999999999" customHeight="1">
      <c r="A2312" s="877">
        <v>35872</v>
      </c>
      <c r="B2312" s="880">
        <v>1359.96</v>
      </c>
    </row>
    <row r="2313" spans="1:2" ht="16.149999999999999" customHeight="1">
      <c r="A2313" s="877">
        <v>35873</v>
      </c>
      <c r="B2313" s="878">
        <v>1360.56</v>
      </c>
    </row>
    <row r="2314" spans="1:2" ht="16.149999999999999" customHeight="1">
      <c r="A2314" s="877">
        <v>35874</v>
      </c>
      <c r="B2314" s="880">
        <v>1361.87</v>
      </c>
    </row>
    <row r="2315" spans="1:2" ht="16.149999999999999" customHeight="1">
      <c r="A2315" s="877">
        <v>35875</v>
      </c>
      <c r="B2315" s="878">
        <v>1361.86</v>
      </c>
    </row>
    <row r="2316" spans="1:2" ht="16.149999999999999" customHeight="1">
      <c r="A2316" s="877">
        <v>35876</v>
      </c>
      <c r="B2316" s="880">
        <v>1361.86</v>
      </c>
    </row>
    <row r="2317" spans="1:2" ht="16.149999999999999" customHeight="1">
      <c r="A2317" s="877">
        <v>35877</v>
      </c>
      <c r="B2317" s="878">
        <v>1361.86</v>
      </c>
    </row>
    <row r="2318" spans="1:2" ht="16.149999999999999" customHeight="1">
      <c r="A2318" s="877">
        <v>35878</v>
      </c>
      <c r="B2318" s="880">
        <v>1361.86</v>
      </c>
    </row>
    <row r="2319" spans="1:2" ht="16.149999999999999" customHeight="1">
      <c r="A2319" s="877">
        <v>35879</v>
      </c>
      <c r="B2319" s="878">
        <v>1364.4</v>
      </c>
    </row>
    <row r="2320" spans="1:2" ht="16.149999999999999" customHeight="1">
      <c r="A2320" s="877">
        <v>35880</v>
      </c>
      <c r="B2320" s="880">
        <v>1364.76</v>
      </c>
    </row>
    <row r="2321" spans="1:2" ht="16.149999999999999" customHeight="1">
      <c r="A2321" s="877">
        <v>35881</v>
      </c>
      <c r="B2321" s="878">
        <v>1365.66</v>
      </c>
    </row>
    <row r="2322" spans="1:2" ht="16.149999999999999" customHeight="1">
      <c r="A2322" s="877">
        <v>35882</v>
      </c>
      <c r="B2322" s="880">
        <v>1361.49</v>
      </c>
    </row>
    <row r="2323" spans="1:2" ht="16.149999999999999" customHeight="1">
      <c r="A2323" s="877">
        <v>35883</v>
      </c>
      <c r="B2323" s="878">
        <v>1361.49</v>
      </c>
    </row>
    <row r="2324" spans="1:2" ht="16.149999999999999" customHeight="1">
      <c r="A2324" s="877">
        <v>35884</v>
      </c>
      <c r="B2324" s="880">
        <v>1361.49</v>
      </c>
    </row>
    <row r="2325" spans="1:2" ht="16.149999999999999" customHeight="1">
      <c r="A2325" s="877">
        <v>35885</v>
      </c>
      <c r="B2325" s="878">
        <v>1358.03</v>
      </c>
    </row>
    <row r="2326" spans="1:2" ht="16.149999999999999" customHeight="1">
      <c r="A2326" s="877">
        <v>35886</v>
      </c>
      <c r="B2326" s="880">
        <v>1360.26</v>
      </c>
    </row>
    <row r="2327" spans="1:2" ht="16.149999999999999" customHeight="1">
      <c r="A2327" s="877">
        <v>35887</v>
      </c>
      <c r="B2327" s="878">
        <v>1362.54</v>
      </c>
    </row>
    <row r="2328" spans="1:2" ht="16.149999999999999" customHeight="1">
      <c r="A2328" s="877">
        <v>35888</v>
      </c>
      <c r="B2328" s="880">
        <v>1357.75</v>
      </c>
    </row>
    <row r="2329" spans="1:2" ht="16.149999999999999" customHeight="1">
      <c r="A2329" s="877">
        <v>35889</v>
      </c>
      <c r="B2329" s="878">
        <v>1357.71</v>
      </c>
    </row>
    <row r="2330" spans="1:2" ht="16.149999999999999" customHeight="1">
      <c r="A2330" s="877">
        <v>35890</v>
      </c>
      <c r="B2330" s="880">
        <v>1357.71</v>
      </c>
    </row>
    <row r="2331" spans="1:2" ht="16.149999999999999" customHeight="1">
      <c r="A2331" s="877">
        <v>35891</v>
      </c>
      <c r="B2331" s="878">
        <v>1357.71</v>
      </c>
    </row>
    <row r="2332" spans="1:2" ht="16.149999999999999" customHeight="1">
      <c r="A2332" s="877">
        <v>35892</v>
      </c>
      <c r="B2332" s="880">
        <v>1355.5</v>
      </c>
    </row>
    <row r="2333" spans="1:2" ht="16.149999999999999" customHeight="1">
      <c r="A2333" s="877">
        <v>35893</v>
      </c>
      <c r="B2333" s="878">
        <v>1354.15</v>
      </c>
    </row>
    <row r="2334" spans="1:2" ht="16.149999999999999" customHeight="1">
      <c r="A2334" s="877">
        <v>35894</v>
      </c>
      <c r="B2334" s="880">
        <v>1357.14</v>
      </c>
    </row>
    <row r="2335" spans="1:2" ht="16.149999999999999" customHeight="1">
      <c r="A2335" s="877">
        <v>35895</v>
      </c>
      <c r="B2335" s="878">
        <v>1357.14</v>
      </c>
    </row>
    <row r="2336" spans="1:2" ht="16.149999999999999" customHeight="1">
      <c r="A2336" s="877">
        <v>35896</v>
      </c>
      <c r="B2336" s="880">
        <v>1357.14</v>
      </c>
    </row>
    <row r="2337" spans="1:2" ht="16.149999999999999" customHeight="1">
      <c r="A2337" s="877">
        <v>35897</v>
      </c>
      <c r="B2337" s="878">
        <v>1357.14</v>
      </c>
    </row>
    <row r="2338" spans="1:2" ht="16.149999999999999" customHeight="1">
      <c r="A2338" s="877">
        <v>35898</v>
      </c>
      <c r="B2338" s="880">
        <v>1357.14</v>
      </c>
    </row>
    <row r="2339" spans="1:2" ht="16.149999999999999" customHeight="1">
      <c r="A2339" s="877">
        <v>35899</v>
      </c>
      <c r="B2339" s="878">
        <v>1363.38</v>
      </c>
    </row>
    <row r="2340" spans="1:2" ht="16.149999999999999" customHeight="1">
      <c r="A2340" s="877">
        <v>35900</v>
      </c>
      <c r="B2340" s="880">
        <v>1365.21</v>
      </c>
    </row>
    <row r="2341" spans="1:2" ht="16.149999999999999" customHeight="1">
      <c r="A2341" s="877">
        <v>35901</v>
      </c>
      <c r="B2341" s="878">
        <v>1364.06</v>
      </c>
    </row>
    <row r="2342" spans="1:2" ht="16.149999999999999" customHeight="1">
      <c r="A2342" s="877">
        <v>35902</v>
      </c>
      <c r="B2342" s="880">
        <v>1360.74</v>
      </c>
    </row>
    <row r="2343" spans="1:2" ht="16.149999999999999" customHeight="1">
      <c r="A2343" s="877">
        <v>35903</v>
      </c>
      <c r="B2343" s="878">
        <v>1360.49</v>
      </c>
    </row>
    <row r="2344" spans="1:2" ht="16.149999999999999" customHeight="1">
      <c r="A2344" s="877">
        <v>35904</v>
      </c>
      <c r="B2344" s="880">
        <v>1360.49</v>
      </c>
    </row>
    <row r="2345" spans="1:2" ht="16.149999999999999" customHeight="1">
      <c r="A2345" s="877">
        <v>35905</v>
      </c>
      <c r="B2345" s="878">
        <v>1360.49</v>
      </c>
    </row>
    <row r="2346" spans="1:2" ht="16.149999999999999" customHeight="1">
      <c r="A2346" s="877">
        <v>35906</v>
      </c>
      <c r="B2346" s="880">
        <v>1360.42</v>
      </c>
    </row>
    <row r="2347" spans="1:2" ht="16.149999999999999" customHeight="1">
      <c r="A2347" s="877">
        <v>35907</v>
      </c>
      <c r="B2347" s="878">
        <v>1357.51</v>
      </c>
    </row>
    <row r="2348" spans="1:2" ht="16.149999999999999" customHeight="1">
      <c r="A2348" s="877">
        <v>35908</v>
      </c>
      <c r="B2348" s="880">
        <v>1355.94</v>
      </c>
    </row>
    <row r="2349" spans="1:2" ht="16.149999999999999" customHeight="1">
      <c r="A2349" s="877">
        <v>35909</v>
      </c>
      <c r="B2349" s="878">
        <v>1354.91</v>
      </c>
    </row>
    <row r="2350" spans="1:2" ht="16.149999999999999" customHeight="1">
      <c r="A2350" s="877">
        <v>35910</v>
      </c>
      <c r="B2350" s="880">
        <v>1359.99</v>
      </c>
    </row>
    <row r="2351" spans="1:2" ht="16.149999999999999" customHeight="1">
      <c r="A2351" s="877">
        <v>35911</v>
      </c>
      <c r="B2351" s="878">
        <v>1359.99</v>
      </c>
    </row>
    <row r="2352" spans="1:2" ht="16.149999999999999" customHeight="1">
      <c r="A2352" s="877">
        <v>35912</v>
      </c>
      <c r="B2352" s="880">
        <v>1359.99</v>
      </c>
    </row>
    <row r="2353" spans="1:2" ht="16.149999999999999" customHeight="1">
      <c r="A2353" s="877">
        <v>35913</v>
      </c>
      <c r="B2353" s="878">
        <v>1368.17</v>
      </c>
    </row>
    <row r="2354" spans="1:2" ht="16.149999999999999" customHeight="1">
      <c r="A2354" s="877">
        <v>35914</v>
      </c>
      <c r="B2354" s="880">
        <v>1371.35</v>
      </c>
    </row>
    <row r="2355" spans="1:2" ht="16.149999999999999" customHeight="1">
      <c r="A2355" s="877">
        <v>35915</v>
      </c>
      <c r="B2355" s="878">
        <v>1365.72</v>
      </c>
    </row>
    <row r="2356" spans="1:2" ht="16.149999999999999" customHeight="1">
      <c r="A2356" s="877">
        <v>35916</v>
      </c>
      <c r="B2356" s="880">
        <v>1364.07</v>
      </c>
    </row>
    <row r="2357" spans="1:2" ht="16.149999999999999" customHeight="1">
      <c r="A2357" s="877">
        <v>35917</v>
      </c>
      <c r="B2357" s="878">
        <v>1364.07</v>
      </c>
    </row>
    <row r="2358" spans="1:2" ht="16.149999999999999" customHeight="1">
      <c r="A2358" s="877">
        <v>35918</v>
      </c>
      <c r="B2358" s="880">
        <v>1364.07</v>
      </c>
    </row>
    <row r="2359" spans="1:2" ht="16.149999999999999" customHeight="1">
      <c r="A2359" s="877">
        <v>35919</v>
      </c>
      <c r="B2359" s="878">
        <v>1364.07</v>
      </c>
    </row>
    <row r="2360" spans="1:2" ht="16.149999999999999" customHeight="1">
      <c r="A2360" s="877">
        <v>35920</v>
      </c>
      <c r="B2360" s="880">
        <v>1369.31</v>
      </c>
    </row>
    <row r="2361" spans="1:2" ht="16.149999999999999" customHeight="1">
      <c r="A2361" s="877">
        <v>35921</v>
      </c>
      <c r="B2361" s="878">
        <v>1375.39</v>
      </c>
    </row>
    <row r="2362" spans="1:2" ht="16.149999999999999" customHeight="1">
      <c r="A2362" s="877">
        <v>35922</v>
      </c>
      <c r="B2362" s="880">
        <v>1382.27</v>
      </c>
    </row>
    <row r="2363" spans="1:2" ht="16.149999999999999" customHeight="1">
      <c r="A2363" s="877">
        <v>35923</v>
      </c>
      <c r="B2363" s="878">
        <v>1383.04</v>
      </c>
    </row>
    <row r="2364" spans="1:2" ht="16.149999999999999" customHeight="1">
      <c r="A2364" s="877">
        <v>35924</v>
      </c>
      <c r="B2364" s="880">
        <v>1385.38</v>
      </c>
    </row>
    <row r="2365" spans="1:2" ht="16.149999999999999" customHeight="1">
      <c r="A2365" s="877">
        <v>35925</v>
      </c>
      <c r="B2365" s="878">
        <v>1385.38</v>
      </c>
    </row>
    <row r="2366" spans="1:2" ht="16.149999999999999" customHeight="1">
      <c r="A2366" s="877">
        <v>35926</v>
      </c>
      <c r="B2366" s="880">
        <v>1385.38</v>
      </c>
    </row>
    <row r="2367" spans="1:2" ht="16.149999999999999" customHeight="1">
      <c r="A2367" s="877">
        <v>35927</v>
      </c>
      <c r="B2367" s="878">
        <v>1387.78</v>
      </c>
    </row>
    <row r="2368" spans="1:2" ht="16.149999999999999" customHeight="1">
      <c r="A2368" s="877">
        <v>35928</v>
      </c>
      <c r="B2368" s="880">
        <v>1388.04</v>
      </c>
    </row>
    <row r="2369" spans="1:2" ht="16.149999999999999" customHeight="1">
      <c r="A2369" s="877">
        <v>35929</v>
      </c>
      <c r="B2369" s="878">
        <v>1387.15</v>
      </c>
    </row>
    <row r="2370" spans="1:2" ht="16.149999999999999" customHeight="1">
      <c r="A2370" s="877">
        <v>35930</v>
      </c>
      <c r="B2370" s="880">
        <v>1384.97</v>
      </c>
    </row>
    <row r="2371" spans="1:2" ht="16.149999999999999" customHeight="1">
      <c r="A2371" s="877">
        <v>35931</v>
      </c>
      <c r="B2371" s="878">
        <v>1383.31</v>
      </c>
    </row>
    <row r="2372" spans="1:2" ht="16.149999999999999" customHeight="1">
      <c r="A2372" s="877">
        <v>35932</v>
      </c>
      <c r="B2372" s="880">
        <v>1383.31</v>
      </c>
    </row>
    <row r="2373" spans="1:2" ht="16.149999999999999" customHeight="1">
      <c r="A2373" s="877">
        <v>35933</v>
      </c>
      <c r="B2373" s="878">
        <v>1383.31</v>
      </c>
    </row>
    <row r="2374" spans="1:2" ht="16.149999999999999" customHeight="1">
      <c r="A2374" s="877">
        <v>35934</v>
      </c>
      <c r="B2374" s="880">
        <v>1387.26</v>
      </c>
    </row>
    <row r="2375" spans="1:2" ht="16.149999999999999" customHeight="1">
      <c r="A2375" s="877">
        <v>35935</v>
      </c>
      <c r="B2375" s="878">
        <v>1390.89</v>
      </c>
    </row>
    <row r="2376" spans="1:2" ht="16.149999999999999" customHeight="1">
      <c r="A2376" s="877">
        <v>35936</v>
      </c>
      <c r="B2376" s="880">
        <v>1392.18</v>
      </c>
    </row>
    <row r="2377" spans="1:2" ht="16.149999999999999" customHeight="1">
      <c r="A2377" s="877">
        <v>35937</v>
      </c>
      <c r="B2377" s="878">
        <v>1393.62</v>
      </c>
    </row>
    <row r="2378" spans="1:2" ht="16.149999999999999" customHeight="1">
      <c r="A2378" s="877">
        <v>35938</v>
      </c>
      <c r="B2378" s="880">
        <v>1394.33</v>
      </c>
    </row>
    <row r="2379" spans="1:2" ht="16.149999999999999" customHeight="1">
      <c r="A2379" s="877">
        <v>35939</v>
      </c>
      <c r="B2379" s="878">
        <v>1394.33</v>
      </c>
    </row>
    <row r="2380" spans="1:2" ht="16.149999999999999" customHeight="1">
      <c r="A2380" s="877">
        <v>35940</v>
      </c>
      <c r="B2380" s="880">
        <v>1394.33</v>
      </c>
    </row>
    <row r="2381" spans="1:2" ht="16.149999999999999" customHeight="1">
      <c r="A2381" s="877">
        <v>35941</v>
      </c>
      <c r="B2381" s="878">
        <v>1394.33</v>
      </c>
    </row>
    <row r="2382" spans="1:2" ht="16.149999999999999" customHeight="1">
      <c r="A2382" s="877">
        <v>35942</v>
      </c>
      <c r="B2382" s="880">
        <v>1396.51</v>
      </c>
    </row>
    <row r="2383" spans="1:2" ht="16.149999999999999" customHeight="1">
      <c r="A2383" s="877">
        <v>35943</v>
      </c>
      <c r="B2383" s="878">
        <v>1397.12</v>
      </c>
    </row>
    <row r="2384" spans="1:2" ht="16.149999999999999" customHeight="1">
      <c r="A2384" s="877">
        <v>35944</v>
      </c>
      <c r="B2384" s="880">
        <v>1396.69</v>
      </c>
    </row>
    <row r="2385" spans="1:2" ht="16.149999999999999" customHeight="1">
      <c r="A2385" s="877">
        <v>35945</v>
      </c>
      <c r="B2385" s="878">
        <v>1397.07</v>
      </c>
    </row>
    <row r="2386" spans="1:2" ht="16.149999999999999" customHeight="1">
      <c r="A2386" s="877">
        <v>35946</v>
      </c>
      <c r="B2386" s="880">
        <v>1397.07</v>
      </c>
    </row>
    <row r="2387" spans="1:2" ht="16.149999999999999" customHeight="1">
      <c r="A2387" s="877">
        <v>35947</v>
      </c>
      <c r="B2387" s="878">
        <v>1397.07</v>
      </c>
    </row>
    <row r="2388" spans="1:2" ht="16.149999999999999" customHeight="1">
      <c r="A2388" s="877">
        <v>35948</v>
      </c>
      <c r="B2388" s="880">
        <v>1398.53</v>
      </c>
    </row>
    <row r="2389" spans="1:2" ht="16.149999999999999" customHeight="1">
      <c r="A2389" s="877">
        <v>35949</v>
      </c>
      <c r="B2389" s="878">
        <v>1399.56</v>
      </c>
    </row>
    <row r="2390" spans="1:2" ht="16.149999999999999" customHeight="1">
      <c r="A2390" s="877">
        <v>35950</v>
      </c>
      <c r="B2390" s="880">
        <v>1399.02</v>
      </c>
    </row>
    <row r="2391" spans="1:2" ht="16.149999999999999" customHeight="1">
      <c r="A2391" s="877">
        <v>35951</v>
      </c>
      <c r="B2391" s="878">
        <v>1397.63</v>
      </c>
    </row>
    <row r="2392" spans="1:2" ht="16.149999999999999" customHeight="1">
      <c r="A2392" s="877">
        <v>35952</v>
      </c>
      <c r="B2392" s="880">
        <v>1387.12</v>
      </c>
    </row>
    <row r="2393" spans="1:2" ht="16.149999999999999" customHeight="1">
      <c r="A2393" s="877">
        <v>35953</v>
      </c>
      <c r="B2393" s="878">
        <v>1387.12</v>
      </c>
    </row>
    <row r="2394" spans="1:2" ht="16.149999999999999" customHeight="1">
      <c r="A2394" s="877">
        <v>35954</v>
      </c>
      <c r="B2394" s="880">
        <v>1387.12</v>
      </c>
    </row>
    <row r="2395" spans="1:2" ht="16.149999999999999" customHeight="1">
      <c r="A2395" s="877">
        <v>35955</v>
      </c>
      <c r="B2395" s="878">
        <v>1386.53</v>
      </c>
    </row>
    <row r="2396" spans="1:2" ht="16.149999999999999" customHeight="1">
      <c r="A2396" s="877">
        <v>35956</v>
      </c>
      <c r="B2396" s="880">
        <v>1376.25</v>
      </c>
    </row>
    <row r="2397" spans="1:2" ht="16.149999999999999" customHeight="1">
      <c r="A2397" s="877">
        <v>35957</v>
      </c>
      <c r="B2397" s="878">
        <v>1383.23</v>
      </c>
    </row>
    <row r="2398" spans="1:2" ht="16.149999999999999" customHeight="1">
      <c r="A2398" s="877">
        <v>35958</v>
      </c>
      <c r="B2398" s="880">
        <v>1388.76</v>
      </c>
    </row>
    <row r="2399" spans="1:2" ht="16.149999999999999" customHeight="1">
      <c r="A2399" s="877">
        <v>35959</v>
      </c>
      <c r="B2399" s="878">
        <v>1380.51</v>
      </c>
    </row>
    <row r="2400" spans="1:2" ht="16.149999999999999" customHeight="1">
      <c r="A2400" s="877">
        <v>35960</v>
      </c>
      <c r="B2400" s="880">
        <v>1380.51</v>
      </c>
    </row>
    <row r="2401" spans="1:2" ht="16.149999999999999" customHeight="1">
      <c r="A2401" s="877">
        <v>35961</v>
      </c>
      <c r="B2401" s="878">
        <v>1380.51</v>
      </c>
    </row>
    <row r="2402" spans="1:2" ht="16.149999999999999" customHeight="1">
      <c r="A2402" s="877">
        <v>35962</v>
      </c>
      <c r="B2402" s="880">
        <v>1380.51</v>
      </c>
    </row>
    <row r="2403" spans="1:2" ht="16.149999999999999" customHeight="1">
      <c r="A2403" s="877">
        <v>35963</v>
      </c>
      <c r="B2403" s="878">
        <v>1388.5</v>
      </c>
    </row>
    <row r="2404" spans="1:2" ht="16.149999999999999" customHeight="1">
      <c r="A2404" s="877">
        <v>35964</v>
      </c>
      <c r="B2404" s="880">
        <v>1394.39</v>
      </c>
    </row>
    <row r="2405" spans="1:2" ht="16.149999999999999" customHeight="1">
      <c r="A2405" s="877">
        <v>35965</v>
      </c>
      <c r="B2405" s="878">
        <v>1390.85</v>
      </c>
    </row>
    <row r="2406" spans="1:2" ht="16.149999999999999" customHeight="1">
      <c r="A2406" s="877">
        <v>35966</v>
      </c>
      <c r="B2406" s="880">
        <v>1394.8</v>
      </c>
    </row>
    <row r="2407" spans="1:2" ht="16.149999999999999" customHeight="1">
      <c r="A2407" s="877">
        <v>35967</v>
      </c>
      <c r="B2407" s="878">
        <v>1394.8</v>
      </c>
    </row>
    <row r="2408" spans="1:2" ht="16.149999999999999" customHeight="1">
      <c r="A2408" s="877">
        <v>35968</v>
      </c>
      <c r="B2408" s="880">
        <v>1394.8</v>
      </c>
    </row>
    <row r="2409" spans="1:2" ht="16.149999999999999" customHeight="1">
      <c r="A2409" s="877">
        <v>35969</v>
      </c>
      <c r="B2409" s="878">
        <v>1394.8</v>
      </c>
    </row>
    <row r="2410" spans="1:2" ht="16.149999999999999" customHeight="1">
      <c r="A2410" s="877">
        <v>35970</v>
      </c>
      <c r="B2410" s="880">
        <v>1381.11</v>
      </c>
    </row>
    <row r="2411" spans="1:2" ht="16.149999999999999" customHeight="1">
      <c r="A2411" s="877">
        <v>35971</v>
      </c>
      <c r="B2411" s="878">
        <v>1375.02</v>
      </c>
    </row>
    <row r="2412" spans="1:2" ht="16.149999999999999" customHeight="1">
      <c r="A2412" s="877">
        <v>35972</v>
      </c>
      <c r="B2412" s="880">
        <v>1363.67</v>
      </c>
    </row>
    <row r="2413" spans="1:2" ht="16.149999999999999" customHeight="1">
      <c r="A2413" s="877">
        <v>35973</v>
      </c>
      <c r="B2413" s="878">
        <v>1363.04</v>
      </c>
    </row>
    <row r="2414" spans="1:2" ht="16.149999999999999" customHeight="1">
      <c r="A2414" s="877">
        <v>35974</v>
      </c>
      <c r="B2414" s="880">
        <v>1363.04</v>
      </c>
    </row>
    <row r="2415" spans="1:2" ht="16.149999999999999" customHeight="1">
      <c r="A2415" s="877">
        <v>35975</v>
      </c>
      <c r="B2415" s="878">
        <v>1363.04</v>
      </c>
    </row>
    <row r="2416" spans="1:2" ht="16.149999999999999" customHeight="1">
      <c r="A2416" s="877">
        <v>35976</v>
      </c>
      <c r="B2416" s="880">
        <v>1363.04</v>
      </c>
    </row>
    <row r="2417" spans="1:2" ht="16.149999999999999" customHeight="1">
      <c r="A2417" s="877">
        <v>35977</v>
      </c>
      <c r="B2417" s="878">
        <v>1369.88</v>
      </c>
    </row>
    <row r="2418" spans="1:2" ht="16.149999999999999" customHeight="1">
      <c r="A2418" s="877">
        <v>35978</v>
      </c>
      <c r="B2418" s="880">
        <v>1358.05</v>
      </c>
    </row>
    <row r="2419" spans="1:2" ht="16.149999999999999" customHeight="1">
      <c r="A2419" s="877">
        <v>35979</v>
      </c>
      <c r="B2419" s="878">
        <v>1345.65</v>
      </c>
    </row>
    <row r="2420" spans="1:2" ht="16.149999999999999" customHeight="1">
      <c r="A2420" s="877">
        <v>35980</v>
      </c>
      <c r="B2420" s="880">
        <v>1348.06</v>
      </c>
    </row>
    <row r="2421" spans="1:2" ht="16.149999999999999" customHeight="1">
      <c r="A2421" s="877">
        <v>35981</v>
      </c>
      <c r="B2421" s="878">
        <v>1348.06</v>
      </c>
    </row>
    <row r="2422" spans="1:2" ht="16.149999999999999" customHeight="1">
      <c r="A2422" s="877">
        <v>35982</v>
      </c>
      <c r="B2422" s="880">
        <v>1348.06</v>
      </c>
    </row>
    <row r="2423" spans="1:2" ht="16.149999999999999" customHeight="1">
      <c r="A2423" s="877">
        <v>35983</v>
      </c>
      <c r="B2423" s="878">
        <v>1357.78</v>
      </c>
    </row>
    <row r="2424" spans="1:2" ht="16.149999999999999" customHeight="1">
      <c r="A2424" s="877">
        <v>35984</v>
      </c>
      <c r="B2424" s="880">
        <v>1368.16</v>
      </c>
    </row>
    <row r="2425" spans="1:2" ht="16.149999999999999" customHeight="1">
      <c r="A2425" s="877">
        <v>35985</v>
      </c>
      <c r="B2425" s="878">
        <v>1369.12</v>
      </c>
    </row>
    <row r="2426" spans="1:2" ht="16.149999999999999" customHeight="1">
      <c r="A2426" s="877">
        <v>35986</v>
      </c>
      <c r="B2426" s="880">
        <v>1370.45</v>
      </c>
    </row>
    <row r="2427" spans="1:2" ht="16.149999999999999" customHeight="1">
      <c r="A2427" s="877">
        <v>35987</v>
      </c>
      <c r="B2427" s="878">
        <v>1374.23</v>
      </c>
    </row>
    <row r="2428" spans="1:2" ht="16.149999999999999" customHeight="1">
      <c r="A2428" s="877">
        <v>35988</v>
      </c>
      <c r="B2428" s="880">
        <v>1374.23</v>
      </c>
    </row>
    <row r="2429" spans="1:2" ht="16.149999999999999" customHeight="1">
      <c r="A2429" s="877">
        <v>35989</v>
      </c>
      <c r="B2429" s="878">
        <v>1374.23</v>
      </c>
    </row>
    <row r="2430" spans="1:2" ht="16.149999999999999" customHeight="1">
      <c r="A2430" s="877">
        <v>35990</v>
      </c>
      <c r="B2430" s="880">
        <v>1380.27</v>
      </c>
    </row>
    <row r="2431" spans="1:2" ht="16.149999999999999" customHeight="1">
      <c r="A2431" s="877">
        <v>35991</v>
      </c>
      <c r="B2431" s="878">
        <v>1381.22</v>
      </c>
    </row>
    <row r="2432" spans="1:2" ht="16.149999999999999" customHeight="1">
      <c r="A2432" s="877">
        <v>35992</v>
      </c>
      <c r="B2432" s="880">
        <v>1378.01</v>
      </c>
    </row>
    <row r="2433" spans="1:2" ht="16.149999999999999" customHeight="1">
      <c r="A2433" s="877">
        <v>35993</v>
      </c>
      <c r="B2433" s="878">
        <v>1376.74</v>
      </c>
    </row>
    <row r="2434" spans="1:2" ht="16.149999999999999" customHeight="1">
      <c r="A2434" s="877">
        <v>35994</v>
      </c>
      <c r="B2434" s="880">
        <v>1381.54</v>
      </c>
    </row>
    <row r="2435" spans="1:2" ht="16.149999999999999" customHeight="1">
      <c r="A2435" s="877">
        <v>35995</v>
      </c>
      <c r="B2435" s="878">
        <v>1381.54</v>
      </c>
    </row>
    <row r="2436" spans="1:2" ht="16.149999999999999" customHeight="1">
      <c r="A2436" s="877">
        <v>35996</v>
      </c>
      <c r="B2436" s="880">
        <v>1381.54</v>
      </c>
    </row>
    <row r="2437" spans="1:2" ht="16.149999999999999" customHeight="1">
      <c r="A2437" s="877">
        <v>35997</v>
      </c>
      <c r="B2437" s="878">
        <v>1381.54</v>
      </c>
    </row>
    <row r="2438" spans="1:2" ht="16.149999999999999" customHeight="1">
      <c r="A2438" s="877">
        <v>35998</v>
      </c>
      <c r="B2438" s="880">
        <v>1380.87</v>
      </c>
    </row>
    <row r="2439" spans="1:2" ht="16.149999999999999" customHeight="1">
      <c r="A2439" s="877">
        <v>35999</v>
      </c>
      <c r="B2439" s="878">
        <v>1376.87</v>
      </c>
    </row>
    <row r="2440" spans="1:2" ht="16.149999999999999" customHeight="1">
      <c r="A2440" s="877">
        <v>36000</v>
      </c>
      <c r="B2440" s="880">
        <v>1378.88</v>
      </c>
    </row>
    <row r="2441" spans="1:2" ht="16.149999999999999" customHeight="1">
      <c r="A2441" s="877">
        <v>36001</v>
      </c>
      <c r="B2441" s="878">
        <v>1379.61</v>
      </c>
    </row>
    <row r="2442" spans="1:2" ht="16.149999999999999" customHeight="1">
      <c r="A2442" s="877">
        <v>36002</v>
      </c>
      <c r="B2442" s="880">
        <v>1379.61</v>
      </c>
    </row>
    <row r="2443" spans="1:2" ht="16.149999999999999" customHeight="1">
      <c r="A2443" s="877">
        <v>36003</v>
      </c>
      <c r="B2443" s="878">
        <v>1379.61</v>
      </c>
    </row>
    <row r="2444" spans="1:2" ht="16.149999999999999" customHeight="1">
      <c r="A2444" s="877">
        <v>36004</v>
      </c>
      <c r="B2444" s="880">
        <v>1378.33</v>
      </c>
    </row>
    <row r="2445" spans="1:2" ht="16.149999999999999" customHeight="1">
      <c r="A2445" s="877">
        <v>36005</v>
      </c>
      <c r="B2445" s="878">
        <v>1376.12</v>
      </c>
    </row>
    <row r="2446" spans="1:2" ht="16.149999999999999" customHeight="1">
      <c r="A2446" s="877">
        <v>36006</v>
      </c>
      <c r="B2446" s="880">
        <v>1373.49</v>
      </c>
    </row>
    <row r="2447" spans="1:2" ht="16.149999999999999" customHeight="1">
      <c r="A2447" s="877">
        <v>36007</v>
      </c>
      <c r="B2447" s="878">
        <v>1370.65</v>
      </c>
    </row>
    <row r="2448" spans="1:2" ht="16.149999999999999" customHeight="1">
      <c r="A2448" s="877">
        <v>36008</v>
      </c>
      <c r="B2448" s="880">
        <v>1372.14</v>
      </c>
    </row>
    <row r="2449" spans="1:2" ht="16.149999999999999" customHeight="1">
      <c r="A2449" s="877">
        <v>36009</v>
      </c>
      <c r="B2449" s="878">
        <v>1372.14</v>
      </c>
    </row>
    <row r="2450" spans="1:2" ht="16.149999999999999" customHeight="1">
      <c r="A2450" s="877">
        <v>36010</v>
      </c>
      <c r="B2450" s="880">
        <v>1372.14</v>
      </c>
    </row>
    <row r="2451" spans="1:2" ht="16.149999999999999" customHeight="1">
      <c r="A2451" s="877">
        <v>36011</v>
      </c>
      <c r="B2451" s="878">
        <v>1371.16</v>
      </c>
    </row>
    <row r="2452" spans="1:2" ht="16.149999999999999" customHeight="1">
      <c r="A2452" s="877">
        <v>36012</v>
      </c>
      <c r="B2452" s="880">
        <v>1368.24</v>
      </c>
    </row>
    <row r="2453" spans="1:2" ht="16.149999999999999" customHeight="1">
      <c r="A2453" s="877">
        <v>36013</v>
      </c>
      <c r="B2453" s="878">
        <v>1366.44</v>
      </c>
    </row>
    <row r="2454" spans="1:2" ht="16.149999999999999" customHeight="1">
      <c r="A2454" s="877">
        <v>36014</v>
      </c>
      <c r="B2454" s="880">
        <v>1364.9</v>
      </c>
    </row>
    <row r="2455" spans="1:2" ht="16.149999999999999" customHeight="1">
      <c r="A2455" s="877">
        <v>36015</v>
      </c>
      <c r="B2455" s="878">
        <v>1364.9</v>
      </c>
    </row>
    <row r="2456" spans="1:2" ht="16.149999999999999" customHeight="1">
      <c r="A2456" s="877">
        <v>36016</v>
      </c>
      <c r="B2456" s="880">
        <v>1364.9</v>
      </c>
    </row>
    <row r="2457" spans="1:2" ht="16.149999999999999" customHeight="1">
      <c r="A2457" s="877">
        <v>36017</v>
      </c>
      <c r="B2457" s="878">
        <v>1364.9</v>
      </c>
    </row>
    <row r="2458" spans="1:2" ht="16.149999999999999" customHeight="1">
      <c r="A2458" s="877">
        <v>36018</v>
      </c>
      <c r="B2458" s="880">
        <v>1359.22</v>
      </c>
    </row>
    <row r="2459" spans="1:2" ht="16.149999999999999" customHeight="1">
      <c r="A2459" s="877">
        <v>36019</v>
      </c>
      <c r="B2459" s="878">
        <v>1365.58</v>
      </c>
    </row>
    <row r="2460" spans="1:2" ht="16.149999999999999" customHeight="1">
      <c r="A2460" s="877">
        <v>36020</v>
      </c>
      <c r="B2460" s="880">
        <v>1371.23</v>
      </c>
    </row>
    <row r="2461" spans="1:2" ht="16.149999999999999" customHeight="1">
      <c r="A2461" s="877">
        <v>36021</v>
      </c>
      <c r="B2461" s="878">
        <v>1377.08</v>
      </c>
    </row>
    <row r="2462" spans="1:2" ht="16.149999999999999" customHeight="1">
      <c r="A2462" s="877">
        <v>36022</v>
      </c>
      <c r="B2462" s="880">
        <v>1386.02</v>
      </c>
    </row>
    <row r="2463" spans="1:2" ht="16.149999999999999" customHeight="1">
      <c r="A2463" s="877">
        <v>36023</v>
      </c>
      <c r="B2463" s="878">
        <v>1386.02</v>
      </c>
    </row>
    <row r="2464" spans="1:2" ht="16.149999999999999" customHeight="1">
      <c r="A2464" s="877">
        <v>36024</v>
      </c>
      <c r="B2464" s="880">
        <v>1386.02</v>
      </c>
    </row>
    <row r="2465" spans="1:2" ht="16.149999999999999" customHeight="1">
      <c r="A2465" s="877">
        <v>36025</v>
      </c>
      <c r="B2465" s="878">
        <v>1386.02</v>
      </c>
    </row>
    <row r="2466" spans="1:2" ht="16.149999999999999" customHeight="1">
      <c r="A2466" s="877">
        <v>36026</v>
      </c>
      <c r="B2466" s="880">
        <v>1385.77</v>
      </c>
    </row>
    <row r="2467" spans="1:2" ht="16.149999999999999" customHeight="1">
      <c r="A2467" s="877">
        <v>36027</v>
      </c>
      <c r="B2467" s="878">
        <v>1384.24</v>
      </c>
    </row>
    <row r="2468" spans="1:2" ht="16.149999999999999" customHeight="1">
      <c r="A2468" s="877">
        <v>36028</v>
      </c>
      <c r="B2468" s="880">
        <v>1391.55</v>
      </c>
    </row>
    <row r="2469" spans="1:2" ht="16.149999999999999" customHeight="1">
      <c r="A2469" s="877">
        <v>36029</v>
      </c>
      <c r="B2469" s="878">
        <v>1407.27</v>
      </c>
    </row>
    <row r="2470" spans="1:2" ht="16.149999999999999" customHeight="1">
      <c r="A2470" s="877">
        <v>36030</v>
      </c>
      <c r="B2470" s="880">
        <v>1407.27</v>
      </c>
    </row>
    <row r="2471" spans="1:2" ht="16.149999999999999" customHeight="1">
      <c r="A2471" s="877">
        <v>36031</v>
      </c>
      <c r="B2471" s="878">
        <v>1407.27</v>
      </c>
    </row>
    <row r="2472" spans="1:2" ht="16.149999999999999" customHeight="1">
      <c r="A2472" s="877">
        <v>36032</v>
      </c>
      <c r="B2472" s="880">
        <v>1418.22</v>
      </c>
    </row>
    <row r="2473" spans="1:2" ht="16.149999999999999" customHeight="1">
      <c r="A2473" s="877">
        <v>36033</v>
      </c>
      <c r="B2473" s="878">
        <v>1420.27</v>
      </c>
    </row>
    <row r="2474" spans="1:2" ht="16.149999999999999" customHeight="1">
      <c r="A2474" s="877">
        <v>36034</v>
      </c>
      <c r="B2474" s="880">
        <v>1430.33</v>
      </c>
    </row>
    <row r="2475" spans="1:2" ht="16.149999999999999" customHeight="1">
      <c r="A2475" s="877">
        <v>36035</v>
      </c>
      <c r="B2475" s="878">
        <v>1438.16</v>
      </c>
    </row>
    <row r="2476" spans="1:2" ht="16.149999999999999" customHeight="1">
      <c r="A2476" s="877">
        <v>36036</v>
      </c>
      <c r="B2476" s="880">
        <v>1440.87</v>
      </c>
    </row>
    <row r="2477" spans="1:2" ht="16.149999999999999" customHeight="1">
      <c r="A2477" s="877">
        <v>36037</v>
      </c>
      <c r="B2477" s="878">
        <v>1440.87</v>
      </c>
    </row>
    <row r="2478" spans="1:2" ht="16.149999999999999" customHeight="1">
      <c r="A2478" s="877">
        <v>36038</v>
      </c>
      <c r="B2478" s="880">
        <v>1440.87</v>
      </c>
    </row>
    <row r="2479" spans="1:2" ht="16.149999999999999" customHeight="1">
      <c r="A2479" s="877">
        <v>36039</v>
      </c>
      <c r="B2479" s="878">
        <v>1441.86</v>
      </c>
    </row>
    <row r="2480" spans="1:2" ht="16.149999999999999" customHeight="1">
      <c r="A2480" s="877">
        <v>36040</v>
      </c>
      <c r="B2480" s="880">
        <v>1442.95</v>
      </c>
    </row>
    <row r="2481" spans="1:2" ht="16.149999999999999" customHeight="1">
      <c r="A2481" s="877">
        <v>36041</v>
      </c>
      <c r="B2481" s="878">
        <v>1518.56</v>
      </c>
    </row>
    <row r="2482" spans="1:2" ht="16.149999999999999" customHeight="1">
      <c r="A2482" s="877">
        <v>36042</v>
      </c>
      <c r="B2482" s="880">
        <v>1532.19</v>
      </c>
    </row>
    <row r="2483" spans="1:2" ht="16.149999999999999" customHeight="1">
      <c r="A2483" s="877">
        <v>36043</v>
      </c>
      <c r="B2483" s="878">
        <v>1538.84</v>
      </c>
    </row>
    <row r="2484" spans="1:2" ht="16.149999999999999" customHeight="1">
      <c r="A2484" s="877">
        <v>36044</v>
      </c>
      <c r="B2484" s="880">
        <v>1538.84</v>
      </c>
    </row>
    <row r="2485" spans="1:2" ht="16.149999999999999" customHeight="1">
      <c r="A2485" s="877">
        <v>36045</v>
      </c>
      <c r="B2485" s="878">
        <v>1538.84</v>
      </c>
    </row>
    <row r="2486" spans="1:2" ht="16.149999999999999" customHeight="1">
      <c r="A2486" s="877">
        <v>36046</v>
      </c>
      <c r="B2486" s="880">
        <v>1511.55</v>
      </c>
    </row>
    <row r="2487" spans="1:2" ht="16.149999999999999" customHeight="1">
      <c r="A2487" s="877">
        <v>36047</v>
      </c>
      <c r="B2487" s="878">
        <v>1505.66</v>
      </c>
    </row>
    <row r="2488" spans="1:2" ht="16.149999999999999" customHeight="1">
      <c r="A2488" s="877">
        <v>36048</v>
      </c>
      <c r="B2488" s="880">
        <v>1493.4</v>
      </c>
    </row>
    <row r="2489" spans="1:2" ht="16.149999999999999" customHeight="1">
      <c r="A2489" s="877">
        <v>36049</v>
      </c>
      <c r="B2489" s="878">
        <v>1506.27</v>
      </c>
    </row>
    <row r="2490" spans="1:2" ht="16.149999999999999" customHeight="1">
      <c r="A2490" s="877">
        <v>36050</v>
      </c>
      <c r="B2490" s="880">
        <v>1505.85</v>
      </c>
    </row>
    <row r="2491" spans="1:2" ht="16.149999999999999" customHeight="1">
      <c r="A2491" s="877">
        <v>36051</v>
      </c>
      <c r="B2491" s="878">
        <v>1505.85</v>
      </c>
    </row>
    <row r="2492" spans="1:2" ht="16.149999999999999" customHeight="1">
      <c r="A2492" s="877">
        <v>36052</v>
      </c>
      <c r="B2492" s="880">
        <v>1505.85</v>
      </c>
    </row>
    <row r="2493" spans="1:2" ht="16.149999999999999" customHeight="1">
      <c r="A2493" s="877">
        <v>36053</v>
      </c>
      <c r="B2493" s="878">
        <v>1510.41</v>
      </c>
    </row>
    <row r="2494" spans="1:2" ht="16.149999999999999" customHeight="1">
      <c r="A2494" s="877">
        <v>36054</v>
      </c>
      <c r="B2494" s="880">
        <v>1516.92</v>
      </c>
    </row>
    <row r="2495" spans="1:2" ht="16.149999999999999" customHeight="1">
      <c r="A2495" s="877">
        <v>36055</v>
      </c>
      <c r="B2495" s="878">
        <v>1520.63</v>
      </c>
    </row>
    <row r="2496" spans="1:2" ht="16.149999999999999" customHeight="1">
      <c r="A2496" s="877">
        <v>36056</v>
      </c>
      <c r="B2496" s="880">
        <v>1531.49</v>
      </c>
    </row>
    <row r="2497" spans="1:2" ht="16.149999999999999" customHeight="1">
      <c r="A2497" s="877">
        <v>36057</v>
      </c>
      <c r="B2497" s="878">
        <v>1533.95</v>
      </c>
    </row>
    <row r="2498" spans="1:2" ht="16.149999999999999" customHeight="1">
      <c r="A2498" s="877">
        <v>36058</v>
      </c>
      <c r="B2498" s="880">
        <v>1533.95</v>
      </c>
    </row>
    <row r="2499" spans="1:2" ht="16.149999999999999" customHeight="1">
      <c r="A2499" s="877">
        <v>36059</v>
      </c>
      <c r="B2499" s="878">
        <v>1533.95</v>
      </c>
    </row>
    <row r="2500" spans="1:2" ht="16.149999999999999" customHeight="1">
      <c r="A2500" s="877">
        <v>36060</v>
      </c>
      <c r="B2500" s="880">
        <v>1529.26</v>
      </c>
    </row>
    <row r="2501" spans="1:2" ht="16.149999999999999" customHeight="1">
      <c r="A2501" s="877">
        <v>36061</v>
      </c>
      <c r="B2501" s="878">
        <v>1541.16</v>
      </c>
    </row>
    <row r="2502" spans="1:2" ht="16.149999999999999" customHeight="1">
      <c r="A2502" s="877">
        <v>36062</v>
      </c>
      <c r="B2502" s="880">
        <v>1561.28</v>
      </c>
    </row>
    <row r="2503" spans="1:2" ht="16.149999999999999" customHeight="1">
      <c r="A2503" s="877">
        <v>36063</v>
      </c>
      <c r="B2503" s="878">
        <v>1548.95</v>
      </c>
    </row>
    <row r="2504" spans="1:2" ht="16.149999999999999" customHeight="1">
      <c r="A2504" s="877">
        <v>36064</v>
      </c>
      <c r="B2504" s="880">
        <v>1547.81</v>
      </c>
    </row>
    <row r="2505" spans="1:2" ht="16.149999999999999" customHeight="1">
      <c r="A2505" s="877">
        <v>36065</v>
      </c>
      <c r="B2505" s="878">
        <v>1547.81</v>
      </c>
    </row>
    <row r="2506" spans="1:2" ht="16.149999999999999" customHeight="1">
      <c r="A2506" s="877">
        <v>36066</v>
      </c>
      <c r="B2506" s="880">
        <v>1547.81</v>
      </c>
    </row>
    <row r="2507" spans="1:2" ht="16.149999999999999" customHeight="1">
      <c r="A2507" s="877">
        <v>36067</v>
      </c>
      <c r="B2507" s="878">
        <v>1556.25</v>
      </c>
    </row>
    <row r="2508" spans="1:2" ht="16.149999999999999" customHeight="1">
      <c r="A2508" s="877">
        <v>36068</v>
      </c>
      <c r="B2508" s="880">
        <v>1556.15</v>
      </c>
    </row>
    <row r="2509" spans="1:2" ht="16.149999999999999" customHeight="1">
      <c r="A2509" s="877">
        <v>36069</v>
      </c>
      <c r="B2509" s="878">
        <v>1556.52</v>
      </c>
    </row>
    <row r="2510" spans="1:2" ht="16.149999999999999" customHeight="1">
      <c r="A2510" s="877">
        <v>36070</v>
      </c>
      <c r="B2510" s="880">
        <v>1573.22</v>
      </c>
    </row>
    <row r="2511" spans="1:2" ht="16.149999999999999" customHeight="1">
      <c r="A2511" s="877">
        <v>36071</v>
      </c>
      <c r="B2511" s="878">
        <v>1578.96</v>
      </c>
    </row>
    <row r="2512" spans="1:2" ht="16.149999999999999" customHeight="1">
      <c r="A2512" s="877">
        <v>36072</v>
      </c>
      <c r="B2512" s="880">
        <v>1578.96</v>
      </c>
    </row>
    <row r="2513" spans="1:2" ht="16.149999999999999" customHeight="1">
      <c r="A2513" s="877">
        <v>36073</v>
      </c>
      <c r="B2513" s="878">
        <v>1578.96</v>
      </c>
    </row>
    <row r="2514" spans="1:2" ht="16.149999999999999" customHeight="1">
      <c r="A2514" s="877">
        <v>36074</v>
      </c>
      <c r="B2514" s="880">
        <v>1585.64</v>
      </c>
    </row>
    <row r="2515" spans="1:2" ht="16.149999999999999" customHeight="1">
      <c r="A2515" s="877">
        <v>36075</v>
      </c>
      <c r="B2515" s="878">
        <v>1588.64</v>
      </c>
    </row>
    <row r="2516" spans="1:2" ht="16.149999999999999" customHeight="1">
      <c r="A2516" s="877">
        <v>36076</v>
      </c>
      <c r="B2516" s="880">
        <v>1586.53</v>
      </c>
    </row>
    <row r="2517" spans="1:2" ht="16.149999999999999" customHeight="1">
      <c r="A2517" s="877">
        <v>36077</v>
      </c>
      <c r="B2517" s="878">
        <v>1587.46</v>
      </c>
    </row>
    <row r="2518" spans="1:2" ht="16.149999999999999" customHeight="1">
      <c r="A2518" s="877">
        <v>36078</v>
      </c>
      <c r="B2518" s="880">
        <v>1590.64</v>
      </c>
    </row>
    <row r="2519" spans="1:2" ht="16.149999999999999" customHeight="1">
      <c r="A2519" s="877">
        <v>36079</v>
      </c>
      <c r="B2519" s="878">
        <v>1590.64</v>
      </c>
    </row>
    <row r="2520" spans="1:2" ht="16.149999999999999" customHeight="1">
      <c r="A2520" s="877">
        <v>36080</v>
      </c>
      <c r="B2520" s="880">
        <v>1590.64</v>
      </c>
    </row>
    <row r="2521" spans="1:2" ht="16.149999999999999" customHeight="1">
      <c r="A2521" s="877">
        <v>36081</v>
      </c>
      <c r="B2521" s="878">
        <v>1590.64</v>
      </c>
    </row>
    <row r="2522" spans="1:2" ht="16.149999999999999" customHeight="1">
      <c r="A2522" s="877">
        <v>36082</v>
      </c>
      <c r="B2522" s="880">
        <v>1592.11</v>
      </c>
    </row>
    <row r="2523" spans="1:2" ht="16.149999999999999" customHeight="1">
      <c r="A2523" s="877">
        <v>36083</v>
      </c>
      <c r="B2523" s="878">
        <v>1591.01</v>
      </c>
    </row>
    <row r="2524" spans="1:2" ht="16.149999999999999" customHeight="1">
      <c r="A2524" s="877">
        <v>36084</v>
      </c>
      <c r="B2524" s="880">
        <v>1594.19</v>
      </c>
    </row>
    <row r="2525" spans="1:2" ht="16.149999999999999" customHeight="1">
      <c r="A2525" s="877">
        <v>36085</v>
      </c>
      <c r="B2525" s="878">
        <v>1596.21</v>
      </c>
    </row>
    <row r="2526" spans="1:2" ht="16.149999999999999" customHeight="1">
      <c r="A2526" s="877">
        <v>36086</v>
      </c>
      <c r="B2526" s="880">
        <v>1596.21</v>
      </c>
    </row>
    <row r="2527" spans="1:2" ht="16.149999999999999" customHeight="1">
      <c r="A2527" s="877">
        <v>36087</v>
      </c>
      <c r="B2527" s="878">
        <v>1596.21</v>
      </c>
    </row>
    <row r="2528" spans="1:2" ht="16.149999999999999" customHeight="1">
      <c r="A2528" s="877">
        <v>36088</v>
      </c>
      <c r="B2528" s="880">
        <v>1598.18</v>
      </c>
    </row>
    <row r="2529" spans="1:2" ht="16.149999999999999" customHeight="1">
      <c r="A2529" s="877">
        <v>36089</v>
      </c>
      <c r="B2529" s="878">
        <v>1598.61</v>
      </c>
    </row>
    <row r="2530" spans="1:2" ht="16.149999999999999" customHeight="1">
      <c r="A2530" s="877">
        <v>36090</v>
      </c>
      <c r="B2530" s="880">
        <v>1597.79</v>
      </c>
    </row>
    <row r="2531" spans="1:2" ht="16.149999999999999" customHeight="1">
      <c r="A2531" s="877">
        <v>36091</v>
      </c>
      <c r="B2531" s="878">
        <v>1599.15</v>
      </c>
    </row>
    <row r="2532" spans="1:2" ht="16.149999999999999" customHeight="1">
      <c r="A2532" s="877">
        <v>36092</v>
      </c>
      <c r="B2532" s="880">
        <v>1597.97</v>
      </c>
    </row>
    <row r="2533" spans="1:2" ht="16.149999999999999" customHeight="1">
      <c r="A2533" s="877">
        <v>36093</v>
      </c>
      <c r="B2533" s="878">
        <v>1597.97</v>
      </c>
    </row>
    <row r="2534" spans="1:2" ht="16.149999999999999" customHeight="1">
      <c r="A2534" s="877">
        <v>36094</v>
      </c>
      <c r="B2534" s="880">
        <v>1597.97</v>
      </c>
    </row>
    <row r="2535" spans="1:2" ht="16.149999999999999" customHeight="1">
      <c r="A2535" s="877">
        <v>36095</v>
      </c>
      <c r="B2535" s="878">
        <v>1590.64</v>
      </c>
    </row>
    <row r="2536" spans="1:2" ht="16.149999999999999" customHeight="1">
      <c r="A2536" s="877">
        <v>36096</v>
      </c>
      <c r="B2536" s="880">
        <v>1576.38</v>
      </c>
    </row>
    <row r="2537" spans="1:2" ht="16.149999999999999" customHeight="1">
      <c r="A2537" s="877">
        <v>36097</v>
      </c>
      <c r="B2537" s="878">
        <v>1577.9</v>
      </c>
    </row>
    <row r="2538" spans="1:2" ht="16.149999999999999" customHeight="1">
      <c r="A2538" s="877">
        <v>36098</v>
      </c>
      <c r="B2538" s="880">
        <v>1577.19</v>
      </c>
    </row>
    <row r="2539" spans="1:2" ht="16.149999999999999" customHeight="1">
      <c r="A2539" s="877">
        <v>36099</v>
      </c>
      <c r="B2539" s="878">
        <v>1575.08</v>
      </c>
    </row>
    <row r="2540" spans="1:2" ht="16.149999999999999" customHeight="1">
      <c r="A2540" s="877">
        <v>36100</v>
      </c>
      <c r="B2540" s="880">
        <v>1575.08</v>
      </c>
    </row>
    <row r="2541" spans="1:2" ht="16.149999999999999" customHeight="1">
      <c r="A2541" s="877">
        <v>36101</v>
      </c>
      <c r="B2541" s="878">
        <v>1575.08</v>
      </c>
    </row>
    <row r="2542" spans="1:2" ht="16.149999999999999" customHeight="1">
      <c r="A2542" s="877">
        <v>36102</v>
      </c>
      <c r="B2542" s="880">
        <v>1575.08</v>
      </c>
    </row>
    <row r="2543" spans="1:2" ht="16.149999999999999" customHeight="1">
      <c r="A2543" s="877">
        <v>36103</v>
      </c>
      <c r="B2543" s="878">
        <v>1569.93</v>
      </c>
    </row>
    <row r="2544" spans="1:2" ht="16.149999999999999" customHeight="1">
      <c r="A2544" s="877">
        <v>36104</v>
      </c>
      <c r="B2544" s="880">
        <v>1568.54</v>
      </c>
    </row>
    <row r="2545" spans="1:2" ht="16.149999999999999" customHeight="1">
      <c r="A2545" s="877">
        <v>36105</v>
      </c>
      <c r="B2545" s="878">
        <v>1563.32</v>
      </c>
    </row>
    <row r="2546" spans="1:2" ht="16.149999999999999" customHeight="1">
      <c r="A2546" s="877">
        <v>36106</v>
      </c>
      <c r="B2546" s="880">
        <v>1553.71</v>
      </c>
    </row>
    <row r="2547" spans="1:2" ht="16.149999999999999" customHeight="1">
      <c r="A2547" s="877">
        <v>36107</v>
      </c>
      <c r="B2547" s="878">
        <v>1553.71</v>
      </c>
    </row>
    <row r="2548" spans="1:2" ht="16.149999999999999" customHeight="1">
      <c r="A2548" s="877">
        <v>36108</v>
      </c>
      <c r="B2548" s="880">
        <v>1553.71</v>
      </c>
    </row>
    <row r="2549" spans="1:2" ht="16.149999999999999" customHeight="1">
      <c r="A2549" s="877">
        <v>36109</v>
      </c>
      <c r="B2549" s="878">
        <v>1559.35</v>
      </c>
    </row>
    <row r="2550" spans="1:2" ht="16.149999999999999" customHeight="1">
      <c r="A2550" s="877">
        <v>36110</v>
      </c>
      <c r="B2550" s="880">
        <v>1571.76</v>
      </c>
    </row>
    <row r="2551" spans="1:2" ht="16.149999999999999" customHeight="1">
      <c r="A2551" s="877">
        <v>36111</v>
      </c>
      <c r="B2551" s="878">
        <v>1577.61</v>
      </c>
    </row>
    <row r="2552" spans="1:2" ht="16.149999999999999" customHeight="1">
      <c r="A2552" s="877">
        <v>36112</v>
      </c>
      <c r="B2552" s="880">
        <v>1578.79</v>
      </c>
    </row>
    <row r="2553" spans="1:2" ht="16.149999999999999" customHeight="1">
      <c r="A2553" s="877">
        <v>36113</v>
      </c>
      <c r="B2553" s="878">
        <v>1580.99</v>
      </c>
    </row>
    <row r="2554" spans="1:2" ht="16.149999999999999" customHeight="1">
      <c r="A2554" s="877">
        <v>36114</v>
      </c>
      <c r="B2554" s="880">
        <v>1580.99</v>
      </c>
    </row>
    <row r="2555" spans="1:2" ht="16.149999999999999" customHeight="1">
      <c r="A2555" s="877">
        <v>36115</v>
      </c>
      <c r="B2555" s="878">
        <v>1580.99</v>
      </c>
    </row>
    <row r="2556" spans="1:2" ht="16.149999999999999" customHeight="1">
      <c r="A2556" s="877">
        <v>36116</v>
      </c>
      <c r="B2556" s="880">
        <v>1580.99</v>
      </c>
    </row>
    <row r="2557" spans="1:2" ht="16.149999999999999" customHeight="1">
      <c r="A2557" s="877">
        <v>36117</v>
      </c>
      <c r="B2557" s="878">
        <v>1583.29</v>
      </c>
    </row>
    <row r="2558" spans="1:2" ht="16.149999999999999" customHeight="1">
      <c r="A2558" s="877">
        <v>36118</v>
      </c>
      <c r="B2558" s="880">
        <v>1569.6</v>
      </c>
    </row>
    <row r="2559" spans="1:2" ht="16.149999999999999" customHeight="1">
      <c r="A2559" s="877">
        <v>36119</v>
      </c>
      <c r="B2559" s="878">
        <v>1558.49</v>
      </c>
    </row>
    <row r="2560" spans="1:2" ht="16.149999999999999" customHeight="1">
      <c r="A2560" s="877">
        <v>36120</v>
      </c>
      <c r="B2560" s="880">
        <v>1539.38</v>
      </c>
    </row>
    <row r="2561" spans="1:2" ht="16.149999999999999" customHeight="1">
      <c r="A2561" s="877">
        <v>36121</v>
      </c>
      <c r="B2561" s="878">
        <v>1539.38</v>
      </c>
    </row>
    <row r="2562" spans="1:2" ht="16.149999999999999" customHeight="1">
      <c r="A2562" s="877">
        <v>36122</v>
      </c>
      <c r="B2562" s="880">
        <v>1539.38</v>
      </c>
    </row>
    <row r="2563" spans="1:2" ht="16.149999999999999" customHeight="1">
      <c r="A2563" s="877">
        <v>36123</v>
      </c>
      <c r="B2563" s="878">
        <v>1547.92</v>
      </c>
    </row>
    <row r="2564" spans="1:2" ht="16.149999999999999" customHeight="1">
      <c r="A2564" s="877">
        <v>36124</v>
      </c>
      <c r="B2564" s="880">
        <v>1557.57</v>
      </c>
    </row>
    <row r="2565" spans="1:2" ht="16.149999999999999" customHeight="1">
      <c r="A2565" s="877">
        <v>36125</v>
      </c>
      <c r="B2565" s="878">
        <v>1545.53</v>
      </c>
    </row>
    <row r="2566" spans="1:2" ht="16.149999999999999" customHeight="1">
      <c r="A2566" s="877">
        <v>36126</v>
      </c>
      <c r="B2566" s="880">
        <v>1543.45</v>
      </c>
    </row>
    <row r="2567" spans="1:2" ht="16.149999999999999" customHeight="1">
      <c r="A2567" s="877">
        <v>36127</v>
      </c>
      <c r="B2567" s="878">
        <v>1547.11</v>
      </c>
    </row>
    <row r="2568" spans="1:2" ht="16.149999999999999" customHeight="1">
      <c r="A2568" s="877">
        <v>36128</v>
      </c>
      <c r="B2568" s="880">
        <v>1547.11</v>
      </c>
    </row>
    <row r="2569" spans="1:2" ht="16.149999999999999" customHeight="1">
      <c r="A2569" s="877">
        <v>36129</v>
      </c>
      <c r="B2569" s="878">
        <v>1547.11</v>
      </c>
    </row>
    <row r="2570" spans="1:2" ht="16.149999999999999" customHeight="1">
      <c r="A2570" s="877">
        <v>36130</v>
      </c>
      <c r="B2570" s="880">
        <v>1545.88</v>
      </c>
    </row>
    <row r="2571" spans="1:2" ht="16.149999999999999" customHeight="1">
      <c r="A2571" s="877">
        <v>36131</v>
      </c>
      <c r="B2571" s="878">
        <v>1545.82</v>
      </c>
    </row>
    <row r="2572" spans="1:2" ht="16.149999999999999" customHeight="1">
      <c r="A2572" s="877">
        <v>36132</v>
      </c>
      <c r="B2572" s="880">
        <v>1539.32</v>
      </c>
    </row>
    <row r="2573" spans="1:2" ht="16.149999999999999" customHeight="1">
      <c r="A2573" s="877">
        <v>36133</v>
      </c>
      <c r="B2573" s="878">
        <v>1545.89</v>
      </c>
    </row>
    <row r="2574" spans="1:2" ht="16.149999999999999" customHeight="1">
      <c r="A2574" s="877">
        <v>36134</v>
      </c>
      <c r="B2574" s="880">
        <v>1552.48</v>
      </c>
    </row>
    <row r="2575" spans="1:2" ht="16.149999999999999" customHeight="1">
      <c r="A2575" s="877">
        <v>36135</v>
      </c>
      <c r="B2575" s="878">
        <v>1552.48</v>
      </c>
    </row>
    <row r="2576" spans="1:2" ht="16.149999999999999" customHeight="1">
      <c r="A2576" s="877">
        <v>36136</v>
      </c>
      <c r="B2576" s="880">
        <v>1552.48</v>
      </c>
    </row>
    <row r="2577" spans="1:2" ht="16.149999999999999" customHeight="1">
      <c r="A2577" s="877">
        <v>36137</v>
      </c>
      <c r="B2577" s="878">
        <v>1548.63</v>
      </c>
    </row>
    <row r="2578" spans="1:2" ht="16.149999999999999" customHeight="1">
      <c r="A2578" s="877">
        <v>36138</v>
      </c>
      <c r="B2578" s="880">
        <v>1548.63</v>
      </c>
    </row>
    <row r="2579" spans="1:2" ht="16.149999999999999" customHeight="1">
      <c r="A2579" s="877">
        <v>36139</v>
      </c>
      <c r="B2579" s="878">
        <v>1541.14</v>
      </c>
    </row>
    <row r="2580" spans="1:2" ht="16.149999999999999" customHeight="1">
      <c r="A2580" s="877">
        <v>36140</v>
      </c>
      <c r="B2580" s="880">
        <v>1530.63</v>
      </c>
    </row>
    <row r="2581" spans="1:2" ht="16.149999999999999" customHeight="1">
      <c r="A2581" s="877">
        <v>36141</v>
      </c>
      <c r="B2581" s="878">
        <v>1531.13</v>
      </c>
    </row>
    <row r="2582" spans="1:2" ht="16.149999999999999" customHeight="1">
      <c r="A2582" s="877">
        <v>36142</v>
      </c>
      <c r="B2582" s="880">
        <v>1531.13</v>
      </c>
    </row>
    <row r="2583" spans="1:2" ht="16.149999999999999" customHeight="1">
      <c r="A2583" s="877">
        <v>36143</v>
      </c>
      <c r="B2583" s="878">
        <v>1531.13</v>
      </c>
    </row>
    <row r="2584" spans="1:2" ht="16.149999999999999" customHeight="1">
      <c r="A2584" s="877">
        <v>36144</v>
      </c>
      <c r="B2584" s="880">
        <v>1532.76</v>
      </c>
    </row>
    <row r="2585" spans="1:2" ht="16.149999999999999" customHeight="1">
      <c r="A2585" s="877">
        <v>36145</v>
      </c>
      <c r="B2585" s="878">
        <v>1529.07</v>
      </c>
    </row>
    <row r="2586" spans="1:2" ht="16.149999999999999" customHeight="1">
      <c r="A2586" s="877">
        <v>36146</v>
      </c>
      <c r="B2586" s="880">
        <v>1523.8</v>
      </c>
    </row>
    <row r="2587" spans="1:2" ht="16.149999999999999" customHeight="1">
      <c r="A2587" s="877">
        <v>36147</v>
      </c>
      <c r="B2587" s="878">
        <v>1515.98</v>
      </c>
    </row>
    <row r="2588" spans="1:2" ht="16.149999999999999" customHeight="1">
      <c r="A2588" s="877">
        <v>36148</v>
      </c>
      <c r="B2588" s="880">
        <v>1494.11</v>
      </c>
    </row>
    <row r="2589" spans="1:2" ht="16.149999999999999" customHeight="1">
      <c r="A2589" s="877">
        <v>36149</v>
      </c>
      <c r="B2589" s="878">
        <v>1494.11</v>
      </c>
    </row>
    <row r="2590" spans="1:2" ht="16.149999999999999" customHeight="1">
      <c r="A2590" s="877">
        <v>36150</v>
      </c>
      <c r="B2590" s="880">
        <v>1494.11</v>
      </c>
    </row>
    <row r="2591" spans="1:2" ht="16.149999999999999" customHeight="1">
      <c r="A2591" s="877">
        <v>36151</v>
      </c>
      <c r="B2591" s="878">
        <v>1477.51</v>
      </c>
    </row>
    <row r="2592" spans="1:2" ht="16.149999999999999" customHeight="1">
      <c r="A2592" s="877">
        <v>36152</v>
      </c>
      <c r="B2592" s="880">
        <v>1467.04</v>
      </c>
    </row>
    <row r="2593" spans="1:2" ht="16.149999999999999" customHeight="1">
      <c r="A2593" s="877">
        <v>36153</v>
      </c>
      <c r="B2593" s="878">
        <v>1484.88</v>
      </c>
    </row>
    <row r="2594" spans="1:2" ht="16.149999999999999" customHeight="1">
      <c r="A2594" s="877">
        <v>36154</v>
      </c>
      <c r="B2594" s="880">
        <v>1484.88</v>
      </c>
    </row>
    <row r="2595" spans="1:2" ht="16.149999999999999" customHeight="1">
      <c r="A2595" s="877">
        <v>36155</v>
      </c>
      <c r="B2595" s="878">
        <v>1484.88</v>
      </c>
    </row>
    <row r="2596" spans="1:2" ht="16.149999999999999" customHeight="1">
      <c r="A2596" s="877">
        <v>36156</v>
      </c>
      <c r="B2596" s="880">
        <v>1484.88</v>
      </c>
    </row>
    <row r="2597" spans="1:2" ht="16.149999999999999" customHeight="1">
      <c r="A2597" s="877">
        <v>36157</v>
      </c>
      <c r="B2597" s="878">
        <v>1484.88</v>
      </c>
    </row>
    <row r="2598" spans="1:2" ht="16.149999999999999" customHeight="1">
      <c r="A2598" s="877">
        <v>36158</v>
      </c>
      <c r="B2598" s="880">
        <v>1507.52</v>
      </c>
    </row>
    <row r="2599" spans="1:2" ht="16.149999999999999" customHeight="1">
      <c r="A2599" s="877">
        <v>36159</v>
      </c>
      <c r="B2599" s="878">
        <v>1535.55</v>
      </c>
    </row>
    <row r="2600" spans="1:2" ht="16.149999999999999" customHeight="1">
      <c r="A2600" s="877">
        <v>36160</v>
      </c>
      <c r="B2600" s="880">
        <v>1542.11</v>
      </c>
    </row>
    <row r="2601" spans="1:2" ht="16.149999999999999" customHeight="1">
      <c r="A2601" s="877">
        <v>36161</v>
      </c>
      <c r="B2601" s="878">
        <v>1542.11</v>
      </c>
    </row>
    <row r="2602" spans="1:2" ht="16.149999999999999" customHeight="1">
      <c r="A2602" s="877">
        <v>36162</v>
      </c>
      <c r="B2602" s="880">
        <v>1542.11</v>
      </c>
    </row>
    <row r="2603" spans="1:2" ht="16.149999999999999" customHeight="1">
      <c r="A2603" s="877">
        <v>36163</v>
      </c>
      <c r="B2603" s="878">
        <v>1542.11</v>
      </c>
    </row>
    <row r="2604" spans="1:2" ht="16.149999999999999" customHeight="1">
      <c r="A2604" s="877">
        <v>36164</v>
      </c>
      <c r="B2604" s="880">
        <v>1542.11</v>
      </c>
    </row>
    <row r="2605" spans="1:2" ht="16.149999999999999" customHeight="1">
      <c r="A2605" s="877">
        <v>36165</v>
      </c>
      <c r="B2605" s="878">
        <v>1545.11</v>
      </c>
    </row>
    <row r="2606" spans="1:2" ht="16.149999999999999" customHeight="1">
      <c r="A2606" s="877">
        <v>36166</v>
      </c>
      <c r="B2606" s="880">
        <v>1528.28</v>
      </c>
    </row>
    <row r="2607" spans="1:2" ht="16.149999999999999" customHeight="1">
      <c r="A2607" s="877">
        <v>36167</v>
      </c>
      <c r="B2607" s="878">
        <v>1530.48</v>
      </c>
    </row>
    <row r="2608" spans="1:2" ht="16.149999999999999" customHeight="1">
      <c r="A2608" s="877">
        <v>36168</v>
      </c>
      <c r="B2608" s="880">
        <v>1543.22</v>
      </c>
    </row>
    <row r="2609" spans="1:2" ht="16.149999999999999" customHeight="1">
      <c r="A2609" s="877">
        <v>36169</v>
      </c>
      <c r="B2609" s="878">
        <v>1535.96</v>
      </c>
    </row>
    <row r="2610" spans="1:2" ht="16.149999999999999" customHeight="1">
      <c r="A2610" s="877">
        <v>36170</v>
      </c>
      <c r="B2610" s="880">
        <v>1535.96</v>
      </c>
    </row>
    <row r="2611" spans="1:2" ht="16.149999999999999" customHeight="1">
      <c r="A2611" s="877">
        <v>36171</v>
      </c>
      <c r="B2611" s="878">
        <v>1535.96</v>
      </c>
    </row>
    <row r="2612" spans="1:2" ht="16.149999999999999" customHeight="1">
      <c r="A2612" s="877">
        <v>36172</v>
      </c>
      <c r="B2612" s="880">
        <v>1535.96</v>
      </c>
    </row>
    <row r="2613" spans="1:2" ht="16.149999999999999" customHeight="1">
      <c r="A2613" s="877">
        <v>36173</v>
      </c>
      <c r="B2613" s="878">
        <v>1549.35</v>
      </c>
    </row>
    <row r="2614" spans="1:2" ht="16.149999999999999" customHeight="1">
      <c r="A2614" s="877">
        <v>36174</v>
      </c>
      <c r="B2614" s="880">
        <v>1588.8</v>
      </c>
    </row>
    <row r="2615" spans="1:2" ht="16.149999999999999" customHeight="1">
      <c r="A2615" s="877">
        <v>36175</v>
      </c>
      <c r="B2615" s="878">
        <v>1584.42</v>
      </c>
    </row>
    <row r="2616" spans="1:2" ht="16.149999999999999" customHeight="1">
      <c r="A2616" s="877">
        <v>36176</v>
      </c>
      <c r="B2616" s="880">
        <v>1596.59</v>
      </c>
    </row>
    <row r="2617" spans="1:2" ht="16.149999999999999" customHeight="1">
      <c r="A2617" s="877">
        <v>36177</v>
      </c>
      <c r="B2617" s="878">
        <v>1596.59</v>
      </c>
    </row>
    <row r="2618" spans="1:2" ht="16.149999999999999" customHeight="1">
      <c r="A2618" s="877">
        <v>36178</v>
      </c>
      <c r="B2618" s="880">
        <v>1596.59</v>
      </c>
    </row>
    <row r="2619" spans="1:2" ht="16.149999999999999" customHeight="1">
      <c r="A2619" s="877">
        <v>36179</v>
      </c>
      <c r="B2619" s="878">
        <v>1580.4</v>
      </c>
    </row>
    <row r="2620" spans="1:2" ht="16.149999999999999" customHeight="1">
      <c r="A2620" s="877">
        <v>36180</v>
      </c>
      <c r="B2620" s="880">
        <v>1587.18</v>
      </c>
    </row>
    <row r="2621" spans="1:2" ht="16.149999999999999" customHeight="1">
      <c r="A2621" s="877">
        <v>36181</v>
      </c>
      <c r="B2621" s="878">
        <v>1582.57</v>
      </c>
    </row>
    <row r="2622" spans="1:2" ht="16.149999999999999" customHeight="1">
      <c r="A2622" s="877">
        <v>36182</v>
      </c>
      <c r="B2622" s="880">
        <v>1589.65</v>
      </c>
    </row>
    <row r="2623" spans="1:2" ht="16.149999999999999" customHeight="1">
      <c r="A2623" s="877">
        <v>36183</v>
      </c>
      <c r="B2623" s="878">
        <v>1591.81</v>
      </c>
    </row>
    <row r="2624" spans="1:2" ht="16.149999999999999" customHeight="1">
      <c r="A2624" s="877">
        <v>36184</v>
      </c>
      <c r="B2624" s="880">
        <v>1591.81</v>
      </c>
    </row>
    <row r="2625" spans="1:2" ht="16.149999999999999" customHeight="1">
      <c r="A2625" s="877">
        <v>36185</v>
      </c>
      <c r="B2625" s="878">
        <v>1591.81</v>
      </c>
    </row>
    <row r="2626" spans="1:2" ht="16.149999999999999" customHeight="1">
      <c r="A2626" s="877">
        <v>36186</v>
      </c>
      <c r="B2626" s="880">
        <v>1591.58</v>
      </c>
    </row>
    <row r="2627" spans="1:2" ht="16.149999999999999" customHeight="1">
      <c r="A2627" s="877">
        <v>36187</v>
      </c>
      <c r="B2627" s="878">
        <v>1591.69</v>
      </c>
    </row>
    <row r="2628" spans="1:2" ht="16.149999999999999" customHeight="1">
      <c r="A2628" s="877">
        <v>36188</v>
      </c>
      <c r="B2628" s="880">
        <v>1590.33</v>
      </c>
    </row>
    <row r="2629" spans="1:2" ht="16.149999999999999" customHeight="1">
      <c r="A2629" s="877">
        <v>36189</v>
      </c>
      <c r="B2629" s="878">
        <v>1580.72</v>
      </c>
    </row>
    <row r="2630" spans="1:2" ht="16.149999999999999" customHeight="1">
      <c r="A2630" s="877">
        <v>36190</v>
      </c>
      <c r="B2630" s="880">
        <v>1582.9</v>
      </c>
    </row>
    <row r="2631" spans="1:2" ht="16.149999999999999" customHeight="1">
      <c r="A2631" s="877">
        <v>36191</v>
      </c>
      <c r="B2631" s="878">
        <v>1582.9</v>
      </c>
    </row>
    <row r="2632" spans="1:2" ht="16.149999999999999" customHeight="1">
      <c r="A2632" s="877">
        <v>36192</v>
      </c>
      <c r="B2632" s="880">
        <v>1582.9</v>
      </c>
    </row>
    <row r="2633" spans="1:2" ht="16.149999999999999" customHeight="1">
      <c r="A2633" s="877">
        <v>36193</v>
      </c>
      <c r="B2633" s="878">
        <v>1581.27</v>
      </c>
    </row>
    <row r="2634" spans="1:2" ht="16.149999999999999" customHeight="1">
      <c r="A2634" s="877">
        <v>36194</v>
      </c>
      <c r="B2634" s="880">
        <v>1576.22</v>
      </c>
    </row>
    <row r="2635" spans="1:2" ht="16.149999999999999" customHeight="1">
      <c r="A2635" s="877">
        <v>36195</v>
      </c>
      <c r="B2635" s="878">
        <v>1574.07</v>
      </c>
    </row>
    <row r="2636" spans="1:2" ht="16.149999999999999" customHeight="1">
      <c r="A2636" s="877">
        <v>36196</v>
      </c>
      <c r="B2636" s="880">
        <v>1575.69</v>
      </c>
    </row>
    <row r="2637" spans="1:2" ht="16.149999999999999" customHeight="1">
      <c r="A2637" s="877">
        <v>36197</v>
      </c>
      <c r="B2637" s="878">
        <v>1570.94</v>
      </c>
    </row>
    <row r="2638" spans="1:2" ht="16.149999999999999" customHeight="1">
      <c r="A2638" s="877">
        <v>36198</v>
      </c>
      <c r="B2638" s="880">
        <v>1570.94</v>
      </c>
    </row>
    <row r="2639" spans="1:2" ht="16.149999999999999" customHeight="1">
      <c r="A2639" s="877">
        <v>36199</v>
      </c>
      <c r="B2639" s="878">
        <v>1570.94</v>
      </c>
    </row>
    <row r="2640" spans="1:2" ht="16.149999999999999" customHeight="1">
      <c r="A2640" s="877">
        <v>36200</v>
      </c>
      <c r="B2640" s="880">
        <v>1562.14</v>
      </c>
    </row>
    <row r="2641" spans="1:2" ht="16.149999999999999" customHeight="1">
      <c r="A2641" s="877">
        <v>36201</v>
      </c>
      <c r="B2641" s="878">
        <v>1563.39</v>
      </c>
    </row>
    <row r="2642" spans="1:2" ht="16.149999999999999" customHeight="1">
      <c r="A2642" s="877">
        <v>36202</v>
      </c>
      <c r="B2642" s="880">
        <v>1570.81</v>
      </c>
    </row>
    <row r="2643" spans="1:2" ht="16.149999999999999" customHeight="1">
      <c r="A2643" s="877">
        <v>36203</v>
      </c>
      <c r="B2643" s="878">
        <v>1564.04</v>
      </c>
    </row>
    <row r="2644" spans="1:2" ht="16.149999999999999" customHeight="1">
      <c r="A2644" s="877">
        <v>36204</v>
      </c>
      <c r="B2644" s="880">
        <v>1565.57</v>
      </c>
    </row>
    <row r="2645" spans="1:2" ht="16.149999999999999" customHeight="1">
      <c r="A2645" s="877">
        <v>36205</v>
      </c>
      <c r="B2645" s="878">
        <v>1565.57</v>
      </c>
    </row>
    <row r="2646" spans="1:2" ht="16.149999999999999" customHeight="1">
      <c r="A2646" s="877">
        <v>36206</v>
      </c>
      <c r="B2646" s="880">
        <v>1565.57</v>
      </c>
    </row>
    <row r="2647" spans="1:2" ht="16.149999999999999" customHeight="1">
      <c r="A2647" s="877">
        <v>36207</v>
      </c>
      <c r="B2647" s="878">
        <v>1557.79</v>
      </c>
    </row>
    <row r="2648" spans="1:2" ht="16.149999999999999" customHeight="1">
      <c r="A2648" s="877">
        <v>36208</v>
      </c>
      <c r="B2648" s="880">
        <v>1561.53</v>
      </c>
    </row>
    <row r="2649" spans="1:2" ht="16.149999999999999" customHeight="1">
      <c r="A2649" s="877">
        <v>36209</v>
      </c>
      <c r="B2649" s="878">
        <v>1569.4</v>
      </c>
    </row>
    <row r="2650" spans="1:2" ht="16.149999999999999" customHeight="1">
      <c r="A2650" s="877">
        <v>36210</v>
      </c>
      <c r="B2650" s="880">
        <v>1567.17</v>
      </c>
    </row>
    <row r="2651" spans="1:2" ht="16.149999999999999" customHeight="1">
      <c r="A2651" s="877">
        <v>36211</v>
      </c>
      <c r="B2651" s="878">
        <v>1560.46</v>
      </c>
    </row>
    <row r="2652" spans="1:2" ht="16.149999999999999" customHeight="1">
      <c r="A2652" s="877">
        <v>36212</v>
      </c>
      <c r="B2652" s="880">
        <v>1560.46</v>
      </c>
    </row>
    <row r="2653" spans="1:2" ht="16.149999999999999" customHeight="1">
      <c r="A2653" s="877">
        <v>36213</v>
      </c>
      <c r="B2653" s="878">
        <v>1560.46</v>
      </c>
    </row>
    <row r="2654" spans="1:2" ht="16.149999999999999" customHeight="1">
      <c r="A2654" s="877">
        <v>36214</v>
      </c>
      <c r="B2654" s="880">
        <v>1556.65</v>
      </c>
    </row>
    <row r="2655" spans="1:2" ht="16.149999999999999" customHeight="1">
      <c r="A2655" s="877">
        <v>36215</v>
      </c>
      <c r="B2655" s="878">
        <v>1550.88</v>
      </c>
    </row>
    <row r="2656" spans="1:2" ht="16.149999999999999" customHeight="1">
      <c r="A2656" s="877">
        <v>36216</v>
      </c>
      <c r="B2656" s="880">
        <v>1557.97</v>
      </c>
    </row>
    <row r="2657" spans="1:2" ht="16.149999999999999" customHeight="1">
      <c r="A2657" s="877">
        <v>36217</v>
      </c>
      <c r="B2657" s="878">
        <v>1572.46</v>
      </c>
    </row>
    <row r="2658" spans="1:2" ht="16.149999999999999" customHeight="1">
      <c r="A2658" s="877">
        <v>36218</v>
      </c>
      <c r="B2658" s="880">
        <v>1568.3</v>
      </c>
    </row>
    <row r="2659" spans="1:2" ht="16.149999999999999" customHeight="1">
      <c r="A2659" s="877">
        <v>36219</v>
      </c>
      <c r="B2659" s="878">
        <v>1568.3</v>
      </c>
    </row>
    <row r="2660" spans="1:2" ht="16.149999999999999" customHeight="1">
      <c r="A2660" s="877">
        <v>36220</v>
      </c>
      <c r="B2660" s="880">
        <v>1568.3</v>
      </c>
    </row>
    <row r="2661" spans="1:2" ht="16.149999999999999" customHeight="1">
      <c r="A2661" s="877">
        <v>36221</v>
      </c>
      <c r="B2661" s="878">
        <v>1560.4</v>
      </c>
    </row>
    <row r="2662" spans="1:2" ht="16.149999999999999" customHeight="1">
      <c r="A2662" s="877">
        <v>36222</v>
      </c>
      <c r="B2662" s="880">
        <v>1557.94</v>
      </c>
    </row>
    <row r="2663" spans="1:2" ht="16.149999999999999" customHeight="1">
      <c r="A2663" s="877">
        <v>36223</v>
      </c>
      <c r="B2663" s="878">
        <v>1558.66</v>
      </c>
    </row>
    <row r="2664" spans="1:2" ht="16.149999999999999" customHeight="1">
      <c r="A2664" s="877">
        <v>36224</v>
      </c>
      <c r="B2664" s="880">
        <v>1555.84</v>
      </c>
    </row>
    <row r="2665" spans="1:2" ht="16.149999999999999" customHeight="1">
      <c r="A2665" s="877">
        <v>36225</v>
      </c>
      <c r="B2665" s="878">
        <v>1552.37</v>
      </c>
    </row>
    <row r="2666" spans="1:2" ht="16.149999999999999" customHeight="1">
      <c r="A2666" s="877">
        <v>36226</v>
      </c>
      <c r="B2666" s="880">
        <v>1552.37</v>
      </c>
    </row>
    <row r="2667" spans="1:2" ht="16.149999999999999" customHeight="1">
      <c r="A2667" s="877">
        <v>36227</v>
      </c>
      <c r="B2667" s="878">
        <v>1552.37</v>
      </c>
    </row>
    <row r="2668" spans="1:2" ht="16.149999999999999" customHeight="1">
      <c r="A2668" s="877">
        <v>36228</v>
      </c>
      <c r="B2668" s="880">
        <v>1552.44</v>
      </c>
    </row>
    <row r="2669" spans="1:2" ht="16.149999999999999" customHeight="1">
      <c r="A2669" s="877">
        <v>36229</v>
      </c>
      <c r="B2669" s="878">
        <v>1550.33</v>
      </c>
    </row>
    <row r="2670" spans="1:2" ht="16.149999999999999" customHeight="1">
      <c r="A2670" s="877">
        <v>36230</v>
      </c>
      <c r="B2670" s="880">
        <v>1545.09</v>
      </c>
    </row>
    <row r="2671" spans="1:2" ht="16.149999999999999" customHeight="1">
      <c r="A2671" s="877">
        <v>36231</v>
      </c>
      <c r="B2671" s="878">
        <v>1552.28</v>
      </c>
    </row>
    <row r="2672" spans="1:2" ht="16.149999999999999" customHeight="1">
      <c r="A2672" s="877">
        <v>36232</v>
      </c>
      <c r="B2672" s="880">
        <v>1562.91</v>
      </c>
    </row>
    <row r="2673" spans="1:2" ht="16.149999999999999" customHeight="1">
      <c r="A2673" s="877">
        <v>36233</v>
      </c>
      <c r="B2673" s="878">
        <v>1562.91</v>
      </c>
    </row>
    <row r="2674" spans="1:2" ht="16.149999999999999" customHeight="1">
      <c r="A2674" s="877">
        <v>36234</v>
      </c>
      <c r="B2674" s="880">
        <v>1562.91</v>
      </c>
    </row>
    <row r="2675" spans="1:2" ht="16.149999999999999" customHeight="1">
      <c r="A2675" s="877">
        <v>36235</v>
      </c>
      <c r="B2675" s="878">
        <v>1563.97</v>
      </c>
    </row>
    <row r="2676" spans="1:2" ht="16.149999999999999" customHeight="1">
      <c r="A2676" s="877">
        <v>36236</v>
      </c>
      <c r="B2676" s="880">
        <v>1561.74</v>
      </c>
    </row>
    <row r="2677" spans="1:2" ht="16.149999999999999" customHeight="1">
      <c r="A2677" s="877">
        <v>36237</v>
      </c>
      <c r="B2677" s="878">
        <v>1554.85</v>
      </c>
    </row>
    <row r="2678" spans="1:2" ht="16.149999999999999" customHeight="1">
      <c r="A2678" s="877">
        <v>36238</v>
      </c>
      <c r="B2678" s="880">
        <v>1550.03</v>
      </c>
    </row>
    <row r="2679" spans="1:2" ht="16.149999999999999" customHeight="1">
      <c r="A2679" s="877">
        <v>36239</v>
      </c>
      <c r="B2679" s="878">
        <v>1546.77</v>
      </c>
    </row>
    <row r="2680" spans="1:2" ht="16.149999999999999" customHeight="1">
      <c r="A2680" s="877">
        <v>36240</v>
      </c>
      <c r="B2680" s="880">
        <v>1546.77</v>
      </c>
    </row>
    <row r="2681" spans="1:2" ht="16.149999999999999" customHeight="1">
      <c r="A2681" s="877">
        <v>36241</v>
      </c>
      <c r="B2681" s="878">
        <v>1546.77</v>
      </c>
    </row>
    <row r="2682" spans="1:2" ht="16.149999999999999" customHeight="1">
      <c r="A2682" s="877">
        <v>36242</v>
      </c>
      <c r="B2682" s="880">
        <v>1546.77</v>
      </c>
    </row>
    <row r="2683" spans="1:2" ht="16.149999999999999" customHeight="1">
      <c r="A2683" s="877">
        <v>36243</v>
      </c>
      <c r="B2683" s="878">
        <v>1544.6</v>
      </c>
    </row>
    <row r="2684" spans="1:2" ht="16.149999999999999" customHeight="1">
      <c r="A2684" s="877">
        <v>36244</v>
      </c>
      <c r="B2684" s="880">
        <v>1541.74</v>
      </c>
    </row>
    <row r="2685" spans="1:2" ht="16.149999999999999" customHeight="1">
      <c r="A2685" s="877">
        <v>36245</v>
      </c>
      <c r="B2685" s="878">
        <v>1534.28</v>
      </c>
    </row>
    <row r="2686" spans="1:2" ht="16.149999999999999" customHeight="1">
      <c r="A2686" s="877">
        <v>36246</v>
      </c>
      <c r="B2686" s="880">
        <v>1525.59</v>
      </c>
    </row>
    <row r="2687" spans="1:2" ht="16.149999999999999" customHeight="1">
      <c r="A2687" s="877">
        <v>36247</v>
      </c>
      <c r="B2687" s="878">
        <v>1525.59</v>
      </c>
    </row>
    <row r="2688" spans="1:2" ht="16.149999999999999" customHeight="1">
      <c r="A2688" s="877">
        <v>36248</v>
      </c>
      <c r="B2688" s="880">
        <v>1525.59</v>
      </c>
    </row>
    <row r="2689" spans="1:2" ht="16.149999999999999" customHeight="1">
      <c r="A2689" s="877">
        <v>36249</v>
      </c>
      <c r="B2689" s="878">
        <v>1529.59</v>
      </c>
    </row>
    <row r="2690" spans="1:2" ht="16.149999999999999" customHeight="1">
      <c r="A2690" s="877">
        <v>36250</v>
      </c>
      <c r="B2690" s="880">
        <v>1533.51</v>
      </c>
    </row>
    <row r="2691" spans="1:2" ht="16.149999999999999" customHeight="1">
      <c r="A2691" s="877">
        <v>36251</v>
      </c>
      <c r="B2691" s="878">
        <v>1533.32</v>
      </c>
    </row>
    <row r="2692" spans="1:2" ht="16.149999999999999" customHeight="1">
      <c r="A2692" s="877">
        <v>36252</v>
      </c>
      <c r="B2692" s="880">
        <v>1533.32</v>
      </c>
    </row>
    <row r="2693" spans="1:2" ht="16.149999999999999" customHeight="1">
      <c r="A2693" s="877">
        <v>36253</v>
      </c>
      <c r="B2693" s="878">
        <v>1533.32</v>
      </c>
    </row>
    <row r="2694" spans="1:2" ht="16.149999999999999" customHeight="1">
      <c r="A2694" s="877">
        <v>36254</v>
      </c>
      <c r="B2694" s="880">
        <v>1533.32</v>
      </c>
    </row>
    <row r="2695" spans="1:2" ht="16.149999999999999" customHeight="1">
      <c r="A2695" s="877">
        <v>36255</v>
      </c>
      <c r="B2695" s="878">
        <v>1533.32</v>
      </c>
    </row>
    <row r="2696" spans="1:2" ht="16.149999999999999" customHeight="1">
      <c r="A2696" s="877">
        <v>36256</v>
      </c>
      <c r="B2696" s="880">
        <v>1532.48</v>
      </c>
    </row>
    <row r="2697" spans="1:2" ht="16.149999999999999" customHeight="1">
      <c r="A2697" s="877">
        <v>36257</v>
      </c>
      <c r="B2697" s="878">
        <v>1534.13</v>
      </c>
    </row>
    <row r="2698" spans="1:2" ht="16.149999999999999" customHeight="1">
      <c r="A2698" s="877">
        <v>36258</v>
      </c>
      <c r="B2698" s="880">
        <v>1548.14</v>
      </c>
    </row>
    <row r="2699" spans="1:2" ht="16.149999999999999" customHeight="1">
      <c r="A2699" s="877">
        <v>36259</v>
      </c>
      <c r="B2699" s="878">
        <v>1574.77</v>
      </c>
    </row>
    <row r="2700" spans="1:2" ht="16.149999999999999" customHeight="1">
      <c r="A2700" s="877">
        <v>36260</v>
      </c>
      <c r="B2700" s="880">
        <v>1588.17</v>
      </c>
    </row>
    <row r="2701" spans="1:2" ht="16.149999999999999" customHeight="1">
      <c r="A2701" s="877">
        <v>36261</v>
      </c>
      <c r="B2701" s="878">
        <v>1588.17</v>
      </c>
    </row>
    <row r="2702" spans="1:2" ht="16.149999999999999" customHeight="1">
      <c r="A2702" s="877">
        <v>36262</v>
      </c>
      <c r="B2702" s="880">
        <v>1588.17</v>
      </c>
    </row>
    <row r="2703" spans="1:2" ht="16.149999999999999" customHeight="1">
      <c r="A2703" s="877">
        <v>36263</v>
      </c>
      <c r="B2703" s="878">
        <v>1588.19</v>
      </c>
    </row>
    <row r="2704" spans="1:2" ht="16.149999999999999" customHeight="1">
      <c r="A2704" s="877">
        <v>36264</v>
      </c>
      <c r="B2704" s="880">
        <v>1603.95</v>
      </c>
    </row>
    <row r="2705" spans="1:2" ht="16.149999999999999" customHeight="1">
      <c r="A2705" s="877">
        <v>36265</v>
      </c>
      <c r="B2705" s="878">
        <v>1593.17</v>
      </c>
    </row>
    <row r="2706" spans="1:2" ht="16.149999999999999" customHeight="1">
      <c r="A2706" s="877">
        <v>36266</v>
      </c>
      <c r="B2706" s="880">
        <v>1586.04</v>
      </c>
    </row>
    <row r="2707" spans="1:2" ht="16.149999999999999" customHeight="1">
      <c r="A2707" s="877">
        <v>36267</v>
      </c>
      <c r="B2707" s="878">
        <v>1578.93</v>
      </c>
    </row>
    <row r="2708" spans="1:2" ht="16.149999999999999" customHeight="1">
      <c r="A2708" s="877">
        <v>36268</v>
      </c>
      <c r="B2708" s="880">
        <v>1578.93</v>
      </c>
    </row>
    <row r="2709" spans="1:2" ht="16.149999999999999" customHeight="1">
      <c r="A2709" s="877">
        <v>36269</v>
      </c>
      <c r="B2709" s="878">
        <v>1578.93</v>
      </c>
    </row>
    <row r="2710" spans="1:2" ht="16.149999999999999" customHeight="1">
      <c r="A2710" s="877">
        <v>36270</v>
      </c>
      <c r="B2710" s="880">
        <v>1570.53</v>
      </c>
    </row>
    <row r="2711" spans="1:2" ht="16.149999999999999" customHeight="1">
      <c r="A2711" s="877">
        <v>36271</v>
      </c>
      <c r="B2711" s="878">
        <v>1563.94</v>
      </c>
    </row>
    <row r="2712" spans="1:2" ht="16.149999999999999" customHeight="1">
      <c r="A2712" s="877">
        <v>36272</v>
      </c>
      <c r="B2712" s="880">
        <v>1570.34</v>
      </c>
    </row>
    <row r="2713" spans="1:2" ht="16.149999999999999" customHeight="1">
      <c r="A2713" s="877">
        <v>36273</v>
      </c>
      <c r="B2713" s="878">
        <v>1573.86</v>
      </c>
    </row>
    <row r="2714" spans="1:2" ht="16.149999999999999" customHeight="1">
      <c r="A2714" s="877">
        <v>36274</v>
      </c>
      <c r="B2714" s="880">
        <v>1578.98</v>
      </c>
    </row>
    <row r="2715" spans="1:2" ht="16.149999999999999" customHeight="1">
      <c r="A2715" s="877">
        <v>36275</v>
      </c>
      <c r="B2715" s="878">
        <v>1578.98</v>
      </c>
    </row>
    <row r="2716" spans="1:2" ht="16.149999999999999" customHeight="1">
      <c r="A2716" s="877">
        <v>36276</v>
      </c>
      <c r="B2716" s="880">
        <v>1578.98</v>
      </c>
    </row>
    <row r="2717" spans="1:2" ht="16.149999999999999" customHeight="1">
      <c r="A2717" s="877">
        <v>36277</v>
      </c>
      <c r="B2717" s="878">
        <v>1580.78</v>
      </c>
    </row>
    <row r="2718" spans="1:2" ht="16.149999999999999" customHeight="1">
      <c r="A2718" s="877">
        <v>36278</v>
      </c>
      <c r="B2718" s="880">
        <v>1590.53</v>
      </c>
    </row>
    <row r="2719" spans="1:2" ht="16.149999999999999" customHeight="1">
      <c r="A2719" s="877">
        <v>36279</v>
      </c>
      <c r="B2719" s="878">
        <v>1598.69</v>
      </c>
    </row>
    <row r="2720" spans="1:2" ht="16.149999999999999" customHeight="1">
      <c r="A2720" s="877">
        <v>36280</v>
      </c>
      <c r="B2720" s="880">
        <v>1604.44</v>
      </c>
    </row>
    <row r="2721" spans="1:2" ht="16.149999999999999" customHeight="1">
      <c r="A2721" s="877">
        <v>36281</v>
      </c>
      <c r="B2721" s="878">
        <v>1611.48</v>
      </c>
    </row>
    <row r="2722" spans="1:2" ht="16.149999999999999" customHeight="1">
      <c r="A2722" s="877">
        <v>36282</v>
      </c>
      <c r="B2722" s="880">
        <v>1611.48</v>
      </c>
    </row>
    <row r="2723" spans="1:2" ht="16.149999999999999" customHeight="1">
      <c r="A2723" s="877">
        <v>36283</v>
      </c>
      <c r="B2723" s="878">
        <v>1611.48</v>
      </c>
    </row>
    <row r="2724" spans="1:2" ht="16.149999999999999" customHeight="1">
      <c r="A2724" s="877">
        <v>36284</v>
      </c>
      <c r="B2724" s="880">
        <v>1613.61</v>
      </c>
    </row>
    <row r="2725" spans="1:2" ht="16.149999999999999" customHeight="1">
      <c r="A2725" s="877">
        <v>36285</v>
      </c>
      <c r="B2725" s="878">
        <v>1603.97</v>
      </c>
    </row>
    <row r="2726" spans="1:2" ht="16.149999999999999" customHeight="1">
      <c r="A2726" s="877">
        <v>36286</v>
      </c>
      <c r="B2726" s="880">
        <v>1610.66</v>
      </c>
    </row>
    <row r="2727" spans="1:2" ht="16.149999999999999" customHeight="1">
      <c r="A2727" s="877">
        <v>36287</v>
      </c>
      <c r="B2727" s="878">
        <v>1618</v>
      </c>
    </row>
    <row r="2728" spans="1:2" ht="16.149999999999999" customHeight="1">
      <c r="A2728" s="877">
        <v>36288</v>
      </c>
      <c r="B2728" s="880">
        <v>1631.71</v>
      </c>
    </row>
    <row r="2729" spans="1:2" ht="16.149999999999999" customHeight="1">
      <c r="A2729" s="877">
        <v>36289</v>
      </c>
      <c r="B2729" s="878">
        <v>1631.71</v>
      </c>
    </row>
    <row r="2730" spans="1:2" ht="16.149999999999999" customHeight="1">
      <c r="A2730" s="877">
        <v>36290</v>
      </c>
      <c r="B2730" s="880">
        <v>1631.71</v>
      </c>
    </row>
    <row r="2731" spans="1:2" ht="16.149999999999999" customHeight="1">
      <c r="A2731" s="877">
        <v>36291</v>
      </c>
      <c r="B2731" s="878">
        <v>1627.3</v>
      </c>
    </row>
    <row r="2732" spans="1:2" ht="16.149999999999999" customHeight="1">
      <c r="A2732" s="877">
        <v>36292</v>
      </c>
      <c r="B2732" s="880">
        <v>1631.02</v>
      </c>
    </row>
    <row r="2733" spans="1:2" ht="16.149999999999999" customHeight="1">
      <c r="A2733" s="877">
        <v>36293</v>
      </c>
      <c r="B2733" s="878">
        <v>1631.95</v>
      </c>
    </row>
    <row r="2734" spans="1:2" ht="16.149999999999999" customHeight="1">
      <c r="A2734" s="877">
        <v>36294</v>
      </c>
      <c r="B2734" s="880">
        <v>1630.08</v>
      </c>
    </row>
    <row r="2735" spans="1:2" ht="16.149999999999999" customHeight="1">
      <c r="A2735" s="877">
        <v>36295</v>
      </c>
      <c r="B2735" s="878">
        <v>1640.15</v>
      </c>
    </row>
    <row r="2736" spans="1:2" ht="16.149999999999999" customHeight="1">
      <c r="A2736" s="877">
        <v>36296</v>
      </c>
      <c r="B2736" s="880">
        <v>1640.15</v>
      </c>
    </row>
    <row r="2737" spans="1:2" ht="16.149999999999999" customHeight="1">
      <c r="A2737" s="877">
        <v>36297</v>
      </c>
      <c r="B2737" s="878">
        <v>1640.15</v>
      </c>
    </row>
    <row r="2738" spans="1:2" ht="16.149999999999999" customHeight="1">
      <c r="A2738" s="877">
        <v>36298</v>
      </c>
      <c r="B2738" s="880">
        <v>1640.15</v>
      </c>
    </row>
    <row r="2739" spans="1:2" ht="16.149999999999999" customHeight="1">
      <c r="A2739" s="877">
        <v>36299</v>
      </c>
      <c r="B2739" s="878">
        <v>1644.11</v>
      </c>
    </row>
    <row r="2740" spans="1:2" ht="16.149999999999999" customHeight="1">
      <c r="A2740" s="877">
        <v>36300</v>
      </c>
      <c r="B2740" s="880">
        <v>1643.05</v>
      </c>
    </row>
    <row r="2741" spans="1:2" ht="16.149999999999999" customHeight="1">
      <c r="A2741" s="877">
        <v>36301</v>
      </c>
      <c r="B2741" s="878">
        <v>1644.6</v>
      </c>
    </row>
    <row r="2742" spans="1:2" ht="16.149999999999999" customHeight="1">
      <c r="A2742" s="877">
        <v>36302</v>
      </c>
      <c r="B2742" s="880">
        <v>1665.36</v>
      </c>
    </row>
    <row r="2743" spans="1:2" ht="16.149999999999999" customHeight="1">
      <c r="A2743" s="877">
        <v>36303</v>
      </c>
      <c r="B2743" s="878">
        <v>1665.36</v>
      </c>
    </row>
    <row r="2744" spans="1:2" ht="16.149999999999999" customHeight="1">
      <c r="A2744" s="877">
        <v>36304</v>
      </c>
      <c r="B2744" s="880">
        <v>1665.36</v>
      </c>
    </row>
    <row r="2745" spans="1:2" ht="16.149999999999999" customHeight="1">
      <c r="A2745" s="877">
        <v>36305</v>
      </c>
      <c r="B2745" s="878">
        <v>1671.2</v>
      </c>
    </row>
    <row r="2746" spans="1:2" ht="16.149999999999999" customHeight="1">
      <c r="A2746" s="877">
        <v>36306</v>
      </c>
      <c r="B2746" s="880">
        <v>1669.27</v>
      </c>
    </row>
    <row r="2747" spans="1:2" ht="16.149999999999999" customHeight="1">
      <c r="A2747" s="877">
        <v>36307</v>
      </c>
      <c r="B2747" s="878">
        <v>1682.12</v>
      </c>
    </row>
    <row r="2748" spans="1:2" ht="16.149999999999999" customHeight="1">
      <c r="A2748" s="877">
        <v>36308</v>
      </c>
      <c r="B2748" s="880">
        <v>1685.33</v>
      </c>
    </row>
    <row r="2749" spans="1:2" ht="16.149999999999999" customHeight="1">
      <c r="A2749" s="877">
        <v>36309</v>
      </c>
      <c r="B2749" s="878">
        <v>1671.67</v>
      </c>
    </row>
    <row r="2750" spans="1:2" ht="16.149999999999999" customHeight="1">
      <c r="A2750" s="877">
        <v>36310</v>
      </c>
      <c r="B2750" s="880">
        <v>1671.67</v>
      </c>
    </row>
    <row r="2751" spans="1:2" ht="16.149999999999999" customHeight="1">
      <c r="A2751" s="877">
        <v>36311</v>
      </c>
      <c r="B2751" s="878">
        <v>1671.67</v>
      </c>
    </row>
    <row r="2752" spans="1:2" ht="16.149999999999999" customHeight="1">
      <c r="A2752" s="877">
        <v>36312</v>
      </c>
      <c r="B2752" s="880">
        <v>1663.55</v>
      </c>
    </row>
    <row r="2753" spans="1:2" ht="16.149999999999999" customHeight="1">
      <c r="A2753" s="877">
        <v>36313</v>
      </c>
      <c r="B2753" s="878">
        <v>1657.7</v>
      </c>
    </row>
    <row r="2754" spans="1:2" ht="16.149999999999999" customHeight="1">
      <c r="A2754" s="877">
        <v>36314</v>
      </c>
      <c r="B2754" s="880">
        <v>1667.88</v>
      </c>
    </row>
    <row r="2755" spans="1:2" ht="16.149999999999999" customHeight="1">
      <c r="A2755" s="877">
        <v>36315</v>
      </c>
      <c r="B2755" s="878">
        <v>1654.75</v>
      </c>
    </row>
    <row r="2756" spans="1:2" ht="16.149999999999999" customHeight="1">
      <c r="A2756" s="877">
        <v>36316</v>
      </c>
      <c r="B2756" s="880">
        <v>1653.96</v>
      </c>
    </row>
    <row r="2757" spans="1:2" ht="16.149999999999999" customHeight="1">
      <c r="A2757" s="877">
        <v>36317</v>
      </c>
      <c r="B2757" s="878">
        <v>1653.96</v>
      </c>
    </row>
    <row r="2758" spans="1:2" ht="16.149999999999999" customHeight="1">
      <c r="A2758" s="877">
        <v>36318</v>
      </c>
      <c r="B2758" s="880">
        <v>1653.96</v>
      </c>
    </row>
    <row r="2759" spans="1:2" ht="16.149999999999999" customHeight="1">
      <c r="A2759" s="877">
        <v>36319</v>
      </c>
      <c r="B2759" s="878">
        <v>1653.96</v>
      </c>
    </row>
    <row r="2760" spans="1:2" ht="16.149999999999999" customHeight="1">
      <c r="A2760" s="877">
        <v>36320</v>
      </c>
      <c r="B2760" s="880">
        <v>1672.01</v>
      </c>
    </row>
    <row r="2761" spans="1:2" ht="16.149999999999999" customHeight="1">
      <c r="A2761" s="877">
        <v>36321</v>
      </c>
      <c r="B2761" s="878">
        <v>1679.12</v>
      </c>
    </row>
    <row r="2762" spans="1:2" ht="16.149999999999999" customHeight="1">
      <c r="A2762" s="877">
        <v>36322</v>
      </c>
      <c r="B2762" s="880">
        <v>1686.08</v>
      </c>
    </row>
    <row r="2763" spans="1:2" ht="16.149999999999999" customHeight="1">
      <c r="A2763" s="877">
        <v>36323</v>
      </c>
      <c r="B2763" s="878">
        <v>1682.09</v>
      </c>
    </row>
    <row r="2764" spans="1:2" ht="16.149999999999999" customHeight="1">
      <c r="A2764" s="877">
        <v>36324</v>
      </c>
      <c r="B2764" s="880">
        <v>1682.09</v>
      </c>
    </row>
    <row r="2765" spans="1:2" ht="16.149999999999999" customHeight="1">
      <c r="A2765" s="877">
        <v>36325</v>
      </c>
      <c r="B2765" s="878">
        <v>1682.09</v>
      </c>
    </row>
    <row r="2766" spans="1:2" ht="16.149999999999999" customHeight="1">
      <c r="A2766" s="877">
        <v>36326</v>
      </c>
      <c r="B2766" s="880">
        <v>1682.09</v>
      </c>
    </row>
    <row r="2767" spans="1:2" ht="16.149999999999999" customHeight="1">
      <c r="A2767" s="877">
        <v>36327</v>
      </c>
      <c r="B2767" s="878">
        <v>1694.56</v>
      </c>
    </row>
    <row r="2768" spans="1:2" ht="16.149999999999999" customHeight="1">
      <c r="A2768" s="877">
        <v>36328</v>
      </c>
      <c r="B2768" s="880">
        <v>1698.55</v>
      </c>
    </row>
    <row r="2769" spans="1:2" ht="16.149999999999999" customHeight="1">
      <c r="A2769" s="877">
        <v>36329</v>
      </c>
      <c r="B2769" s="878">
        <v>1693.75</v>
      </c>
    </row>
    <row r="2770" spans="1:2" ht="16.149999999999999" customHeight="1">
      <c r="A2770" s="877">
        <v>36330</v>
      </c>
      <c r="B2770" s="880">
        <v>1692.36</v>
      </c>
    </row>
    <row r="2771" spans="1:2" ht="16.149999999999999" customHeight="1">
      <c r="A2771" s="877">
        <v>36331</v>
      </c>
      <c r="B2771" s="878">
        <v>1692.36</v>
      </c>
    </row>
    <row r="2772" spans="1:2" ht="16.149999999999999" customHeight="1">
      <c r="A2772" s="877">
        <v>36332</v>
      </c>
      <c r="B2772" s="880">
        <v>1692.36</v>
      </c>
    </row>
    <row r="2773" spans="1:2" ht="16.149999999999999" customHeight="1">
      <c r="A2773" s="877">
        <v>36333</v>
      </c>
      <c r="B2773" s="878">
        <v>1694.26</v>
      </c>
    </row>
    <row r="2774" spans="1:2" ht="16.149999999999999" customHeight="1">
      <c r="A2774" s="877">
        <v>36334</v>
      </c>
      <c r="B2774" s="880">
        <v>1710.03</v>
      </c>
    </row>
    <row r="2775" spans="1:2" ht="16.149999999999999" customHeight="1">
      <c r="A2775" s="877">
        <v>36335</v>
      </c>
      <c r="B2775" s="878">
        <v>1723.26</v>
      </c>
    </row>
    <row r="2776" spans="1:2" ht="16.149999999999999" customHeight="1">
      <c r="A2776" s="877">
        <v>36336</v>
      </c>
      <c r="B2776" s="880">
        <v>1734.83</v>
      </c>
    </row>
    <row r="2777" spans="1:2" ht="16.149999999999999" customHeight="1">
      <c r="A2777" s="877">
        <v>36337</v>
      </c>
      <c r="B2777" s="878">
        <v>1737.91</v>
      </c>
    </row>
    <row r="2778" spans="1:2" ht="16.149999999999999" customHeight="1">
      <c r="A2778" s="877">
        <v>36338</v>
      </c>
      <c r="B2778" s="880">
        <v>1737.91</v>
      </c>
    </row>
    <row r="2779" spans="1:2" ht="16.149999999999999" customHeight="1">
      <c r="A2779" s="877">
        <v>36339</v>
      </c>
      <c r="B2779" s="878">
        <v>1737.91</v>
      </c>
    </row>
    <row r="2780" spans="1:2" ht="16.149999999999999" customHeight="1">
      <c r="A2780" s="877">
        <v>36340</v>
      </c>
      <c r="B2780" s="880">
        <v>1751</v>
      </c>
    </row>
    <row r="2781" spans="1:2" ht="16.149999999999999" customHeight="1">
      <c r="A2781" s="877">
        <v>36341</v>
      </c>
      <c r="B2781" s="878">
        <v>1732.1</v>
      </c>
    </row>
    <row r="2782" spans="1:2" ht="16.149999999999999" customHeight="1">
      <c r="A2782" s="877">
        <v>36342</v>
      </c>
      <c r="B2782" s="880">
        <v>1736.03</v>
      </c>
    </row>
    <row r="2783" spans="1:2" ht="16.149999999999999" customHeight="1">
      <c r="A2783" s="877">
        <v>36343</v>
      </c>
      <c r="B2783" s="878">
        <v>1751.26</v>
      </c>
    </row>
    <row r="2784" spans="1:2" ht="16.149999999999999" customHeight="1">
      <c r="A2784" s="877">
        <v>36344</v>
      </c>
      <c r="B2784" s="880">
        <v>1755.31</v>
      </c>
    </row>
    <row r="2785" spans="1:2" ht="16.149999999999999" customHeight="1">
      <c r="A2785" s="877">
        <v>36345</v>
      </c>
      <c r="B2785" s="878">
        <v>1755.31</v>
      </c>
    </row>
    <row r="2786" spans="1:2" ht="16.149999999999999" customHeight="1">
      <c r="A2786" s="877">
        <v>36346</v>
      </c>
      <c r="B2786" s="880">
        <v>1755.31</v>
      </c>
    </row>
    <row r="2787" spans="1:2" ht="16.149999999999999" customHeight="1">
      <c r="A2787" s="877">
        <v>36347</v>
      </c>
      <c r="B2787" s="878">
        <v>1755.31</v>
      </c>
    </row>
    <row r="2788" spans="1:2" ht="16.149999999999999" customHeight="1">
      <c r="A2788" s="877">
        <v>36348</v>
      </c>
      <c r="B2788" s="880">
        <v>1772.69</v>
      </c>
    </row>
    <row r="2789" spans="1:2" ht="16.149999999999999" customHeight="1">
      <c r="A2789" s="877">
        <v>36349</v>
      </c>
      <c r="B2789" s="878">
        <v>1795.36</v>
      </c>
    </row>
    <row r="2790" spans="1:2" ht="16.149999999999999" customHeight="1">
      <c r="A2790" s="877">
        <v>36350</v>
      </c>
      <c r="B2790" s="880">
        <v>1831.1</v>
      </c>
    </row>
    <row r="2791" spans="1:2" ht="16.149999999999999" customHeight="1">
      <c r="A2791" s="877">
        <v>36351</v>
      </c>
      <c r="B2791" s="878">
        <v>1840.38</v>
      </c>
    </row>
    <row r="2792" spans="1:2" ht="16.149999999999999" customHeight="1">
      <c r="A2792" s="877">
        <v>36352</v>
      </c>
      <c r="B2792" s="880">
        <v>1840.38</v>
      </c>
    </row>
    <row r="2793" spans="1:2" ht="16.149999999999999" customHeight="1">
      <c r="A2793" s="877">
        <v>36353</v>
      </c>
      <c r="B2793" s="878">
        <v>1840.38</v>
      </c>
    </row>
    <row r="2794" spans="1:2" ht="16.149999999999999" customHeight="1">
      <c r="A2794" s="877">
        <v>36354</v>
      </c>
      <c r="B2794" s="880">
        <v>1887.17</v>
      </c>
    </row>
    <row r="2795" spans="1:2" ht="16.149999999999999" customHeight="1">
      <c r="A2795" s="877">
        <v>36355</v>
      </c>
      <c r="B2795" s="878">
        <v>1926.55</v>
      </c>
    </row>
    <row r="2796" spans="1:2" ht="16.149999999999999" customHeight="1">
      <c r="A2796" s="877">
        <v>36356</v>
      </c>
      <c r="B2796" s="880">
        <v>1881.42</v>
      </c>
    </row>
    <row r="2797" spans="1:2" ht="16.149999999999999" customHeight="1">
      <c r="A2797" s="877">
        <v>36357</v>
      </c>
      <c r="B2797" s="878">
        <v>1823.29</v>
      </c>
    </row>
    <row r="2798" spans="1:2" ht="16.149999999999999" customHeight="1">
      <c r="A2798" s="877">
        <v>36358</v>
      </c>
      <c r="B2798" s="880">
        <v>1821.95</v>
      </c>
    </row>
    <row r="2799" spans="1:2" ht="16.149999999999999" customHeight="1">
      <c r="A2799" s="877">
        <v>36359</v>
      </c>
      <c r="B2799" s="878">
        <v>1821.95</v>
      </c>
    </row>
    <row r="2800" spans="1:2" ht="16.149999999999999" customHeight="1">
      <c r="A2800" s="877">
        <v>36360</v>
      </c>
      <c r="B2800" s="880">
        <v>1821.95</v>
      </c>
    </row>
    <row r="2801" spans="1:2" ht="16.149999999999999" customHeight="1">
      <c r="A2801" s="877">
        <v>36361</v>
      </c>
      <c r="B2801" s="878">
        <v>1819.04</v>
      </c>
    </row>
    <row r="2802" spans="1:2" ht="16.149999999999999" customHeight="1">
      <c r="A2802" s="877">
        <v>36362</v>
      </c>
      <c r="B2802" s="880">
        <v>1819.04</v>
      </c>
    </row>
    <row r="2803" spans="1:2" ht="16.149999999999999" customHeight="1">
      <c r="A2803" s="877">
        <v>36363</v>
      </c>
      <c r="B2803" s="878">
        <v>1809.56</v>
      </c>
    </row>
    <row r="2804" spans="1:2" ht="16.149999999999999" customHeight="1">
      <c r="A2804" s="877">
        <v>36364</v>
      </c>
      <c r="B2804" s="880">
        <v>1807.9</v>
      </c>
    </row>
    <row r="2805" spans="1:2" ht="16.149999999999999" customHeight="1">
      <c r="A2805" s="877">
        <v>36365</v>
      </c>
      <c r="B2805" s="878">
        <v>1831.19</v>
      </c>
    </row>
    <row r="2806" spans="1:2" ht="16.149999999999999" customHeight="1">
      <c r="A2806" s="877">
        <v>36366</v>
      </c>
      <c r="B2806" s="880">
        <v>1831.19</v>
      </c>
    </row>
    <row r="2807" spans="1:2" ht="16.149999999999999" customHeight="1">
      <c r="A2807" s="877">
        <v>36367</v>
      </c>
      <c r="B2807" s="878">
        <v>1831.19</v>
      </c>
    </row>
    <row r="2808" spans="1:2" ht="16.149999999999999" customHeight="1">
      <c r="A2808" s="877">
        <v>36368</v>
      </c>
      <c r="B2808" s="880">
        <v>1829.63</v>
      </c>
    </row>
    <row r="2809" spans="1:2" ht="16.149999999999999" customHeight="1">
      <c r="A2809" s="877">
        <v>36369</v>
      </c>
      <c r="B2809" s="878">
        <v>1829.06</v>
      </c>
    </row>
    <row r="2810" spans="1:2" ht="16.149999999999999" customHeight="1">
      <c r="A2810" s="877">
        <v>36370</v>
      </c>
      <c r="B2810" s="880">
        <v>1817.09</v>
      </c>
    </row>
    <row r="2811" spans="1:2" ht="16.149999999999999" customHeight="1">
      <c r="A2811" s="877">
        <v>36371</v>
      </c>
      <c r="B2811" s="878">
        <v>1806.52</v>
      </c>
    </row>
    <row r="2812" spans="1:2" ht="16.149999999999999" customHeight="1">
      <c r="A2812" s="877">
        <v>36372</v>
      </c>
      <c r="B2812" s="880">
        <v>1809.5</v>
      </c>
    </row>
    <row r="2813" spans="1:2" ht="16.149999999999999" customHeight="1">
      <c r="A2813" s="877">
        <v>36373</v>
      </c>
      <c r="B2813" s="878">
        <v>1809.5</v>
      </c>
    </row>
    <row r="2814" spans="1:2" ht="16.149999999999999" customHeight="1">
      <c r="A2814" s="877">
        <v>36374</v>
      </c>
      <c r="B2814" s="880">
        <v>1809.5</v>
      </c>
    </row>
    <row r="2815" spans="1:2" ht="16.149999999999999" customHeight="1">
      <c r="A2815" s="877">
        <v>36375</v>
      </c>
      <c r="B2815" s="878">
        <v>1813.6</v>
      </c>
    </row>
    <row r="2816" spans="1:2" ht="16.149999999999999" customHeight="1">
      <c r="A2816" s="877">
        <v>36376</v>
      </c>
      <c r="B2816" s="880">
        <v>1800.79</v>
      </c>
    </row>
    <row r="2817" spans="1:2" ht="16.149999999999999" customHeight="1">
      <c r="A2817" s="877">
        <v>36377</v>
      </c>
      <c r="B2817" s="878">
        <v>1822.84</v>
      </c>
    </row>
    <row r="2818" spans="1:2" ht="16.149999999999999" customHeight="1">
      <c r="A2818" s="877">
        <v>36378</v>
      </c>
      <c r="B2818" s="880">
        <v>1834.97</v>
      </c>
    </row>
    <row r="2819" spans="1:2" ht="16.149999999999999" customHeight="1">
      <c r="A2819" s="877">
        <v>36379</v>
      </c>
      <c r="B2819" s="878">
        <v>1849.12</v>
      </c>
    </row>
    <row r="2820" spans="1:2" ht="16.149999999999999" customHeight="1">
      <c r="A2820" s="877">
        <v>36380</v>
      </c>
      <c r="B2820" s="880">
        <v>1849.12</v>
      </c>
    </row>
    <row r="2821" spans="1:2" ht="16.149999999999999" customHeight="1">
      <c r="A2821" s="877">
        <v>36381</v>
      </c>
      <c r="B2821" s="878">
        <v>1849.12</v>
      </c>
    </row>
    <row r="2822" spans="1:2" ht="16.149999999999999" customHeight="1">
      <c r="A2822" s="877">
        <v>36382</v>
      </c>
      <c r="B2822" s="880">
        <v>1852.8</v>
      </c>
    </row>
    <row r="2823" spans="1:2" ht="16.149999999999999" customHeight="1">
      <c r="A2823" s="877">
        <v>36383</v>
      </c>
      <c r="B2823" s="878">
        <v>1855.03</v>
      </c>
    </row>
    <row r="2824" spans="1:2" ht="16.149999999999999" customHeight="1">
      <c r="A2824" s="877">
        <v>36384</v>
      </c>
      <c r="B2824" s="880">
        <v>1865.3</v>
      </c>
    </row>
    <row r="2825" spans="1:2" ht="16.149999999999999" customHeight="1">
      <c r="A2825" s="877">
        <v>36385</v>
      </c>
      <c r="B2825" s="878">
        <v>1893.25</v>
      </c>
    </row>
    <row r="2826" spans="1:2" ht="16.149999999999999" customHeight="1">
      <c r="A2826" s="877">
        <v>36386</v>
      </c>
      <c r="B2826" s="880">
        <v>1879.15</v>
      </c>
    </row>
    <row r="2827" spans="1:2" ht="16.149999999999999" customHeight="1">
      <c r="A2827" s="877">
        <v>36387</v>
      </c>
      <c r="B2827" s="878">
        <v>1879.15</v>
      </c>
    </row>
    <row r="2828" spans="1:2" ht="16.149999999999999" customHeight="1">
      <c r="A2828" s="877">
        <v>36388</v>
      </c>
      <c r="B2828" s="880">
        <v>1879.15</v>
      </c>
    </row>
    <row r="2829" spans="1:2" ht="16.149999999999999" customHeight="1">
      <c r="A2829" s="877">
        <v>36389</v>
      </c>
      <c r="B2829" s="878">
        <v>1879.15</v>
      </c>
    </row>
    <row r="2830" spans="1:2" ht="16.149999999999999" customHeight="1">
      <c r="A2830" s="877">
        <v>36390</v>
      </c>
      <c r="B2830" s="880">
        <v>1880.39</v>
      </c>
    </row>
    <row r="2831" spans="1:2" ht="16.149999999999999" customHeight="1">
      <c r="A2831" s="877">
        <v>36391</v>
      </c>
      <c r="B2831" s="878">
        <v>1898.03</v>
      </c>
    </row>
    <row r="2832" spans="1:2" ht="16.149999999999999" customHeight="1">
      <c r="A2832" s="877">
        <v>36392</v>
      </c>
      <c r="B2832" s="880">
        <v>1892.5</v>
      </c>
    </row>
    <row r="2833" spans="1:2" ht="16.149999999999999" customHeight="1">
      <c r="A2833" s="877">
        <v>36393</v>
      </c>
      <c r="B2833" s="878">
        <v>1907.94</v>
      </c>
    </row>
    <row r="2834" spans="1:2" ht="16.149999999999999" customHeight="1">
      <c r="A2834" s="877">
        <v>36394</v>
      </c>
      <c r="B2834" s="880">
        <v>1907.94</v>
      </c>
    </row>
    <row r="2835" spans="1:2" ht="16.149999999999999" customHeight="1">
      <c r="A2835" s="877">
        <v>36395</v>
      </c>
      <c r="B2835" s="878">
        <v>1907.94</v>
      </c>
    </row>
    <row r="2836" spans="1:2" ht="16.149999999999999" customHeight="1">
      <c r="A2836" s="877">
        <v>36396</v>
      </c>
      <c r="B2836" s="880">
        <v>1912.27</v>
      </c>
    </row>
    <row r="2837" spans="1:2" ht="16.149999999999999" customHeight="1">
      <c r="A2837" s="877">
        <v>36397</v>
      </c>
      <c r="B2837" s="878">
        <v>1921.87</v>
      </c>
    </row>
    <row r="2838" spans="1:2" ht="16.149999999999999" customHeight="1">
      <c r="A2838" s="877">
        <v>36398</v>
      </c>
      <c r="B2838" s="880">
        <v>1921.16</v>
      </c>
    </row>
    <row r="2839" spans="1:2" ht="16.149999999999999" customHeight="1">
      <c r="A2839" s="877">
        <v>36399</v>
      </c>
      <c r="B2839" s="878">
        <v>1914.22</v>
      </c>
    </row>
    <row r="2840" spans="1:2" ht="16.149999999999999" customHeight="1">
      <c r="A2840" s="877">
        <v>36400</v>
      </c>
      <c r="B2840" s="880">
        <v>1936.12</v>
      </c>
    </row>
    <row r="2841" spans="1:2" ht="16.149999999999999" customHeight="1">
      <c r="A2841" s="877">
        <v>36401</v>
      </c>
      <c r="B2841" s="878">
        <v>1936.12</v>
      </c>
    </row>
    <row r="2842" spans="1:2" ht="16.149999999999999" customHeight="1">
      <c r="A2842" s="877">
        <v>36402</v>
      </c>
      <c r="B2842" s="880">
        <v>1936.12</v>
      </c>
    </row>
    <row r="2843" spans="1:2" ht="16.149999999999999" customHeight="1">
      <c r="A2843" s="877">
        <v>36403</v>
      </c>
      <c r="B2843" s="878">
        <v>1954.72</v>
      </c>
    </row>
    <row r="2844" spans="1:2" ht="16.149999999999999" customHeight="1">
      <c r="A2844" s="877">
        <v>36404</v>
      </c>
      <c r="B2844" s="880">
        <v>1941.25</v>
      </c>
    </row>
    <row r="2845" spans="1:2" ht="16.149999999999999" customHeight="1">
      <c r="A2845" s="877">
        <v>36405</v>
      </c>
      <c r="B2845" s="878">
        <v>1934.46</v>
      </c>
    </row>
    <row r="2846" spans="1:2" ht="16.149999999999999" customHeight="1">
      <c r="A2846" s="877">
        <v>36406</v>
      </c>
      <c r="B2846" s="880">
        <v>1943.23</v>
      </c>
    </row>
    <row r="2847" spans="1:2" ht="16.149999999999999" customHeight="1">
      <c r="A2847" s="877">
        <v>36407</v>
      </c>
      <c r="B2847" s="878">
        <v>1943.24</v>
      </c>
    </row>
    <row r="2848" spans="1:2" ht="16.149999999999999" customHeight="1">
      <c r="A2848" s="877">
        <v>36408</v>
      </c>
      <c r="B2848" s="880">
        <v>1943.24</v>
      </c>
    </row>
    <row r="2849" spans="1:2" ht="16.149999999999999" customHeight="1">
      <c r="A2849" s="877">
        <v>36409</v>
      </c>
      <c r="B2849" s="878">
        <v>1943.24</v>
      </c>
    </row>
    <row r="2850" spans="1:2" ht="16.149999999999999" customHeight="1">
      <c r="A2850" s="877">
        <v>36410</v>
      </c>
      <c r="B2850" s="880">
        <v>1947.31</v>
      </c>
    </row>
    <row r="2851" spans="1:2" ht="16.149999999999999" customHeight="1">
      <c r="A2851" s="877">
        <v>36411</v>
      </c>
      <c r="B2851" s="878">
        <v>1969.82</v>
      </c>
    </row>
    <row r="2852" spans="1:2" ht="16.149999999999999" customHeight="1">
      <c r="A2852" s="877">
        <v>36412</v>
      </c>
      <c r="B2852" s="880">
        <v>1972.35</v>
      </c>
    </row>
    <row r="2853" spans="1:2" ht="16.149999999999999" customHeight="1">
      <c r="A2853" s="877">
        <v>36413</v>
      </c>
      <c r="B2853" s="878">
        <v>1976.07</v>
      </c>
    </row>
    <row r="2854" spans="1:2" ht="16.149999999999999" customHeight="1">
      <c r="A2854" s="877">
        <v>36414</v>
      </c>
      <c r="B2854" s="880">
        <v>1981.41</v>
      </c>
    </row>
    <row r="2855" spans="1:2" ht="16.149999999999999" customHeight="1">
      <c r="A2855" s="877">
        <v>36415</v>
      </c>
      <c r="B2855" s="878">
        <v>1981.41</v>
      </c>
    </row>
    <row r="2856" spans="1:2" ht="16.149999999999999" customHeight="1">
      <c r="A2856" s="877">
        <v>36416</v>
      </c>
      <c r="B2856" s="880">
        <v>1981.41</v>
      </c>
    </row>
    <row r="2857" spans="1:2" ht="16.149999999999999" customHeight="1">
      <c r="A2857" s="877">
        <v>36417</v>
      </c>
      <c r="B2857" s="878">
        <v>1977.85</v>
      </c>
    </row>
    <row r="2858" spans="1:2" ht="16.149999999999999" customHeight="1">
      <c r="A2858" s="877">
        <v>36418</v>
      </c>
      <c r="B2858" s="880">
        <v>1970.54</v>
      </c>
    </row>
    <row r="2859" spans="1:2" ht="16.149999999999999" customHeight="1">
      <c r="A2859" s="877">
        <v>36419</v>
      </c>
      <c r="B2859" s="878">
        <v>1967.58</v>
      </c>
    </row>
    <row r="2860" spans="1:2" ht="16.149999999999999" customHeight="1">
      <c r="A2860" s="877">
        <v>36420</v>
      </c>
      <c r="B2860" s="880">
        <v>1977.52</v>
      </c>
    </row>
    <row r="2861" spans="1:2" ht="16.149999999999999" customHeight="1">
      <c r="A2861" s="877">
        <v>36421</v>
      </c>
      <c r="B2861" s="878">
        <v>1987.08</v>
      </c>
    </row>
    <row r="2862" spans="1:2" ht="16.149999999999999" customHeight="1">
      <c r="A2862" s="877">
        <v>36422</v>
      </c>
      <c r="B2862" s="880">
        <v>1987.08</v>
      </c>
    </row>
    <row r="2863" spans="1:2" ht="16.149999999999999" customHeight="1">
      <c r="A2863" s="877">
        <v>36423</v>
      </c>
      <c r="B2863" s="878">
        <v>1987.08</v>
      </c>
    </row>
    <row r="2864" spans="1:2" ht="16.149999999999999" customHeight="1">
      <c r="A2864" s="877">
        <v>36424</v>
      </c>
      <c r="B2864" s="880">
        <v>1981.64</v>
      </c>
    </row>
    <row r="2865" spans="1:2" ht="16.149999999999999" customHeight="1">
      <c r="A2865" s="877">
        <v>36425</v>
      </c>
      <c r="B2865" s="878">
        <v>1975.46</v>
      </c>
    </row>
    <row r="2866" spans="1:2" ht="16.149999999999999" customHeight="1">
      <c r="A2866" s="877">
        <v>36426</v>
      </c>
      <c r="B2866" s="880">
        <v>1992.36</v>
      </c>
    </row>
    <row r="2867" spans="1:2" ht="16.149999999999999" customHeight="1">
      <c r="A2867" s="877">
        <v>36427</v>
      </c>
      <c r="B2867" s="878">
        <v>1994.86</v>
      </c>
    </row>
    <row r="2868" spans="1:2" ht="16.149999999999999" customHeight="1">
      <c r="A2868" s="877">
        <v>36428</v>
      </c>
      <c r="B2868" s="880">
        <v>1995.64</v>
      </c>
    </row>
    <row r="2869" spans="1:2" ht="16.149999999999999" customHeight="1">
      <c r="A2869" s="877">
        <v>36429</v>
      </c>
      <c r="B2869" s="878">
        <v>1995.64</v>
      </c>
    </row>
    <row r="2870" spans="1:2" ht="16.149999999999999" customHeight="1">
      <c r="A2870" s="877">
        <v>36430</v>
      </c>
      <c r="B2870" s="880">
        <v>1995.64</v>
      </c>
    </row>
    <row r="2871" spans="1:2" ht="16.149999999999999" customHeight="1">
      <c r="A2871" s="877">
        <v>36431</v>
      </c>
      <c r="B2871" s="878">
        <v>2013.24</v>
      </c>
    </row>
    <row r="2872" spans="1:2" ht="16.149999999999999" customHeight="1">
      <c r="A2872" s="877">
        <v>36432</v>
      </c>
      <c r="B2872" s="880">
        <v>2003.82</v>
      </c>
    </row>
    <row r="2873" spans="1:2" ht="16.149999999999999" customHeight="1">
      <c r="A2873" s="877">
        <v>36433</v>
      </c>
      <c r="B2873" s="878">
        <v>2017.27</v>
      </c>
    </row>
    <row r="2874" spans="1:2" ht="16.149999999999999" customHeight="1">
      <c r="A2874" s="877">
        <v>36434</v>
      </c>
      <c r="B2874" s="880">
        <v>2015.15</v>
      </c>
    </row>
    <row r="2875" spans="1:2" ht="16.149999999999999" customHeight="1">
      <c r="A2875" s="877">
        <v>36435</v>
      </c>
      <c r="B2875" s="878">
        <v>2004.22</v>
      </c>
    </row>
    <row r="2876" spans="1:2" ht="16.149999999999999" customHeight="1">
      <c r="A2876" s="877">
        <v>36436</v>
      </c>
      <c r="B2876" s="880">
        <v>2004.22</v>
      </c>
    </row>
    <row r="2877" spans="1:2" ht="16.149999999999999" customHeight="1">
      <c r="A2877" s="877">
        <v>36437</v>
      </c>
      <c r="B2877" s="878">
        <v>2004.22</v>
      </c>
    </row>
    <row r="2878" spans="1:2" ht="16.149999999999999" customHeight="1">
      <c r="A2878" s="877">
        <v>36438</v>
      </c>
      <c r="B2878" s="880">
        <v>1992.65</v>
      </c>
    </row>
    <row r="2879" spans="1:2" ht="16.149999999999999" customHeight="1">
      <c r="A2879" s="877">
        <v>36439</v>
      </c>
      <c r="B2879" s="878">
        <v>2000.48</v>
      </c>
    </row>
    <row r="2880" spans="1:2" ht="16.149999999999999" customHeight="1">
      <c r="A2880" s="877">
        <v>36440</v>
      </c>
      <c r="B2880" s="880">
        <v>1995.71</v>
      </c>
    </row>
    <row r="2881" spans="1:2" ht="16.149999999999999" customHeight="1">
      <c r="A2881" s="877">
        <v>36441</v>
      </c>
      <c r="B2881" s="878">
        <v>1993.18</v>
      </c>
    </row>
    <row r="2882" spans="1:2" ht="16.149999999999999" customHeight="1">
      <c r="A2882" s="877">
        <v>36442</v>
      </c>
      <c r="B2882" s="880">
        <v>1992.74</v>
      </c>
    </row>
    <row r="2883" spans="1:2" ht="16.149999999999999" customHeight="1">
      <c r="A2883" s="877">
        <v>36443</v>
      </c>
      <c r="B2883" s="878">
        <v>1992.74</v>
      </c>
    </row>
    <row r="2884" spans="1:2" ht="16.149999999999999" customHeight="1">
      <c r="A2884" s="877">
        <v>36444</v>
      </c>
      <c r="B2884" s="880">
        <v>1992.74</v>
      </c>
    </row>
    <row r="2885" spans="1:2" ht="16.149999999999999" customHeight="1">
      <c r="A2885" s="877">
        <v>36445</v>
      </c>
      <c r="B2885" s="878">
        <v>1992.03</v>
      </c>
    </row>
    <row r="2886" spans="1:2" ht="16.149999999999999" customHeight="1">
      <c r="A2886" s="877">
        <v>36446</v>
      </c>
      <c r="B2886" s="880">
        <v>1988.7</v>
      </c>
    </row>
    <row r="2887" spans="1:2" ht="16.149999999999999" customHeight="1">
      <c r="A2887" s="877">
        <v>36447</v>
      </c>
      <c r="B2887" s="878">
        <v>1981.14</v>
      </c>
    </row>
    <row r="2888" spans="1:2" ht="16.149999999999999" customHeight="1">
      <c r="A2888" s="877">
        <v>36448</v>
      </c>
      <c r="B2888" s="880">
        <v>1975.8</v>
      </c>
    </row>
    <row r="2889" spans="1:2" ht="16.149999999999999" customHeight="1">
      <c r="A2889" s="877">
        <v>36449</v>
      </c>
      <c r="B2889" s="878">
        <v>1977.04</v>
      </c>
    </row>
    <row r="2890" spans="1:2" ht="16.149999999999999" customHeight="1">
      <c r="A2890" s="877">
        <v>36450</v>
      </c>
      <c r="B2890" s="880">
        <v>1977.04</v>
      </c>
    </row>
    <row r="2891" spans="1:2" ht="16.149999999999999" customHeight="1">
      <c r="A2891" s="877">
        <v>36451</v>
      </c>
      <c r="B2891" s="878">
        <v>1977.04</v>
      </c>
    </row>
    <row r="2892" spans="1:2" ht="16.149999999999999" customHeight="1">
      <c r="A2892" s="877">
        <v>36452</v>
      </c>
      <c r="B2892" s="880">
        <v>1977.04</v>
      </c>
    </row>
    <row r="2893" spans="1:2" ht="16.149999999999999" customHeight="1">
      <c r="A2893" s="877">
        <v>36453</v>
      </c>
      <c r="B2893" s="878">
        <v>1965.92</v>
      </c>
    </row>
    <row r="2894" spans="1:2" ht="16.149999999999999" customHeight="1">
      <c r="A2894" s="877">
        <v>36454</v>
      </c>
      <c r="B2894" s="880">
        <v>1957.53</v>
      </c>
    </row>
    <row r="2895" spans="1:2" ht="16.149999999999999" customHeight="1">
      <c r="A2895" s="877">
        <v>36455</v>
      </c>
      <c r="B2895" s="878">
        <v>1946</v>
      </c>
    </row>
    <row r="2896" spans="1:2" ht="16.149999999999999" customHeight="1">
      <c r="A2896" s="877">
        <v>36456</v>
      </c>
      <c r="B2896" s="880">
        <v>1946.24</v>
      </c>
    </row>
    <row r="2897" spans="1:2" ht="16.149999999999999" customHeight="1">
      <c r="A2897" s="877">
        <v>36457</v>
      </c>
      <c r="B2897" s="878">
        <v>1946.24</v>
      </c>
    </row>
    <row r="2898" spans="1:2" ht="16.149999999999999" customHeight="1">
      <c r="A2898" s="877">
        <v>36458</v>
      </c>
      <c r="B2898" s="880">
        <v>1946.24</v>
      </c>
    </row>
    <row r="2899" spans="1:2" ht="16.149999999999999" customHeight="1">
      <c r="A2899" s="877">
        <v>36459</v>
      </c>
      <c r="B2899" s="878">
        <v>1949.33</v>
      </c>
    </row>
    <row r="2900" spans="1:2" ht="16.149999999999999" customHeight="1">
      <c r="A2900" s="877">
        <v>36460</v>
      </c>
      <c r="B2900" s="880">
        <v>1966.07</v>
      </c>
    </row>
    <row r="2901" spans="1:2" ht="16.149999999999999" customHeight="1">
      <c r="A2901" s="877">
        <v>36461</v>
      </c>
      <c r="B2901" s="878">
        <v>1968.9</v>
      </c>
    </row>
    <row r="2902" spans="1:2" ht="16.149999999999999" customHeight="1">
      <c r="A2902" s="877">
        <v>36462</v>
      </c>
      <c r="B2902" s="880">
        <v>1965.44</v>
      </c>
    </row>
    <row r="2903" spans="1:2" ht="16.149999999999999" customHeight="1">
      <c r="A2903" s="877">
        <v>36463</v>
      </c>
      <c r="B2903" s="878">
        <v>1971.59</v>
      </c>
    </row>
    <row r="2904" spans="1:2" ht="16.149999999999999" customHeight="1">
      <c r="A2904" s="877">
        <v>36464</v>
      </c>
      <c r="B2904" s="880">
        <v>1971.59</v>
      </c>
    </row>
    <row r="2905" spans="1:2" ht="16.149999999999999" customHeight="1">
      <c r="A2905" s="877">
        <v>36465</v>
      </c>
      <c r="B2905" s="878">
        <v>1971.59</v>
      </c>
    </row>
    <row r="2906" spans="1:2" ht="16.149999999999999" customHeight="1">
      <c r="A2906" s="877">
        <v>36466</v>
      </c>
      <c r="B2906" s="880">
        <v>1971.59</v>
      </c>
    </row>
    <row r="2907" spans="1:2" ht="16.149999999999999" customHeight="1">
      <c r="A2907" s="877">
        <v>36467</v>
      </c>
      <c r="B2907" s="878">
        <v>1966.5</v>
      </c>
    </row>
    <row r="2908" spans="1:2" ht="16.149999999999999" customHeight="1">
      <c r="A2908" s="877">
        <v>36468</v>
      </c>
      <c r="B2908" s="880">
        <v>1960.7</v>
      </c>
    </row>
    <row r="2909" spans="1:2" ht="16.149999999999999" customHeight="1">
      <c r="A2909" s="877">
        <v>36469</v>
      </c>
      <c r="B2909" s="878">
        <v>1962.16</v>
      </c>
    </row>
    <row r="2910" spans="1:2" ht="16.149999999999999" customHeight="1">
      <c r="A2910" s="877">
        <v>36470</v>
      </c>
      <c r="B2910" s="880">
        <v>1959.46</v>
      </c>
    </row>
    <row r="2911" spans="1:2" ht="16.149999999999999" customHeight="1">
      <c r="A2911" s="877">
        <v>36471</v>
      </c>
      <c r="B2911" s="878">
        <v>1959.46</v>
      </c>
    </row>
    <row r="2912" spans="1:2" ht="16.149999999999999" customHeight="1">
      <c r="A2912" s="877">
        <v>36472</v>
      </c>
      <c r="B2912" s="880">
        <v>1959.46</v>
      </c>
    </row>
    <row r="2913" spans="1:2" ht="16.149999999999999" customHeight="1">
      <c r="A2913" s="877">
        <v>36473</v>
      </c>
      <c r="B2913" s="878">
        <v>1954.56</v>
      </c>
    </row>
    <row r="2914" spans="1:2" ht="16.149999999999999" customHeight="1">
      <c r="A2914" s="877">
        <v>36474</v>
      </c>
      <c r="B2914" s="880">
        <v>1948.05</v>
      </c>
    </row>
    <row r="2915" spans="1:2" ht="16.149999999999999" customHeight="1">
      <c r="A2915" s="877">
        <v>36475</v>
      </c>
      <c r="B2915" s="878">
        <v>1951.11</v>
      </c>
    </row>
    <row r="2916" spans="1:2" ht="16.149999999999999" customHeight="1">
      <c r="A2916" s="877">
        <v>36476</v>
      </c>
      <c r="B2916" s="880">
        <v>1958.41</v>
      </c>
    </row>
    <row r="2917" spans="1:2" ht="16.149999999999999" customHeight="1">
      <c r="A2917" s="877">
        <v>36477</v>
      </c>
      <c r="B2917" s="878">
        <v>1961.8</v>
      </c>
    </row>
    <row r="2918" spans="1:2" ht="16.149999999999999" customHeight="1">
      <c r="A2918" s="877">
        <v>36478</v>
      </c>
      <c r="B2918" s="880">
        <v>1961.8</v>
      </c>
    </row>
    <row r="2919" spans="1:2" ht="16.149999999999999" customHeight="1">
      <c r="A2919" s="877">
        <v>36479</v>
      </c>
      <c r="B2919" s="878">
        <v>1961.8</v>
      </c>
    </row>
    <row r="2920" spans="1:2" ht="16.149999999999999" customHeight="1">
      <c r="A2920" s="877">
        <v>36480</v>
      </c>
      <c r="B2920" s="880">
        <v>1961.8</v>
      </c>
    </row>
    <row r="2921" spans="1:2" ht="16.149999999999999" customHeight="1">
      <c r="A2921" s="877">
        <v>36481</v>
      </c>
      <c r="B2921" s="878">
        <v>1961.7</v>
      </c>
    </row>
    <row r="2922" spans="1:2" ht="16.149999999999999" customHeight="1">
      <c r="A2922" s="877">
        <v>36482</v>
      </c>
      <c r="B2922" s="880">
        <v>1946.27</v>
      </c>
    </row>
    <row r="2923" spans="1:2" ht="16.149999999999999" customHeight="1">
      <c r="A2923" s="877">
        <v>36483</v>
      </c>
      <c r="B2923" s="878">
        <v>1927.47</v>
      </c>
    </row>
    <row r="2924" spans="1:2" ht="16.149999999999999" customHeight="1">
      <c r="A2924" s="877">
        <v>36484</v>
      </c>
      <c r="B2924" s="880">
        <v>1925.11</v>
      </c>
    </row>
    <row r="2925" spans="1:2" ht="16.149999999999999" customHeight="1">
      <c r="A2925" s="877">
        <v>36485</v>
      </c>
      <c r="B2925" s="878">
        <v>1925.11</v>
      </c>
    </row>
    <row r="2926" spans="1:2" ht="16.149999999999999" customHeight="1">
      <c r="A2926" s="877">
        <v>36486</v>
      </c>
      <c r="B2926" s="880">
        <v>1925.11</v>
      </c>
    </row>
    <row r="2927" spans="1:2" ht="16.149999999999999" customHeight="1">
      <c r="A2927" s="877">
        <v>36487</v>
      </c>
      <c r="B2927" s="878">
        <v>1935.48</v>
      </c>
    </row>
    <row r="2928" spans="1:2" ht="16.149999999999999" customHeight="1">
      <c r="A2928" s="877">
        <v>36488</v>
      </c>
      <c r="B2928" s="880">
        <v>1925</v>
      </c>
    </row>
    <row r="2929" spans="1:2" ht="16.149999999999999" customHeight="1">
      <c r="A2929" s="877">
        <v>36489</v>
      </c>
      <c r="B2929" s="878">
        <v>1912.86</v>
      </c>
    </row>
    <row r="2930" spans="1:2" ht="16.149999999999999" customHeight="1">
      <c r="A2930" s="877">
        <v>36490</v>
      </c>
      <c r="B2930" s="880">
        <v>1918.85</v>
      </c>
    </row>
    <row r="2931" spans="1:2" ht="16.149999999999999" customHeight="1">
      <c r="A2931" s="877">
        <v>36491</v>
      </c>
      <c r="B2931" s="878">
        <v>1921.93</v>
      </c>
    </row>
    <row r="2932" spans="1:2" ht="16.149999999999999" customHeight="1">
      <c r="A2932" s="877">
        <v>36492</v>
      </c>
      <c r="B2932" s="880">
        <v>1921.93</v>
      </c>
    </row>
    <row r="2933" spans="1:2" ht="16.149999999999999" customHeight="1">
      <c r="A2933" s="877">
        <v>36493</v>
      </c>
      <c r="B2933" s="878">
        <v>1921.93</v>
      </c>
    </row>
    <row r="2934" spans="1:2" ht="16.149999999999999" customHeight="1">
      <c r="A2934" s="877">
        <v>36494</v>
      </c>
      <c r="B2934" s="880">
        <v>1923.77</v>
      </c>
    </row>
    <row r="2935" spans="1:2" ht="16.149999999999999" customHeight="1">
      <c r="A2935" s="877">
        <v>36495</v>
      </c>
      <c r="B2935" s="878">
        <v>1922.47</v>
      </c>
    </row>
    <row r="2936" spans="1:2" ht="16.149999999999999" customHeight="1">
      <c r="A2936" s="877">
        <v>36496</v>
      </c>
      <c r="B2936" s="880">
        <v>1918.63</v>
      </c>
    </row>
    <row r="2937" spans="1:2" ht="16.149999999999999" customHeight="1">
      <c r="A2937" s="877">
        <v>36497</v>
      </c>
      <c r="B2937" s="878">
        <v>1911.35</v>
      </c>
    </row>
    <row r="2938" spans="1:2" ht="16.149999999999999" customHeight="1">
      <c r="A2938" s="877">
        <v>36498</v>
      </c>
      <c r="B2938" s="880">
        <v>1903.8</v>
      </c>
    </row>
    <row r="2939" spans="1:2" ht="16.149999999999999" customHeight="1">
      <c r="A2939" s="877">
        <v>36499</v>
      </c>
      <c r="B2939" s="878">
        <v>1903.8</v>
      </c>
    </row>
    <row r="2940" spans="1:2" ht="16.149999999999999" customHeight="1">
      <c r="A2940" s="877">
        <v>36500</v>
      </c>
      <c r="B2940" s="880">
        <v>1903.8</v>
      </c>
    </row>
    <row r="2941" spans="1:2" ht="16.149999999999999" customHeight="1">
      <c r="A2941" s="877">
        <v>36501</v>
      </c>
      <c r="B2941" s="878">
        <v>1886.46</v>
      </c>
    </row>
    <row r="2942" spans="1:2" ht="16.149999999999999" customHeight="1">
      <c r="A2942" s="877">
        <v>36502</v>
      </c>
      <c r="B2942" s="880">
        <v>1888.99</v>
      </c>
    </row>
    <row r="2943" spans="1:2" ht="16.149999999999999" customHeight="1">
      <c r="A2943" s="877">
        <v>36503</v>
      </c>
      <c r="B2943" s="878">
        <v>1888.99</v>
      </c>
    </row>
    <row r="2944" spans="1:2" ht="16.149999999999999" customHeight="1">
      <c r="A2944" s="877">
        <v>36504</v>
      </c>
      <c r="B2944" s="880">
        <v>1906.91</v>
      </c>
    </row>
    <row r="2945" spans="1:2" ht="16.149999999999999" customHeight="1">
      <c r="A2945" s="877">
        <v>36505</v>
      </c>
      <c r="B2945" s="878">
        <v>1900.22</v>
      </c>
    </row>
    <row r="2946" spans="1:2" ht="16.149999999999999" customHeight="1">
      <c r="A2946" s="877">
        <v>36506</v>
      </c>
      <c r="B2946" s="880">
        <v>1900.22</v>
      </c>
    </row>
    <row r="2947" spans="1:2" ht="16.149999999999999" customHeight="1">
      <c r="A2947" s="877">
        <v>36507</v>
      </c>
      <c r="B2947" s="878">
        <v>1900.22</v>
      </c>
    </row>
    <row r="2948" spans="1:2" ht="16.149999999999999" customHeight="1">
      <c r="A2948" s="877">
        <v>36508</v>
      </c>
      <c r="B2948" s="880">
        <v>1905.5</v>
      </c>
    </row>
    <row r="2949" spans="1:2" ht="16.149999999999999" customHeight="1">
      <c r="A2949" s="877">
        <v>36509</v>
      </c>
      <c r="B2949" s="878">
        <v>1891.67</v>
      </c>
    </row>
    <row r="2950" spans="1:2" ht="16.149999999999999" customHeight="1">
      <c r="A2950" s="877">
        <v>36510</v>
      </c>
      <c r="B2950" s="880">
        <v>1874.14</v>
      </c>
    </row>
    <row r="2951" spans="1:2" ht="16.149999999999999" customHeight="1">
      <c r="A2951" s="877">
        <v>36511</v>
      </c>
      <c r="B2951" s="878">
        <v>1879.55</v>
      </c>
    </row>
    <row r="2952" spans="1:2" ht="16.149999999999999" customHeight="1">
      <c r="A2952" s="877">
        <v>36512</v>
      </c>
      <c r="B2952" s="880">
        <v>1867.02</v>
      </c>
    </row>
    <row r="2953" spans="1:2" ht="16.149999999999999" customHeight="1">
      <c r="A2953" s="877">
        <v>36513</v>
      </c>
      <c r="B2953" s="878">
        <v>1867.02</v>
      </c>
    </row>
    <row r="2954" spans="1:2" ht="16.149999999999999" customHeight="1">
      <c r="A2954" s="877">
        <v>36514</v>
      </c>
      <c r="B2954" s="880">
        <v>1867.02</v>
      </c>
    </row>
    <row r="2955" spans="1:2" ht="16.149999999999999" customHeight="1">
      <c r="A2955" s="877">
        <v>36515</v>
      </c>
      <c r="B2955" s="878">
        <v>1868.47</v>
      </c>
    </row>
    <row r="2956" spans="1:2" ht="16.149999999999999" customHeight="1">
      <c r="A2956" s="877">
        <v>36516</v>
      </c>
      <c r="B2956" s="880">
        <v>1884.64</v>
      </c>
    </row>
    <row r="2957" spans="1:2" ht="16.149999999999999" customHeight="1">
      <c r="A2957" s="877">
        <v>36517</v>
      </c>
      <c r="B2957" s="878">
        <v>1886.27</v>
      </c>
    </row>
    <row r="2958" spans="1:2" ht="16.149999999999999" customHeight="1">
      <c r="A2958" s="877">
        <v>36518</v>
      </c>
      <c r="B2958" s="880">
        <v>1874.77</v>
      </c>
    </row>
    <row r="2959" spans="1:2" ht="16.149999999999999" customHeight="1">
      <c r="A2959" s="877">
        <v>36519</v>
      </c>
      <c r="B2959" s="878">
        <v>1874.58</v>
      </c>
    </row>
    <row r="2960" spans="1:2" ht="16.149999999999999" customHeight="1">
      <c r="A2960" s="877">
        <v>36520</v>
      </c>
      <c r="B2960" s="880">
        <v>1874.58</v>
      </c>
    </row>
    <row r="2961" spans="1:2" ht="16.149999999999999" customHeight="1">
      <c r="A2961" s="877">
        <v>36521</v>
      </c>
      <c r="B2961" s="878">
        <v>1874.58</v>
      </c>
    </row>
    <row r="2962" spans="1:2" ht="16.149999999999999" customHeight="1">
      <c r="A2962" s="877">
        <v>36522</v>
      </c>
      <c r="B2962" s="880">
        <v>1870.65</v>
      </c>
    </row>
    <row r="2963" spans="1:2" ht="16.149999999999999" customHeight="1">
      <c r="A2963" s="877">
        <v>36523</v>
      </c>
      <c r="B2963" s="878">
        <v>1867.82</v>
      </c>
    </row>
    <row r="2964" spans="1:2" ht="16.149999999999999" customHeight="1">
      <c r="A2964" s="877">
        <v>36524</v>
      </c>
      <c r="B2964" s="880">
        <v>1873.77</v>
      </c>
    </row>
    <row r="2965" spans="1:2" ht="16.149999999999999" customHeight="1">
      <c r="A2965" s="877">
        <v>36525</v>
      </c>
      <c r="B2965" s="878">
        <v>1873.77</v>
      </c>
    </row>
    <row r="2966" spans="1:2" ht="16.149999999999999" customHeight="1">
      <c r="A2966" s="877">
        <v>36526</v>
      </c>
      <c r="B2966" s="880">
        <v>1873.77</v>
      </c>
    </row>
    <row r="2967" spans="1:2" ht="16.149999999999999" customHeight="1">
      <c r="A2967" s="877">
        <v>36527</v>
      </c>
      <c r="B2967" s="878">
        <v>1873.77</v>
      </c>
    </row>
    <row r="2968" spans="1:2" ht="16.149999999999999" customHeight="1">
      <c r="A2968" s="877">
        <v>36528</v>
      </c>
      <c r="B2968" s="880">
        <v>1873.77</v>
      </c>
    </row>
    <row r="2969" spans="1:2" ht="16.149999999999999" customHeight="1">
      <c r="A2969" s="877">
        <v>36529</v>
      </c>
      <c r="B2969" s="878">
        <v>1874.35</v>
      </c>
    </row>
    <row r="2970" spans="1:2" ht="16.149999999999999" customHeight="1">
      <c r="A2970" s="877">
        <v>36530</v>
      </c>
      <c r="B2970" s="880">
        <v>1895.97</v>
      </c>
    </row>
    <row r="2971" spans="1:2" ht="16.149999999999999" customHeight="1">
      <c r="A2971" s="877">
        <v>36531</v>
      </c>
      <c r="B2971" s="878">
        <v>1912.69</v>
      </c>
    </row>
    <row r="2972" spans="1:2" ht="16.149999999999999" customHeight="1">
      <c r="A2972" s="877">
        <v>36532</v>
      </c>
      <c r="B2972" s="880">
        <v>1911.33</v>
      </c>
    </row>
    <row r="2973" spans="1:2" ht="16.149999999999999" customHeight="1">
      <c r="A2973" s="877">
        <v>36533</v>
      </c>
      <c r="B2973" s="878">
        <v>1900.14</v>
      </c>
    </row>
    <row r="2974" spans="1:2" ht="16.149999999999999" customHeight="1">
      <c r="A2974" s="877">
        <v>36534</v>
      </c>
      <c r="B2974" s="880">
        <v>1900.14</v>
      </c>
    </row>
    <row r="2975" spans="1:2" ht="16.149999999999999" customHeight="1">
      <c r="A2975" s="877">
        <v>36535</v>
      </c>
      <c r="B2975" s="878">
        <v>1900.14</v>
      </c>
    </row>
    <row r="2976" spans="1:2" ht="16.149999999999999" customHeight="1">
      <c r="A2976" s="877">
        <v>36536</v>
      </c>
      <c r="B2976" s="880">
        <v>1900.14</v>
      </c>
    </row>
    <row r="2977" spans="1:2" ht="16.149999999999999" customHeight="1">
      <c r="A2977" s="877">
        <v>36537</v>
      </c>
      <c r="B2977" s="878">
        <v>1902.25</v>
      </c>
    </row>
    <row r="2978" spans="1:2" ht="16.149999999999999" customHeight="1">
      <c r="A2978" s="877">
        <v>36538</v>
      </c>
      <c r="B2978" s="880">
        <v>1904.54</v>
      </c>
    </row>
    <row r="2979" spans="1:2" ht="16.149999999999999" customHeight="1">
      <c r="A2979" s="877">
        <v>36539</v>
      </c>
      <c r="B2979" s="878">
        <v>1917.38</v>
      </c>
    </row>
    <row r="2980" spans="1:2" ht="16.149999999999999" customHeight="1">
      <c r="A2980" s="877">
        <v>36540</v>
      </c>
      <c r="B2980" s="880">
        <v>1920.83</v>
      </c>
    </row>
    <row r="2981" spans="1:2" ht="16.149999999999999" customHeight="1">
      <c r="A2981" s="877">
        <v>36541</v>
      </c>
      <c r="B2981" s="878">
        <v>1920.83</v>
      </c>
    </row>
    <row r="2982" spans="1:2" ht="16.149999999999999" customHeight="1">
      <c r="A2982" s="877">
        <v>36542</v>
      </c>
      <c r="B2982" s="880">
        <v>1920.83</v>
      </c>
    </row>
    <row r="2983" spans="1:2" ht="16.149999999999999" customHeight="1">
      <c r="A2983" s="877">
        <v>36543</v>
      </c>
      <c r="B2983" s="878">
        <v>1919.21</v>
      </c>
    </row>
    <row r="2984" spans="1:2" ht="16.149999999999999" customHeight="1">
      <c r="A2984" s="877">
        <v>36544</v>
      </c>
      <c r="B2984" s="880">
        <v>1928.51</v>
      </c>
    </row>
    <row r="2985" spans="1:2" ht="16.149999999999999" customHeight="1">
      <c r="A2985" s="877">
        <v>36545</v>
      </c>
      <c r="B2985" s="878">
        <v>1945.17</v>
      </c>
    </row>
    <row r="2986" spans="1:2" ht="16.149999999999999" customHeight="1">
      <c r="A2986" s="877">
        <v>36546</v>
      </c>
      <c r="B2986" s="880">
        <v>1938.84</v>
      </c>
    </row>
    <row r="2987" spans="1:2" ht="16.149999999999999" customHeight="1">
      <c r="A2987" s="877">
        <v>36547</v>
      </c>
      <c r="B2987" s="878">
        <v>1931.97</v>
      </c>
    </row>
    <row r="2988" spans="1:2" ht="16.149999999999999" customHeight="1">
      <c r="A2988" s="877">
        <v>36548</v>
      </c>
      <c r="B2988" s="880">
        <v>1931.97</v>
      </c>
    </row>
    <row r="2989" spans="1:2" ht="16.149999999999999" customHeight="1">
      <c r="A2989" s="877">
        <v>36549</v>
      </c>
      <c r="B2989" s="878">
        <v>1931.97</v>
      </c>
    </row>
    <row r="2990" spans="1:2" ht="16.149999999999999" customHeight="1">
      <c r="A2990" s="877">
        <v>36550</v>
      </c>
      <c r="B2990" s="880">
        <v>1943.88</v>
      </c>
    </row>
    <row r="2991" spans="1:2" ht="16.149999999999999" customHeight="1">
      <c r="A2991" s="877">
        <v>36551</v>
      </c>
      <c r="B2991" s="878">
        <v>1939.63</v>
      </c>
    </row>
    <row r="2992" spans="1:2" ht="16.149999999999999" customHeight="1">
      <c r="A2992" s="877">
        <v>36552</v>
      </c>
      <c r="B2992" s="880">
        <v>1958.17</v>
      </c>
    </row>
    <row r="2993" spans="1:2" ht="16.149999999999999" customHeight="1">
      <c r="A2993" s="877">
        <v>36553</v>
      </c>
      <c r="B2993" s="878">
        <v>1976.14</v>
      </c>
    </row>
    <row r="2994" spans="1:2" ht="16.149999999999999" customHeight="1">
      <c r="A2994" s="877">
        <v>36554</v>
      </c>
      <c r="B2994" s="880">
        <v>1976.72</v>
      </c>
    </row>
    <row r="2995" spans="1:2" ht="16.149999999999999" customHeight="1">
      <c r="A2995" s="877">
        <v>36555</v>
      </c>
      <c r="B2995" s="878">
        <v>1976.72</v>
      </c>
    </row>
    <row r="2996" spans="1:2" ht="16.149999999999999" customHeight="1">
      <c r="A2996" s="877">
        <v>36556</v>
      </c>
      <c r="B2996" s="880">
        <v>1976.72</v>
      </c>
    </row>
    <row r="2997" spans="1:2" ht="16.149999999999999" customHeight="1">
      <c r="A2997" s="877">
        <v>36557</v>
      </c>
      <c r="B2997" s="878">
        <v>1973.36</v>
      </c>
    </row>
    <row r="2998" spans="1:2" ht="16.149999999999999" customHeight="1">
      <c r="A2998" s="877">
        <v>36558</v>
      </c>
      <c r="B2998" s="880">
        <v>1970.61</v>
      </c>
    </row>
    <row r="2999" spans="1:2" ht="16.149999999999999" customHeight="1">
      <c r="A2999" s="877">
        <v>36559</v>
      </c>
      <c r="B2999" s="878">
        <v>1965.61</v>
      </c>
    </row>
    <row r="3000" spans="1:2" ht="16.149999999999999" customHeight="1">
      <c r="A3000" s="877">
        <v>36560</v>
      </c>
      <c r="B3000" s="880">
        <v>1947.55</v>
      </c>
    </row>
    <row r="3001" spans="1:2" ht="16.149999999999999" customHeight="1">
      <c r="A3001" s="877">
        <v>36561</v>
      </c>
      <c r="B3001" s="878">
        <v>1948.6</v>
      </c>
    </row>
    <row r="3002" spans="1:2" ht="16.149999999999999" customHeight="1">
      <c r="A3002" s="877">
        <v>36562</v>
      </c>
      <c r="B3002" s="880">
        <v>1948.6</v>
      </c>
    </row>
    <row r="3003" spans="1:2" ht="16.149999999999999" customHeight="1">
      <c r="A3003" s="877">
        <v>36563</v>
      </c>
      <c r="B3003" s="878">
        <v>1948.6</v>
      </c>
    </row>
    <row r="3004" spans="1:2" ht="16.149999999999999" customHeight="1">
      <c r="A3004" s="877">
        <v>36564</v>
      </c>
      <c r="B3004" s="880">
        <v>1950.59</v>
      </c>
    </row>
    <row r="3005" spans="1:2" ht="16.149999999999999" customHeight="1">
      <c r="A3005" s="877">
        <v>36565</v>
      </c>
      <c r="B3005" s="878">
        <v>1949.54</v>
      </c>
    </row>
    <row r="3006" spans="1:2" ht="16.149999999999999" customHeight="1">
      <c r="A3006" s="877">
        <v>36566</v>
      </c>
      <c r="B3006" s="880">
        <v>1946.51</v>
      </c>
    </row>
    <row r="3007" spans="1:2" ht="16.149999999999999" customHeight="1">
      <c r="A3007" s="877">
        <v>36567</v>
      </c>
      <c r="B3007" s="878">
        <v>1952.29</v>
      </c>
    </row>
    <row r="3008" spans="1:2" ht="16.149999999999999" customHeight="1">
      <c r="A3008" s="877">
        <v>36568</v>
      </c>
      <c r="B3008" s="880">
        <v>1948.16</v>
      </c>
    </row>
    <row r="3009" spans="1:2" ht="16.149999999999999" customHeight="1">
      <c r="A3009" s="877">
        <v>36569</v>
      </c>
      <c r="B3009" s="878">
        <v>1948.16</v>
      </c>
    </row>
    <row r="3010" spans="1:2" ht="16.149999999999999" customHeight="1">
      <c r="A3010" s="877">
        <v>36570</v>
      </c>
      <c r="B3010" s="880">
        <v>1948.16</v>
      </c>
    </row>
    <row r="3011" spans="1:2" ht="16.149999999999999" customHeight="1">
      <c r="A3011" s="877">
        <v>36571</v>
      </c>
      <c r="B3011" s="878">
        <v>1950.77</v>
      </c>
    </row>
    <row r="3012" spans="1:2" ht="16.149999999999999" customHeight="1">
      <c r="A3012" s="877">
        <v>36572</v>
      </c>
      <c r="B3012" s="880">
        <v>1949.61</v>
      </c>
    </row>
    <row r="3013" spans="1:2" ht="16.149999999999999" customHeight="1">
      <c r="A3013" s="877">
        <v>36573</v>
      </c>
      <c r="B3013" s="878">
        <v>1946.79</v>
      </c>
    </row>
    <row r="3014" spans="1:2" ht="16.149999999999999" customHeight="1">
      <c r="A3014" s="877">
        <v>36574</v>
      </c>
      <c r="B3014" s="880">
        <v>1945.31</v>
      </c>
    </row>
    <row r="3015" spans="1:2" ht="16.149999999999999" customHeight="1">
      <c r="A3015" s="877">
        <v>36575</v>
      </c>
      <c r="B3015" s="878">
        <v>1947.41</v>
      </c>
    </row>
    <row r="3016" spans="1:2" ht="16.149999999999999" customHeight="1">
      <c r="A3016" s="877">
        <v>36576</v>
      </c>
      <c r="B3016" s="880">
        <v>1947.41</v>
      </c>
    </row>
    <row r="3017" spans="1:2" ht="16.149999999999999" customHeight="1">
      <c r="A3017" s="877">
        <v>36577</v>
      </c>
      <c r="B3017" s="878">
        <v>1947.41</v>
      </c>
    </row>
    <row r="3018" spans="1:2" ht="16.149999999999999" customHeight="1">
      <c r="A3018" s="877">
        <v>36578</v>
      </c>
      <c r="B3018" s="880">
        <v>1943.83</v>
      </c>
    </row>
    <row r="3019" spans="1:2" ht="16.149999999999999" customHeight="1">
      <c r="A3019" s="877">
        <v>36579</v>
      </c>
      <c r="B3019" s="878">
        <v>1941.54</v>
      </c>
    </row>
    <row r="3020" spans="1:2" ht="16.149999999999999" customHeight="1">
      <c r="A3020" s="877">
        <v>36580</v>
      </c>
      <c r="B3020" s="880">
        <v>1944.18</v>
      </c>
    </row>
    <row r="3021" spans="1:2" ht="16.149999999999999" customHeight="1">
      <c r="A3021" s="877">
        <v>36581</v>
      </c>
      <c r="B3021" s="878">
        <v>1947.72</v>
      </c>
    </row>
    <row r="3022" spans="1:2" ht="16.149999999999999" customHeight="1">
      <c r="A3022" s="877">
        <v>36582</v>
      </c>
      <c r="B3022" s="880">
        <v>1947.28</v>
      </c>
    </row>
    <row r="3023" spans="1:2" ht="16.149999999999999" customHeight="1">
      <c r="A3023" s="877">
        <v>36583</v>
      </c>
      <c r="B3023" s="878">
        <v>1947.28</v>
      </c>
    </row>
    <row r="3024" spans="1:2" ht="16.149999999999999" customHeight="1">
      <c r="A3024" s="877">
        <v>36584</v>
      </c>
      <c r="B3024" s="880">
        <v>1947.28</v>
      </c>
    </row>
    <row r="3025" spans="1:2" ht="16.149999999999999" customHeight="1">
      <c r="A3025" s="877">
        <v>36585</v>
      </c>
      <c r="B3025" s="878">
        <v>1946.17</v>
      </c>
    </row>
    <row r="3026" spans="1:2" ht="16.149999999999999" customHeight="1">
      <c r="A3026" s="877">
        <v>36586</v>
      </c>
      <c r="B3026" s="880">
        <v>1948.05</v>
      </c>
    </row>
    <row r="3027" spans="1:2" ht="16.149999999999999" customHeight="1">
      <c r="A3027" s="877">
        <v>36587</v>
      </c>
      <c r="B3027" s="878">
        <v>1950.88</v>
      </c>
    </row>
    <row r="3028" spans="1:2" ht="16.149999999999999" customHeight="1">
      <c r="A3028" s="877">
        <v>36588</v>
      </c>
      <c r="B3028" s="880">
        <v>1956.8</v>
      </c>
    </row>
    <row r="3029" spans="1:2" ht="16.149999999999999" customHeight="1">
      <c r="A3029" s="877">
        <v>36589</v>
      </c>
      <c r="B3029" s="878">
        <v>1961.16</v>
      </c>
    </row>
    <row r="3030" spans="1:2" ht="16.149999999999999" customHeight="1">
      <c r="A3030" s="877">
        <v>36590</v>
      </c>
      <c r="B3030" s="880">
        <v>1961.16</v>
      </c>
    </row>
    <row r="3031" spans="1:2" ht="16.149999999999999" customHeight="1">
      <c r="A3031" s="877">
        <v>36591</v>
      </c>
      <c r="B3031" s="878">
        <v>1961.16</v>
      </c>
    </row>
    <row r="3032" spans="1:2" ht="16.149999999999999" customHeight="1">
      <c r="A3032" s="877">
        <v>36592</v>
      </c>
      <c r="B3032" s="880">
        <v>1965.63</v>
      </c>
    </row>
    <row r="3033" spans="1:2" ht="16.149999999999999" customHeight="1">
      <c r="A3033" s="877">
        <v>36593</v>
      </c>
      <c r="B3033" s="878">
        <v>1964.26</v>
      </c>
    </row>
    <row r="3034" spans="1:2" ht="16.149999999999999" customHeight="1">
      <c r="A3034" s="877">
        <v>36594</v>
      </c>
      <c r="B3034" s="880">
        <v>1960.47</v>
      </c>
    </row>
    <row r="3035" spans="1:2" ht="16.149999999999999" customHeight="1">
      <c r="A3035" s="877">
        <v>36595</v>
      </c>
      <c r="B3035" s="878">
        <v>1959.77</v>
      </c>
    </row>
    <row r="3036" spans="1:2" ht="16.149999999999999" customHeight="1">
      <c r="A3036" s="877">
        <v>36596</v>
      </c>
      <c r="B3036" s="880">
        <v>1958.48</v>
      </c>
    </row>
    <row r="3037" spans="1:2" ht="16.149999999999999" customHeight="1">
      <c r="A3037" s="877">
        <v>36597</v>
      </c>
      <c r="B3037" s="878">
        <v>1958.48</v>
      </c>
    </row>
    <row r="3038" spans="1:2" ht="16.149999999999999" customHeight="1">
      <c r="A3038" s="877">
        <v>36598</v>
      </c>
      <c r="B3038" s="880">
        <v>1958.48</v>
      </c>
    </row>
    <row r="3039" spans="1:2" ht="16.149999999999999" customHeight="1">
      <c r="A3039" s="877">
        <v>36599</v>
      </c>
      <c r="B3039" s="878">
        <v>1957.5</v>
      </c>
    </row>
    <row r="3040" spans="1:2" ht="16.149999999999999" customHeight="1">
      <c r="A3040" s="877">
        <v>36600</v>
      </c>
      <c r="B3040" s="880">
        <v>1955.75</v>
      </c>
    </row>
    <row r="3041" spans="1:2" ht="16.149999999999999" customHeight="1">
      <c r="A3041" s="877">
        <v>36601</v>
      </c>
      <c r="B3041" s="878">
        <v>1954.26</v>
      </c>
    </row>
    <row r="3042" spans="1:2" ht="16.149999999999999" customHeight="1">
      <c r="A3042" s="877">
        <v>36602</v>
      </c>
      <c r="B3042" s="880">
        <v>1950.01</v>
      </c>
    </row>
    <row r="3043" spans="1:2" ht="16.149999999999999" customHeight="1">
      <c r="A3043" s="877">
        <v>36603</v>
      </c>
      <c r="B3043" s="878">
        <v>1952.98</v>
      </c>
    </row>
    <row r="3044" spans="1:2" ht="16.149999999999999" customHeight="1">
      <c r="A3044" s="877">
        <v>36604</v>
      </c>
      <c r="B3044" s="880">
        <v>1952.98</v>
      </c>
    </row>
    <row r="3045" spans="1:2" ht="16.149999999999999" customHeight="1">
      <c r="A3045" s="877">
        <v>36605</v>
      </c>
      <c r="B3045" s="878">
        <v>1952.98</v>
      </c>
    </row>
    <row r="3046" spans="1:2" ht="16.149999999999999" customHeight="1">
      <c r="A3046" s="877">
        <v>36606</v>
      </c>
      <c r="B3046" s="880">
        <v>1952.98</v>
      </c>
    </row>
    <row r="3047" spans="1:2" ht="16.149999999999999" customHeight="1">
      <c r="A3047" s="877">
        <v>36607</v>
      </c>
      <c r="B3047" s="878">
        <v>1956.98</v>
      </c>
    </row>
    <row r="3048" spans="1:2" ht="16.149999999999999" customHeight="1">
      <c r="A3048" s="877">
        <v>36608</v>
      </c>
      <c r="B3048" s="880">
        <v>1959.84</v>
      </c>
    </row>
    <row r="3049" spans="1:2" ht="16.149999999999999" customHeight="1">
      <c r="A3049" s="877">
        <v>36609</v>
      </c>
      <c r="B3049" s="878">
        <v>1954.57</v>
      </c>
    </row>
    <row r="3050" spans="1:2" ht="16.149999999999999" customHeight="1">
      <c r="A3050" s="877">
        <v>36610</v>
      </c>
      <c r="B3050" s="880">
        <v>1954.83</v>
      </c>
    </row>
    <row r="3051" spans="1:2" ht="16.149999999999999" customHeight="1">
      <c r="A3051" s="877">
        <v>36611</v>
      </c>
      <c r="B3051" s="878">
        <v>1954.83</v>
      </c>
    </row>
    <row r="3052" spans="1:2" ht="16.149999999999999" customHeight="1">
      <c r="A3052" s="877">
        <v>36612</v>
      </c>
      <c r="B3052" s="880">
        <v>1954.83</v>
      </c>
    </row>
    <row r="3053" spans="1:2" ht="16.149999999999999" customHeight="1">
      <c r="A3053" s="877">
        <v>36613</v>
      </c>
      <c r="B3053" s="878">
        <v>1958.93</v>
      </c>
    </row>
    <row r="3054" spans="1:2" ht="16.149999999999999" customHeight="1">
      <c r="A3054" s="877">
        <v>36614</v>
      </c>
      <c r="B3054" s="880">
        <v>1955.14</v>
      </c>
    </row>
    <row r="3055" spans="1:2" ht="16.149999999999999" customHeight="1">
      <c r="A3055" s="877">
        <v>36615</v>
      </c>
      <c r="B3055" s="878">
        <v>1949.75</v>
      </c>
    </row>
    <row r="3056" spans="1:2" ht="16.149999999999999" customHeight="1">
      <c r="A3056" s="877">
        <v>36616</v>
      </c>
      <c r="B3056" s="880">
        <v>1951.56</v>
      </c>
    </row>
    <row r="3057" spans="1:2" ht="16.149999999999999" customHeight="1">
      <c r="A3057" s="877">
        <v>36617</v>
      </c>
      <c r="B3057" s="878">
        <v>1958.12</v>
      </c>
    </row>
    <row r="3058" spans="1:2" ht="16.149999999999999" customHeight="1">
      <c r="A3058" s="877">
        <v>36618</v>
      </c>
      <c r="B3058" s="880">
        <v>1958.12</v>
      </c>
    </row>
    <row r="3059" spans="1:2" ht="16.149999999999999" customHeight="1">
      <c r="A3059" s="877">
        <v>36619</v>
      </c>
      <c r="B3059" s="878">
        <v>1958.12</v>
      </c>
    </row>
    <row r="3060" spans="1:2" ht="16.149999999999999" customHeight="1">
      <c r="A3060" s="877">
        <v>36620</v>
      </c>
      <c r="B3060" s="880">
        <v>1963.22</v>
      </c>
    </row>
    <row r="3061" spans="1:2" ht="16.149999999999999" customHeight="1">
      <c r="A3061" s="877">
        <v>36621</v>
      </c>
      <c r="B3061" s="878">
        <v>1964.1</v>
      </c>
    </row>
    <row r="3062" spans="1:2" ht="16.149999999999999" customHeight="1">
      <c r="A3062" s="877">
        <v>36622</v>
      </c>
      <c r="B3062" s="880">
        <v>1968.92</v>
      </c>
    </row>
    <row r="3063" spans="1:2" ht="16.149999999999999" customHeight="1">
      <c r="A3063" s="877">
        <v>36623</v>
      </c>
      <c r="B3063" s="878">
        <v>1986.96</v>
      </c>
    </row>
    <row r="3064" spans="1:2" ht="16.149999999999999" customHeight="1">
      <c r="A3064" s="877">
        <v>36624</v>
      </c>
      <c r="B3064" s="880">
        <v>1996.24</v>
      </c>
    </row>
    <row r="3065" spans="1:2" ht="16.149999999999999" customHeight="1">
      <c r="A3065" s="877">
        <v>36625</v>
      </c>
      <c r="B3065" s="878">
        <v>1996.24</v>
      </c>
    </row>
    <row r="3066" spans="1:2" ht="16.149999999999999" customHeight="1">
      <c r="A3066" s="877">
        <v>36626</v>
      </c>
      <c r="B3066" s="880">
        <v>1996.24</v>
      </c>
    </row>
    <row r="3067" spans="1:2" ht="16.149999999999999" customHeight="1">
      <c r="A3067" s="877">
        <v>36627</v>
      </c>
      <c r="B3067" s="878">
        <v>1998.25</v>
      </c>
    </row>
    <row r="3068" spans="1:2" ht="16.149999999999999" customHeight="1">
      <c r="A3068" s="877">
        <v>36628</v>
      </c>
      <c r="B3068" s="880">
        <v>1986.75</v>
      </c>
    </row>
    <row r="3069" spans="1:2" ht="16.149999999999999" customHeight="1">
      <c r="A3069" s="877">
        <v>36629</v>
      </c>
      <c r="B3069" s="878">
        <v>1987.38</v>
      </c>
    </row>
    <row r="3070" spans="1:2" ht="16.149999999999999" customHeight="1">
      <c r="A3070" s="877">
        <v>36630</v>
      </c>
      <c r="B3070" s="880">
        <v>1987.36</v>
      </c>
    </row>
    <row r="3071" spans="1:2" ht="16.149999999999999" customHeight="1">
      <c r="A3071" s="877">
        <v>36631</v>
      </c>
      <c r="B3071" s="878">
        <v>1987.39</v>
      </c>
    </row>
    <row r="3072" spans="1:2" ht="16.149999999999999" customHeight="1">
      <c r="A3072" s="877">
        <v>36632</v>
      </c>
      <c r="B3072" s="880">
        <v>1987.39</v>
      </c>
    </row>
    <row r="3073" spans="1:2" ht="16.149999999999999" customHeight="1">
      <c r="A3073" s="877">
        <v>36633</v>
      </c>
      <c r="B3073" s="878">
        <v>1987.39</v>
      </c>
    </row>
    <row r="3074" spans="1:2" ht="16.149999999999999" customHeight="1">
      <c r="A3074" s="877">
        <v>36634</v>
      </c>
      <c r="B3074" s="880">
        <v>1996.29</v>
      </c>
    </row>
    <row r="3075" spans="1:2" ht="16.149999999999999" customHeight="1">
      <c r="A3075" s="877">
        <v>36635</v>
      </c>
      <c r="B3075" s="878">
        <v>2003.02</v>
      </c>
    </row>
    <row r="3076" spans="1:2" ht="16.149999999999999" customHeight="1">
      <c r="A3076" s="877">
        <v>36636</v>
      </c>
      <c r="B3076" s="880">
        <v>1996.07</v>
      </c>
    </row>
    <row r="3077" spans="1:2" ht="16.149999999999999" customHeight="1">
      <c r="A3077" s="877">
        <v>36637</v>
      </c>
      <c r="B3077" s="878">
        <v>1996.07</v>
      </c>
    </row>
    <row r="3078" spans="1:2" ht="16.149999999999999" customHeight="1">
      <c r="A3078" s="877">
        <v>36638</v>
      </c>
      <c r="B3078" s="880">
        <v>1996.07</v>
      </c>
    </row>
    <row r="3079" spans="1:2" ht="16.149999999999999" customHeight="1">
      <c r="A3079" s="877">
        <v>36639</v>
      </c>
      <c r="B3079" s="878">
        <v>1996.07</v>
      </c>
    </row>
    <row r="3080" spans="1:2" ht="16.149999999999999" customHeight="1">
      <c r="A3080" s="877">
        <v>36640</v>
      </c>
      <c r="B3080" s="880">
        <v>1996.07</v>
      </c>
    </row>
    <row r="3081" spans="1:2" ht="16.149999999999999" customHeight="1">
      <c r="A3081" s="877">
        <v>36641</v>
      </c>
      <c r="B3081" s="878">
        <v>1991.17</v>
      </c>
    </row>
    <row r="3082" spans="1:2" ht="16.149999999999999" customHeight="1">
      <c r="A3082" s="877">
        <v>36642</v>
      </c>
      <c r="B3082" s="880">
        <v>1988.65</v>
      </c>
    </row>
    <row r="3083" spans="1:2" ht="16.149999999999999" customHeight="1">
      <c r="A3083" s="877">
        <v>36643</v>
      </c>
      <c r="B3083" s="878">
        <v>1998.95</v>
      </c>
    </row>
    <row r="3084" spans="1:2" ht="16.149999999999999" customHeight="1">
      <c r="A3084" s="877">
        <v>36644</v>
      </c>
      <c r="B3084" s="880">
        <v>2002.95</v>
      </c>
    </row>
    <row r="3085" spans="1:2" ht="16.149999999999999" customHeight="1">
      <c r="A3085" s="877">
        <v>36645</v>
      </c>
      <c r="B3085" s="878">
        <v>2004.47</v>
      </c>
    </row>
    <row r="3086" spans="1:2" ht="16.149999999999999" customHeight="1">
      <c r="A3086" s="877">
        <v>36646</v>
      </c>
      <c r="B3086" s="880">
        <v>2004.47</v>
      </c>
    </row>
    <row r="3087" spans="1:2" ht="16.149999999999999" customHeight="1">
      <c r="A3087" s="877">
        <v>36647</v>
      </c>
      <c r="B3087" s="878">
        <v>2004.47</v>
      </c>
    </row>
    <row r="3088" spans="1:2" ht="16.149999999999999" customHeight="1">
      <c r="A3088" s="877">
        <v>36648</v>
      </c>
      <c r="B3088" s="880">
        <v>2004.47</v>
      </c>
    </row>
    <row r="3089" spans="1:2" ht="16.149999999999999" customHeight="1">
      <c r="A3089" s="877">
        <v>36649</v>
      </c>
      <c r="B3089" s="878">
        <v>2001.62</v>
      </c>
    </row>
    <row r="3090" spans="1:2" ht="16.149999999999999" customHeight="1">
      <c r="A3090" s="877">
        <v>36650</v>
      </c>
      <c r="B3090" s="880">
        <v>2015.92</v>
      </c>
    </row>
    <row r="3091" spans="1:2" ht="16.149999999999999" customHeight="1">
      <c r="A3091" s="877">
        <v>36651</v>
      </c>
      <c r="B3091" s="878">
        <v>2027.26</v>
      </c>
    </row>
    <row r="3092" spans="1:2" ht="16.149999999999999" customHeight="1">
      <c r="A3092" s="877">
        <v>36652</v>
      </c>
      <c r="B3092" s="880">
        <v>2033.17</v>
      </c>
    </row>
    <row r="3093" spans="1:2" ht="16.149999999999999" customHeight="1">
      <c r="A3093" s="877">
        <v>36653</v>
      </c>
      <c r="B3093" s="878">
        <v>2033.17</v>
      </c>
    </row>
    <row r="3094" spans="1:2" ht="16.149999999999999" customHeight="1">
      <c r="A3094" s="877">
        <v>36654</v>
      </c>
      <c r="B3094" s="880">
        <v>2033.17</v>
      </c>
    </row>
    <row r="3095" spans="1:2" ht="16.149999999999999" customHeight="1">
      <c r="A3095" s="877">
        <v>36655</v>
      </c>
      <c r="B3095" s="878">
        <v>2044.59</v>
      </c>
    </row>
    <row r="3096" spans="1:2" ht="16.149999999999999" customHeight="1">
      <c r="A3096" s="877">
        <v>36656</v>
      </c>
      <c r="B3096" s="880">
        <v>2031.86</v>
      </c>
    </row>
    <row r="3097" spans="1:2" ht="16.149999999999999" customHeight="1">
      <c r="A3097" s="877">
        <v>36657</v>
      </c>
      <c r="B3097" s="878">
        <v>2021.68</v>
      </c>
    </row>
    <row r="3098" spans="1:2" ht="16.149999999999999" customHeight="1">
      <c r="A3098" s="877">
        <v>36658</v>
      </c>
      <c r="B3098" s="880">
        <v>2031.96</v>
      </c>
    </row>
    <row r="3099" spans="1:2" ht="16.149999999999999" customHeight="1">
      <c r="A3099" s="877">
        <v>36659</v>
      </c>
      <c r="B3099" s="878">
        <v>2039.29</v>
      </c>
    </row>
    <row r="3100" spans="1:2" ht="16.149999999999999" customHeight="1">
      <c r="A3100" s="877">
        <v>36660</v>
      </c>
      <c r="B3100" s="880">
        <v>2039.29</v>
      </c>
    </row>
    <row r="3101" spans="1:2" ht="16.149999999999999" customHeight="1">
      <c r="A3101" s="877">
        <v>36661</v>
      </c>
      <c r="B3101" s="878">
        <v>2039.29</v>
      </c>
    </row>
    <row r="3102" spans="1:2" ht="16.149999999999999" customHeight="1">
      <c r="A3102" s="877">
        <v>36662</v>
      </c>
      <c r="B3102" s="880">
        <v>2035.54</v>
      </c>
    </row>
    <row r="3103" spans="1:2" ht="16.149999999999999" customHeight="1">
      <c r="A3103" s="877">
        <v>36663</v>
      </c>
      <c r="B3103" s="878">
        <v>2037.1</v>
      </c>
    </row>
    <row r="3104" spans="1:2" ht="16.149999999999999" customHeight="1">
      <c r="A3104" s="877">
        <v>36664</v>
      </c>
      <c r="B3104" s="880">
        <v>2047.79</v>
      </c>
    </row>
    <row r="3105" spans="1:2" ht="16.149999999999999" customHeight="1">
      <c r="A3105" s="877">
        <v>36665</v>
      </c>
      <c r="B3105" s="878">
        <v>2055.35</v>
      </c>
    </row>
    <row r="3106" spans="1:2" ht="16.149999999999999" customHeight="1">
      <c r="A3106" s="877">
        <v>36666</v>
      </c>
      <c r="B3106" s="880">
        <v>2076.85</v>
      </c>
    </row>
    <row r="3107" spans="1:2" ht="16.149999999999999" customHeight="1">
      <c r="A3107" s="877">
        <v>36667</v>
      </c>
      <c r="B3107" s="878">
        <v>2076.85</v>
      </c>
    </row>
    <row r="3108" spans="1:2" ht="16.149999999999999" customHeight="1">
      <c r="A3108" s="877">
        <v>36668</v>
      </c>
      <c r="B3108" s="880">
        <v>2076.85</v>
      </c>
    </row>
    <row r="3109" spans="1:2" ht="16.149999999999999" customHeight="1">
      <c r="A3109" s="877">
        <v>36669</v>
      </c>
      <c r="B3109" s="878">
        <v>2094.73</v>
      </c>
    </row>
    <row r="3110" spans="1:2" ht="16.149999999999999" customHeight="1">
      <c r="A3110" s="877">
        <v>36670</v>
      </c>
      <c r="B3110" s="880">
        <v>2111.94</v>
      </c>
    </row>
    <row r="3111" spans="1:2" ht="16.149999999999999" customHeight="1">
      <c r="A3111" s="877">
        <v>36671</v>
      </c>
      <c r="B3111" s="878">
        <v>2142.14</v>
      </c>
    </row>
    <row r="3112" spans="1:2" ht="16.149999999999999" customHeight="1">
      <c r="A3112" s="877">
        <v>36672</v>
      </c>
      <c r="B3112" s="880">
        <v>2113.2800000000002</v>
      </c>
    </row>
    <row r="3113" spans="1:2" ht="16.149999999999999" customHeight="1">
      <c r="A3113" s="877">
        <v>36673</v>
      </c>
      <c r="B3113" s="878">
        <v>2096.52</v>
      </c>
    </row>
    <row r="3114" spans="1:2" ht="16.149999999999999" customHeight="1">
      <c r="A3114" s="877">
        <v>36674</v>
      </c>
      <c r="B3114" s="880">
        <v>2096.52</v>
      </c>
    </row>
    <row r="3115" spans="1:2" ht="16.149999999999999" customHeight="1">
      <c r="A3115" s="877">
        <v>36675</v>
      </c>
      <c r="B3115" s="878">
        <v>2096.52</v>
      </c>
    </row>
    <row r="3116" spans="1:2" ht="16.149999999999999" customHeight="1">
      <c r="A3116" s="877">
        <v>36676</v>
      </c>
      <c r="B3116" s="880">
        <v>2077.2800000000002</v>
      </c>
    </row>
    <row r="3117" spans="1:2" ht="16.149999999999999" customHeight="1">
      <c r="A3117" s="877">
        <v>36677</v>
      </c>
      <c r="B3117" s="878">
        <v>2084.92</v>
      </c>
    </row>
    <row r="3118" spans="1:2" ht="16.149999999999999" customHeight="1">
      <c r="A3118" s="877">
        <v>36678</v>
      </c>
      <c r="B3118" s="880">
        <v>2096.96</v>
      </c>
    </row>
    <row r="3119" spans="1:2" ht="16.149999999999999" customHeight="1">
      <c r="A3119" s="877">
        <v>36679</v>
      </c>
      <c r="B3119" s="878">
        <v>2095.1</v>
      </c>
    </row>
    <row r="3120" spans="1:2" ht="16.149999999999999" customHeight="1">
      <c r="A3120" s="877">
        <v>36680</v>
      </c>
      <c r="B3120" s="880">
        <v>2118.5700000000002</v>
      </c>
    </row>
    <row r="3121" spans="1:2" ht="16.149999999999999" customHeight="1">
      <c r="A3121" s="877">
        <v>36681</v>
      </c>
      <c r="B3121" s="878">
        <v>2118.5700000000002</v>
      </c>
    </row>
    <row r="3122" spans="1:2" ht="16.149999999999999" customHeight="1">
      <c r="A3122" s="877">
        <v>36682</v>
      </c>
      <c r="B3122" s="880">
        <v>2118.5700000000002</v>
      </c>
    </row>
    <row r="3123" spans="1:2" ht="16.149999999999999" customHeight="1">
      <c r="A3123" s="877">
        <v>36683</v>
      </c>
      <c r="B3123" s="878">
        <v>2118.5700000000002</v>
      </c>
    </row>
    <row r="3124" spans="1:2" ht="16.149999999999999" customHeight="1">
      <c r="A3124" s="877">
        <v>36684</v>
      </c>
      <c r="B3124" s="880">
        <v>2121.73</v>
      </c>
    </row>
    <row r="3125" spans="1:2" ht="16.149999999999999" customHeight="1">
      <c r="A3125" s="877">
        <v>36685</v>
      </c>
      <c r="B3125" s="878">
        <v>2127.0300000000002</v>
      </c>
    </row>
    <row r="3126" spans="1:2" ht="16.149999999999999" customHeight="1">
      <c r="A3126" s="877">
        <v>36686</v>
      </c>
      <c r="B3126" s="880">
        <v>2125.3000000000002</v>
      </c>
    </row>
    <row r="3127" spans="1:2" ht="16.149999999999999" customHeight="1">
      <c r="A3127" s="877">
        <v>36687</v>
      </c>
      <c r="B3127" s="878">
        <v>2115.86</v>
      </c>
    </row>
    <row r="3128" spans="1:2" ht="16.149999999999999" customHeight="1">
      <c r="A3128" s="877">
        <v>36688</v>
      </c>
      <c r="B3128" s="880">
        <v>2115.86</v>
      </c>
    </row>
    <row r="3129" spans="1:2" ht="16.149999999999999" customHeight="1">
      <c r="A3129" s="877">
        <v>36689</v>
      </c>
      <c r="B3129" s="878">
        <v>2115.86</v>
      </c>
    </row>
    <row r="3130" spans="1:2" ht="16.149999999999999" customHeight="1">
      <c r="A3130" s="877">
        <v>36690</v>
      </c>
      <c r="B3130" s="880">
        <v>2106.9699999999998</v>
      </c>
    </row>
    <row r="3131" spans="1:2" ht="16.149999999999999" customHeight="1">
      <c r="A3131" s="877">
        <v>36691</v>
      </c>
      <c r="B3131" s="878">
        <v>2122.2399999999998</v>
      </c>
    </row>
    <row r="3132" spans="1:2" ht="16.149999999999999" customHeight="1">
      <c r="A3132" s="877">
        <v>36692</v>
      </c>
      <c r="B3132" s="880">
        <v>2111.09</v>
      </c>
    </row>
    <row r="3133" spans="1:2" ht="16.149999999999999" customHeight="1">
      <c r="A3133" s="877">
        <v>36693</v>
      </c>
      <c r="B3133" s="878">
        <v>2110.5700000000002</v>
      </c>
    </row>
    <row r="3134" spans="1:2" ht="16.149999999999999" customHeight="1">
      <c r="A3134" s="877">
        <v>36694</v>
      </c>
      <c r="B3134" s="880">
        <v>2114.8000000000002</v>
      </c>
    </row>
    <row r="3135" spans="1:2" ht="16.149999999999999" customHeight="1">
      <c r="A3135" s="877">
        <v>36695</v>
      </c>
      <c r="B3135" s="878">
        <v>2114.8000000000002</v>
      </c>
    </row>
    <row r="3136" spans="1:2" ht="16.149999999999999" customHeight="1">
      <c r="A3136" s="877">
        <v>36696</v>
      </c>
      <c r="B3136" s="880">
        <v>2114.8000000000002</v>
      </c>
    </row>
    <row r="3137" spans="1:2" ht="16.149999999999999" customHeight="1">
      <c r="A3137" s="877">
        <v>36697</v>
      </c>
      <c r="B3137" s="878">
        <v>2115.15</v>
      </c>
    </row>
    <row r="3138" spans="1:2" ht="16.149999999999999" customHeight="1">
      <c r="A3138" s="877">
        <v>36698</v>
      </c>
      <c r="B3138" s="880">
        <v>2123.58</v>
      </c>
    </row>
    <row r="3139" spans="1:2" ht="16.149999999999999" customHeight="1">
      <c r="A3139" s="877">
        <v>36699</v>
      </c>
      <c r="B3139" s="878">
        <v>2134.34</v>
      </c>
    </row>
    <row r="3140" spans="1:2" ht="16.149999999999999" customHeight="1">
      <c r="A3140" s="877">
        <v>36700</v>
      </c>
      <c r="B3140" s="880">
        <v>2129.13</v>
      </c>
    </row>
    <row r="3141" spans="1:2" ht="16.149999999999999" customHeight="1">
      <c r="A3141" s="877">
        <v>36701</v>
      </c>
      <c r="B3141" s="878">
        <v>2123.9899999999998</v>
      </c>
    </row>
    <row r="3142" spans="1:2" ht="16.149999999999999" customHeight="1">
      <c r="A3142" s="877">
        <v>36702</v>
      </c>
      <c r="B3142" s="880">
        <v>2123.9899999999998</v>
      </c>
    </row>
    <row r="3143" spans="1:2" ht="16.149999999999999" customHeight="1">
      <c r="A3143" s="877">
        <v>36703</v>
      </c>
      <c r="B3143" s="878">
        <v>2123.9899999999998</v>
      </c>
    </row>
    <row r="3144" spans="1:2" ht="16.149999999999999" customHeight="1">
      <c r="A3144" s="877">
        <v>36704</v>
      </c>
      <c r="B3144" s="880">
        <v>2123.9899999999998</v>
      </c>
    </row>
    <row r="3145" spans="1:2" ht="16.149999999999999" customHeight="1">
      <c r="A3145" s="877">
        <v>36705</v>
      </c>
      <c r="B3145" s="878">
        <v>2135.65</v>
      </c>
    </row>
    <row r="3146" spans="1:2" ht="16.149999999999999" customHeight="1">
      <c r="A3146" s="877">
        <v>36706</v>
      </c>
      <c r="B3146" s="880">
        <v>2136.2199999999998</v>
      </c>
    </row>
    <row r="3147" spans="1:2" ht="16.149999999999999" customHeight="1">
      <c r="A3147" s="877">
        <v>36707</v>
      </c>
      <c r="B3147" s="878">
        <v>2139.11</v>
      </c>
    </row>
    <row r="3148" spans="1:2" ht="16.149999999999999" customHeight="1">
      <c r="A3148" s="877">
        <v>36708</v>
      </c>
      <c r="B3148" s="880">
        <v>2150.7600000000002</v>
      </c>
    </row>
    <row r="3149" spans="1:2" ht="16.149999999999999" customHeight="1">
      <c r="A3149" s="877">
        <v>36709</v>
      </c>
      <c r="B3149" s="878">
        <v>2150.7600000000002</v>
      </c>
    </row>
    <row r="3150" spans="1:2" ht="16.149999999999999" customHeight="1">
      <c r="A3150" s="877">
        <v>36710</v>
      </c>
      <c r="B3150" s="880">
        <v>2150.7600000000002</v>
      </c>
    </row>
    <row r="3151" spans="1:2" ht="16.149999999999999" customHeight="1">
      <c r="A3151" s="877">
        <v>36711</v>
      </c>
      <c r="B3151" s="878">
        <v>2150.7600000000002</v>
      </c>
    </row>
    <row r="3152" spans="1:2" ht="16.149999999999999" customHeight="1">
      <c r="A3152" s="877">
        <v>36712</v>
      </c>
      <c r="B3152" s="880">
        <v>2151.0500000000002</v>
      </c>
    </row>
    <row r="3153" spans="1:2" ht="16.149999999999999" customHeight="1">
      <c r="A3153" s="877">
        <v>36713</v>
      </c>
      <c r="B3153" s="878">
        <v>2163.44</v>
      </c>
    </row>
    <row r="3154" spans="1:2" ht="16.149999999999999" customHeight="1">
      <c r="A3154" s="877">
        <v>36714</v>
      </c>
      <c r="B3154" s="880">
        <v>2168.65</v>
      </c>
    </row>
    <row r="3155" spans="1:2" ht="16.149999999999999" customHeight="1">
      <c r="A3155" s="877">
        <v>36715</v>
      </c>
      <c r="B3155" s="878">
        <v>2165.5100000000002</v>
      </c>
    </row>
    <row r="3156" spans="1:2" ht="16.149999999999999" customHeight="1">
      <c r="A3156" s="877">
        <v>36716</v>
      </c>
      <c r="B3156" s="880">
        <v>2165.5100000000002</v>
      </c>
    </row>
    <row r="3157" spans="1:2" ht="16.149999999999999" customHeight="1">
      <c r="A3157" s="877">
        <v>36717</v>
      </c>
      <c r="B3157" s="878">
        <v>2165.5100000000002</v>
      </c>
    </row>
    <row r="3158" spans="1:2" ht="16.149999999999999" customHeight="1">
      <c r="A3158" s="877">
        <v>36718</v>
      </c>
      <c r="B3158" s="880">
        <v>2171.63</v>
      </c>
    </row>
    <row r="3159" spans="1:2" ht="16.149999999999999" customHeight="1">
      <c r="A3159" s="877">
        <v>36719</v>
      </c>
      <c r="B3159" s="878">
        <v>2182.56</v>
      </c>
    </row>
    <row r="3160" spans="1:2" ht="16.149999999999999" customHeight="1">
      <c r="A3160" s="877">
        <v>36720</v>
      </c>
      <c r="B3160" s="880">
        <v>2172.16</v>
      </c>
    </row>
    <row r="3161" spans="1:2" ht="16.149999999999999" customHeight="1">
      <c r="A3161" s="877">
        <v>36721</v>
      </c>
      <c r="B3161" s="878">
        <v>2166.2199999999998</v>
      </c>
    </row>
    <row r="3162" spans="1:2" ht="16.149999999999999" customHeight="1">
      <c r="A3162" s="877">
        <v>36722</v>
      </c>
      <c r="B3162" s="880">
        <v>2156.3200000000002</v>
      </c>
    </row>
    <row r="3163" spans="1:2" ht="16.149999999999999" customHeight="1">
      <c r="A3163" s="877">
        <v>36723</v>
      </c>
      <c r="B3163" s="878">
        <v>2156.3200000000002</v>
      </c>
    </row>
    <row r="3164" spans="1:2" ht="16.149999999999999" customHeight="1">
      <c r="A3164" s="877">
        <v>36724</v>
      </c>
      <c r="B3164" s="880">
        <v>2156.3200000000002</v>
      </c>
    </row>
    <row r="3165" spans="1:2" ht="16.149999999999999" customHeight="1">
      <c r="A3165" s="877">
        <v>36725</v>
      </c>
      <c r="B3165" s="878">
        <v>2144.0100000000002</v>
      </c>
    </row>
    <row r="3166" spans="1:2" ht="16.149999999999999" customHeight="1">
      <c r="A3166" s="877">
        <v>36726</v>
      </c>
      <c r="B3166" s="880">
        <v>2151.56</v>
      </c>
    </row>
    <row r="3167" spans="1:2" ht="16.149999999999999" customHeight="1">
      <c r="A3167" s="877">
        <v>36727</v>
      </c>
      <c r="B3167" s="878">
        <v>2155.81</v>
      </c>
    </row>
    <row r="3168" spans="1:2" ht="16.149999999999999" customHeight="1">
      <c r="A3168" s="877">
        <v>36728</v>
      </c>
      <c r="B3168" s="880">
        <v>2155.81</v>
      </c>
    </row>
    <row r="3169" spans="1:2" ht="16.149999999999999" customHeight="1">
      <c r="A3169" s="877">
        <v>36729</v>
      </c>
      <c r="B3169" s="878">
        <v>2152.3000000000002</v>
      </c>
    </row>
    <row r="3170" spans="1:2" ht="16.149999999999999" customHeight="1">
      <c r="A3170" s="877">
        <v>36730</v>
      </c>
      <c r="B3170" s="880">
        <v>2152.3000000000002</v>
      </c>
    </row>
    <row r="3171" spans="1:2" ht="16.149999999999999" customHeight="1">
      <c r="A3171" s="877">
        <v>36731</v>
      </c>
      <c r="B3171" s="878">
        <v>2152.3000000000002</v>
      </c>
    </row>
    <row r="3172" spans="1:2" ht="16.149999999999999" customHeight="1">
      <c r="A3172" s="877">
        <v>36732</v>
      </c>
      <c r="B3172" s="880">
        <v>2147.65</v>
      </c>
    </row>
    <row r="3173" spans="1:2" ht="16.149999999999999" customHeight="1">
      <c r="A3173" s="877">
        <v>36733</v>
      </c>
      <c r="B3173" s="878">
        <v>2153.91</v>
      </c>
    </row>
    <row r="3174" spans="1:2" ht="16.149999999999999" customHeight="1">
      <c r="A3174" s="877">
        <v>36734</v>
      </c>
      <c r="B3174" s="880">
        <v>2165.37</v>
      </c>
    </row>
    <row r="3175" spans="1:2" ht="16.149999999999999" customHeight="1">
      <c r="A3175" s="877">
        <v>36735</v>
      </c>
      <c r="B3175" s="878">
        <v>2173.7800000000002</v>
      </c>
    </row>
    <row r="3176" spans="1:2" ht="16.149999999999999" customHeight="1">
      <c r="A3176" s="877">
        <v>36736</v>
      </c>
      <c r="B3176" s="880">
        <v>2172.79</v>
      </c>
    </row>
    <row r="3177" spans="1:2" ht="16.149999999999999" customHeight="1">
      <c r="A3177" s="877">
        <v>36737</v>
      </c>
      <c r="B3177" s="878">
        <v>2172.79</v>
      </c>
    </row>
    <row r="3178" spans="1:2" ht="16.149999999999999" customHeight="1">
      <c r="A3178" s="877">
        <v>36738</v>
      </c>
      <c r="B3178" s="880">
        <v>2172.79</v>
      </c>
    </row>
    <row r="3179" spans="1:2" ht="16.149999999999999" customHeight="1">
      <c r="A3179" s="877">
        <v>36739</v>
      </c>
      <c r="B3179" s="878">
        <v>2174.5500000000002</v>
      </c>
    </row>
    <row r="3180" spans="1:2" ht="16.149999999999999" customHeight="1">
      <c r="A3180" s="877">
        <v>36740</v>
      </c>
      <c r="B3180" s="880">
        <v>2175.02</v>
      </c>
    </row>
    <row r="3181" spans="1:2" ht="16.149999999999999" customHeight="1">
      <c r="A3181" s="877">
        <v>36741</v>
      </c>
      <c r="B3181" s="878">
        <v>2173.62</v>
      </c>
    </row>
    <row r="3182" spans="1:2" ht="16.149999999999999" customHeight="1">
      <c r="A3182" s="877">
        <v>36742</v>
      </c>
      <c r="B3182" s="880">
        <v>2177.67</v>
      </c>
    </row>
    <row r="3183" spans="1:2" ht="16.149999999999999" customHeight="1">
      <c r="A3183" s="877">
        <v>36743</v>
      </c>
      <c r="B3183" s="878">
        <v>2180.64</v>
      </c>
    </row>
    <row r="3184" spans="1:2" ht="16.149999999999999" customHeight="1">
      <c r="A3184" s="877">
        <v>36744</v>
      </c>
      <c r="B3184" s="880">
        <v>2180.64</v>
      </c>
    </row>
    <row r="3185" spans="1:2" ht="16.149999999999999" customHeight="1">
      <c r="A3185" s="877">
        <v>36745</v>
      </c>
      <c r="B3185" s="878">
        <v>2180.64</v>
      </c>
    </row>
    <row r="3186" spans="1:2" ht="16.149999999999999" customHeight="1">
      <c r="A3186" s="877">
        <v>36746</v>
      </c>
      <c r="B3186" s="880">
        <v>2180.64</v>
      </c>
    </row>
    <row r="3187" spans="1:2" ht="16.149999999999999" customHeight="1">
      <c r="A3187" s="877">
        <v>36747</v>
      </c>
      <c r="B3187" s="878">
        <v>2176.52</v>
      </c>
    </row>
    <row r="3188" spans="1:2" ht="16.149999999999999" customHeight="1">
      <c r="A3188" s="877">
        <v>36748</v>
      </c>
      <c r="B3188" s="880">
        <v>2176.17</v>
      </c>
    </row>
    <row r="3189" spans="1:2" ht="16.149999999999999" customHeight="1">
      <c r="A3189" s="877">
        <v>36749</v>
      </c>
      <c r="B3189" s="878">
        <v>2179.6</v>
      </c>
    </row>
    <row r="3190" spans="1:2" ht="16.149999999999999" customHeight="1">
      <c r="A3190" s="877">
        <v>36750</v>
      </c>
      <c r="B3190" s="880">
        <v>2180.89</v>
      </c>
    </row>
    <row r="3191" spans="1:2" ht="16.149999999999999" customHeight="1">
      <c r="A3191" s="877">
        <v>36751</v>
      </c>
      <c r="B3191" s="878">
        <v>2180.89</v>
      </c>
    </row>
    <row r="3192" spans="1:2" ht="16.149999999999999" customHeight="1">
      <c r="A3192" s="877">
        <v>36752</v>
      </c>
      <c r="B3192" s="880">
        <v>2180.89</v>
      </c>
    </row>
    <row r="3193" spans="1:2" ht="16.149999999999999" customHeight="1">
      <c r="A3193" s="877">
        <v>36753</v>
      </c>
      <c r="B3193" s="878">
        <v>2180.9899999999998</v>
      </c>
    </row>
    <row r="3194" spans="1:2" ht="16.149999999999999" customHeight="1">
      <c r="A3194" s="877">
        <v>36754</v>
      </c>
      <c r="B3194" s="880">
        <v>2185.4499999999998</v>
      </c>
    </row>
    <row r="3195" spans="1:2" ht="16.149999999999999" customHeight="1">
      <c r="A3195" s="877">
        <v>36755</v>
      </c>
      <c r="B3195" s="878">
        <v>2185.46</v>
      </c>
    </row>
    <row r="3196" spans="1:2" ht="16.149999999999999" customHeight="1">
      <c r="A3196" s="877">
        <v>36756</v>
      </c>
      <c r="B3196" s="880">
        <v>2185.75</v>
      </c>
    </row>
    <row r="3197" spans="1:2" ht="16.149999999999999" customHeight="1">
      <c r="A3197" s="877">
        <v>36757</v>
      </c>
      <c r="B3197" s="878">
        <v>2183.0100000000002</v>
      </c>
    </row>
    <row r="3198" spans="1:2" ht="16.149999999999999" customHeight="1">
      <c r="A3198" s="877">
        <v>36758</v>
      </c>
      <c r="B3198" s="880">
        <v>2183.0100000000002</v>
      </c>
    </row>
    <row r="3199" spans="1:2" ht="16.149999999999999" customHeight="1">
      <c r="A3199" s="877">
        <v>36759</v>
      </c>
      <c r="B3199" s="878">
        <v>2183.0100000000002</v>
      </c>
    </row>
    <row r="3200" spans="1:2" ht="16.149999999999999" customHeight="1">
      <c r="A3200" s="877">
        <v>36760</v>
      </c>
      <c r="B3200" s="880">
        <v>2183.0100000000002</v>
      </c>
    </row>
    <row r="3201" spans="1:2" ht="16.149999999999999" customHeight="1">
      <c r="A3201" s="877">
        <v>36761</v>
      </c>
      <c r="B3201" s="878">
        <v>2187.83</v>
      </c>
    </row>
    <row r="3202" spans="1:2" ht="16.149999999999999" customHeight="1">
      <c r="A3202" s="877">
        <v>36762</v>
      </c>
      <c r="B3202" s="880">
        <v>2196.7199999999998</v>
      </c>
    </row>
    <row r="3203" spans="1:2" ht="16.149999999999999" customHeight="1">
      <c r="A3203" s="877">
        <v>36763</v>
      </c>
      <c r="B3203" s="878">
        <v>2205.6</v>
      </c>
    </row>
    <row r="3204" spans="1:2" ht="16.149999999999999" customHeight="1">
      <c r="A3204" s="877">
        <v>36764</v>
      </c>
      <c r="B3204" s="880">
        <v>2208.8200000000002</v>
      </c>
    </row>
    <row r="3205" spans="1:2" ht="16.149999999999999" customHeight="1">
      <c r="A3205" s="877">
        <v>36765</v>
      </c>
      <c r="B3205" s="878">
        <v>2208.8200000000002</v>
      </c>
    </row>
    <row r="3206" spans="1:2" ht="16.149999999999999" customHeight="1">
      <c r="A3206" s="877">
        <v>36766</v>
      </c>
      <c r="B3206" s="880">
        <v>2208.8200000000002</v>
      </c>
    </row>
    <row r="3207" spans="1:2" ht="16.149999999999999" customHeight="1">
      <c r="A3207" s="877">
        <v>36767</v>
      </c>
      <c r="B3207" s="878">
        <v>2208.17</v>
      </c>
    </row>
    <row r="3208" spans="1:2" ht="16.149999999999999" customHeight="1">
      <c r="A3208" s="877">
        <v>36768</v>
      </c>
      <c r="B3208" s="880">
        <v>2204.2199999999998</v>
      </c>
    </row>
    <row r="3209" spans="1:2" ht="16.149999999999999" customHeight="1">
      <c r="A3209" s="877">
        <v>36769</v>
      </c>
      <c r="B3209" s="878">
        <v>2208.21</v>
      </c>
    </row>
    <row r="3210" spans="1:2" ht="16.149999999999999" customHeight="1">
      <c r="A3210" s="877">
        <v>36770</v>
      </c>
      <c r="B3210" s="880">
        <v>2212.9699999999998</v>
      </c>
    </row>
    <row r="3211" spans="1:2" ht="16.149999999999999" customHeight="1">
      <c r="A3211" s="877">
        <v>36771</v>
      </c>
      <c r="B3211" s="878">
        <v>2214</v>
      </c>
    </row>
    <row r="3212" spans="1:2" ht="16.149999999999999" customHeight="1">
      <c r="A3212" s="877">
        <v>36772</v>
      </c>
      <c r="B3212" s="880">
        <v>2214</v>
      </c>
    </row>
    <row r="3213" spans="1:2" ht="16.149999999999999" customHeight="1">
      <c r="A3213" s="877">
        <v>36773</v>
      </c>
      <c r="B3213" s="878">
        <v>2214</v>
      </c>
    </row>
    <row r="3214" spans="1:2" ht="16.149999999999999" customHeight="1">
      <c r="A3214" s="877">
        <v>36774</v>
      </c>
      <c r="B3214" s="880">
        <v>2210.3200000000002</v>
      </c>
    </row>
    <row r="3215" spans="1:2" ht="16.149999999999999" customHeight="1">
      <c r="A3215" s="877">
        <v>36775</v>
      </c>
      <c r="B3215" s="878">
        <v>2211.13</v>
      </c>
    </row>
    <row r="3216" spans="1:2" ht="16.149999999999999" customHeight="1">
      <c r="A3216" s="877">
        <v>36776</v>
      </c>
      <c r="B3216" s="880">
        <v>2211.11</v>
      </c>
    </row>
    <row r="3217" spans="1:2" ht="16.149999999999999" customHeight="1">
      <c r="A3217" s="877">
        <v>36777</v>
      </c>
      <c r="B3217" s="878">
        <v>2209.1799999999998</v>
      </c>
    </row>
    <row r="3218" spans="1:2" ht="16.149999999999999" customHeight="1">
      <c r="A3218" s="877">
        <v>36778</v>
      </c>
      <c r="B3218" s="880">
        <v>2204.85</v>
      </c>
    </row>
    <row r="3219" spans="1:2" ht="16.149999999999999" customHeight="1">
      <c r="A3219" s="877">
        <v>36779</v>
      </c>
      <c r="B3219" s="878">
        <v>2204.85</v>
      </c>
    </row>
    <row r="3220" spans="1:2" ht="16.149999999999999" customHeight="1">
      <c r="A3220" s="877">
        <v>36780</v>
      </c>
      <c r="B3220" s="880">
        <v>2204.85</v>
      </c>
    </row>
    <row r="3221" spans="1:2" ht="16.149999999999999" customHeight="1">
      <c r="A3221" s="877">
        <v>36781</v>
      </c>
      <c r="B3221" s="878">
        <v>2206.39</v>
      </c>
    </row>
    <row r="3222" spans="1:2" ht="16.149999999999999" customHeight="1">
      <c r="A3222" s="877">
        <v>36782</v>
      </c>
      <c r="B3222" s="880">
        <v>2206.9299999999998</v>
      </c>
    </row>
    <row r="3223" spans="1:2" ht="16.149999999999999" customHeight="1">
      <c r="A3223" s="877">
        <v>36783</v>
      </c>
      <c r="B3223" s="878">
        <v>2208.64</v>
      </c>
    </row>
    <row r="3224" spans="1:2" ht="16.149999999999999" customHeight="1">
      <c r="A3224" s="877">
        <v>36784</v>
      </c>
      <c r="B3224" s="880">
        <v>2212.73</v>
      </c>
    </row>
    <row r="3225" spans="1:2" ht="16.149999999999999" customHeight="1">
      <c r="A3225" s="877">
        <v>36785</v>
      </c>
      <c r="B3225" s="878">
        <v>2210.34</v>
      </c>
    </row>
    <row r="3226" spans="1:2" ht="16.149999999999999" customHeight="1">
      <c r="A3226" s="877">
        <v>36786</v>
      </c>
      <c r="B3226" s="880">
        <v>2210.34</v>
      </c>
    </row>
    <row r="3227" spans="1:2" ht="16.149999999999999" customHeight="1">
      <c r="A3227" s="877">
        <v>36787</v>
      </c>
      <c r="B3227" s="878">
        <v>2210.34</v>
      </c>
    </row>
    <row r="3228" spans="1:2" ht="16.149999999999999" customHeight="1">
      <c r="A3228" s="877">
        <v>36788</v>
      </c>
      <c r="B3228" s="880">
        <v>2211.36</v>
      </c>
    </row>
    <row r="3229" spans="1:2" ht="16.149999999999999" customHeight="1">
      <c r="A3229" s="877">
        <v>36789</v>
      </c>
      <c r="B3229" s="878">
        <v>2210.81</v>
      </c>
    </row>
    <row r="3230" spans="1:2" ht="16.149999999999999" customHeight="1">
      <c r="A3230" s="877">
        <v>36790</v>
      </c>
      <c r="B3230" s="880">
        <v>2212.9299999999998</v>
      </c>
    </row>
    <row r="3231" spans="1:2" ht="16.149999999999999" customHeight="1">
      <c r="A3231" s="877">
        <v>36791</v>
      </c>
      <c r="B3231" s="878">
        <v>2223.46</v>
      </c>
    </row>
    <row r="3232" spans="1:2" ht="16.149999999999999" customHeight="1">
      <c r="A3232" s="877">
        <v>36792</v>
      </c>
      <c r="B3232" s="880">
        <v>2232.2399999999998</v>
      </c>
    </row>
    <row r="3233" spans="1:2" ht="16.149999999999999" customHeight="1">
      <c r="A3233" s="877">
        <v>36793</v>
      </c>
      <c r="B3233" s="878">
        <v>2232.2399999999998</v>
      </c>
    </row>
    <row r="3234" spans="1:2" ht="16.149999999999999" customHeight="1">
      <c r="A3234" s="877">
        <v>36794</v>
      </c>
      <c r="B3234" s="880">
        <v>2232.2399999999998</v>
      </c>
    </row>
    <row r="3235" spans="1:2" ht="16.149999999999999" customHeight="1">
      <c r="A3235" s="877">
        <v>36795</v>
      </c>
      <c r="B3235" s="878">
        <v>2228.0500000000002</v>
      </c>
    </row>
    <row r="3236" spans="1:2" ht="16.149999999999999" customHeight="1">
      <c r="A3236" s="877">
        <v>36796</v>
      </c>
      <c r="B3236" s="880">
        <v>2222.67</v>
      </c>
    </row>
    <row r="3237" spans="1:2" ht="16.149999999999999" customHeight="1">
      <c r="A3237" s="877">
        <v>36797</v>
      </c>
      <c r="B3237" s="878">
        <v>2216.9299999999998</v>
      </c>
    </row>
    <row r="3238" spans="1:2" ht="16.149999999999999" customHeight="1">
      <c r="A3238" s="877">
        <v>36798</v>
      </c>
      <c r="B3238" s="880">
        <v>2211.94</v>
      </c>
    </row>
    <row r="3239" spans="1:2" ht="16.149999999999999" customHeight="1">
      <c r="A3239" s="877">
        <v>36799</v>
      </c>
      <c r="B3239" s="878">
        <v>2212.2600000000002</v>
      </c>
    </row>
    <row r="3240" spans="1:2" ht="16.149999999999999" customHeight="1">
      <c r="A3240" s="877">
        <v>36800</v>
      </c>
      <c r="B3240" s="880">
        <v>2212.2600000000002</v>
      </c>
    </row>
    <row r="3241" spans="1:2" ht="16.149999999999999" customHeight="1">
      <c r="A3241" s="877">
        <v>36801</v>
      </c>
      <c r="B3241" s="878">
        <v>2212.2600000000002</v>
      </c>
    </row>
    <row r="3242" spans="1:2" ht="16.149999999999999" customHeight="1">
      <c r="A3242" s="877">
        <v>36802</v>
      </c>
      <c r="B3242" s="880">
        <v>2210.4</v>
      </c>
    </row>
    <row r="3243" spans="1:2" ht="16.149999999999999" customHeight="1">
      <c r="A3243" s="877">
        <v>36803</v>
      </c>
      <c r="B3243" s="878">
        <v>2201.5100000000002</v>
      </c>
    </row>
    <row r="3244" spans="1:2" ht="16.149999999999999" customHeight="1">
      <c r="A3244" s="877">
        <v>36804</v>
      </c>
      <c r="B3244" s="880">
        <v>2194.98</v>
      </c>
    </row>
    <row r="3245" spans="1:2" ht="16.149999999999999" customHeight="1">
      <c r="A3245" s="877">
        <v>36805</v>
      </c>
      <c r="B3245" s="878">
        <v>2185.06</v>
      </c>
    </row>
    <row r="3246" spans="1:2" ht="16.149999999999999" customHeight="1">
      <c r="A3246" s="877">
        <v>36806</v>
      </c>
      <c r="B3246" s="880">
        <v>2187.38</v>
      </c>
    </row>
    <row r="3247" spans="1:2" ht="16.149999999999999" customHeight="1">
      <c r="A3247" s="877">
        <v>36807</v>
      </c>
      <c r="B3247" s="878">
        <v>2187.38</v>
      </c>
    </row>
    <row r="3248" spans="1:2" ht="16.149999999999999" customHeight="1">
      <c r="A3248" s="877">
        <v>36808</v>
      </c>
      <c r="B3248" s="880">
        <v>2187.38</v>
      </c>
    </row>
    <row r="3249" spans="1:2" ht="16.149999999999999" customHeight="1">
      <c r="A3249" s="877">
        <v>36809</v>
      </c>
      <c r="B3249" s="878">
        <v>2184.2600000000002</v>
      </c>
    </row>
    <row r="3250" spans="1:2" ht="16.149999999999999" customHeight="1">
      <c r="A3250" s="877">
        <v>36810</v>
      </c>
      <c r="B3250" s="880">
        <v>2182.17</v>
      </c>
    </row>
    <row r="3251" spans="1:2" ht="16.149999999999999" customHeight="1">
      <c r="A3251" s="877">
        <v>36811</v>
      </c>
      <c r="B3251" s="878">
        <v>2175.9699999999998</v>
      </c>
    </row>
    <row r="3252" spans="1:2" ht="16.149999999999999" customHeight="1">
      <c r="A3252" s="877">
        <v>36812</v>
      </c>
      <c r="B3252" s="880">
        <v>2175.96</v>
      </c>
    </row>
    <row r="3253" spans="1:2" ht="16.149999999999999" customHeight="1">
      <c r="A3253" s="877">
        <v>36813</v>
      </c>
      <c r="B3253" s="878">
        <v>2180.69</v>
      </c>
    </row>
    <row r="3254" spans="1:2" ht="16.149999999999999" customHeight="1">
      <c r="A3254" s="877">
        <v>36814</v>
      </c>
      <c r="B3254" s="880">
        <v>2180.69</v>
      </c>
    </row>
    <row r="3255" spans="1:2" ht="16.149999999999999" customHeight="1">
      <c r="A3255" s="877">
        <v>36815</v>
      </c>
      <c r="B3255" s="878">
        <v>2180.69</v>
      </c>
    </row>
    <row r="3256" spans="1:2" ht="16.149999999999999" customHeight="1">
      <c r="A3256" s="877">
        <v>36816</v>
      </c>
      <c r="B3256" s="880">
        <v>2180.69</v>
      </c>
    </row>
    <row r="3257" spans="1:2" ht="16.149999999999999" customHeight="1">
      <c r="A3257" s="877">
        <v>36817</v>
      </c>
      <c r="B3257" s="878">
        <v>2178.13</v>
      </c>
    </row>
    <row r="3258" spans="1:2" ht="16.149999999999999" customHeight="1">
      <c r="A3258" s="877">
        <v>36818</v>
      </c>
      <c r="B3258" s="880">
        <v>2162.86</v>
      </c>
    </row>
    <row r="3259" spans="1:2" ht="16.149999999999999" customHeight="1">
      <c r="A3259" s="877">
        <v>36819</v>
      </c>
      <c r="B3259" s="878">
        <v>2152.31</v>
      </c>
    </row>
    <row r="3260" spans="1:2" ht="16.149999999999999" customHeight="1">
      <c r="A3260" s="877">
        <v>36820</v>
      </c>
      <c r="B3260" s="880">
        <v>2159.79</v>
      </c>
    </row>
    <row r="3261" spans="1:2" ht="16.149999999999999" customHeight="1">
      <c r="A3261" s="877">
        <v>36821</v>
      </c>
      <c r="B3261" s="878">
        <v>2159.79</v>
      </c>
    </row>
    <row r="3262" spans="1:2" ht="16.149999999999999" customHeight="1">
      <c r="A3262" s="877">
        <v>36822</v>
      </c>
      <c r="B3262" s="880">
        <v>2159.79</v>
      </c>
    </row>
    <row r="3263" spans="1:2" ht="16.149999999999999" customHeight="1">
      <c r="A3263" s="877">
        <v>36823</v>
      </c>
      <c r="B3263" s="878">
        <v>2157.84</v>
      </c>
    </row>
    <row r="3264" spans="1:2" ht="16.149999999999999" customHeight="1">
      <c r="A3264" s="877">
        <v>36824</v>
      </c>
      <c r="B3264" s="880">
        <v>2153.1799999999998</v>
      </c>
    </row>
    <row r="3265" spans="1:2" ht="16.149999999999999" customHeight="1">
      <c r="A3265" s="877">
        <v>36825</v>
      </c>
      <c r="B3265" s="878">
        <v>2170.3200000000002</v>
      </c>
    </row>
    <row r="3266" spans="1:2" ht="16.149999999999999" customHeight="1">
      <c r="A3266" s="877">
        <v>36826</v>
      </c>
      <c r="B3266" s="880">
        <v>2167.2600000000002</v>
      </c>
    </row>
    <row r="3267" spans="1:2" ht="16.149999999999999" customHeight="1">
      <c r="A3267" s="877">
        <v>36827</v>
      </c>
      <c r="B3267" s="878">
        <v>2158.14</v>
      </c>
    </row>
    <row r="3268" spans="1:2" ht="16.149999999999999" customHeight="1">
      <c r="A3268" s="877">
        <v>36828</v>
      </c>
      <c r="B3268" s="880">
        <v>2158.14</v>
      </c>
    </row>
    <row r="3269" spans="1:2" ht="16.149999999999999" customHeight="1">
      <c r="A3269" s="877">
        <v>36829</v>
      </c>
      <c r="B3269" s="878">
        <v>2158.14</v>
      </c>
    </row>
    <row r="3270" spans="1:2" ht="16.149999999999999" customHeight="1">
      <c r="A3270" s="877">
        <v>36830</v>
      </c>
      <c r="B3270" s="880">
        <v>2158.36</v>
      </c>
    </row>
    <row r="3271" spans="1:2" ht="16.149999999999999" customHeight="1">
      <c r="A3271" s="877">
        <v>36831</v>
      </c>
      <c r="B3271" s="878">
        <v>2147.89</v>
      </c>
    </row>
    <row r="3272" spans="1:2" ht="16.149999999999999" customHeight="1">
      <c r="A3272" s="877">
        <v>36832</v>
      </c>
      <c r="B3272" s="880">
        <v>2138.9499999999998</v>
      </c>
    </row>
    <row r="3273" spans="1:2" ht="16.149999999999999" customHeight="1">
      <c r="A3273" s="877">
        <v>36833</v>
      </c>
      <c r="B3273" s="878">
        <v>2136.73</v>
      </c>
    </row>
    <row r="3274" spans="1:2" ht="16.149999999999999" customHeight="1">
      <c r="A3274" s="877">
        <v>36834</v>
      </c>
      <c r="B3274" s="880">
        <v>2139.21</v>
      </c>
    </row>
    <row r="3275" spans="1:2" ht="16.149999999999999" customHeight="1">
      <c r="A3275" s="877">
        <v>36835</v>
      </c>
      <c r="B3275" s="878">
        <v>2139.21</v>
      </c>
    </row>
    <row r="3276" spans="1:2" ht="16.149999999999999" customHeight="1">
      <c r="A3276" s="877">
        <v>36836</v>
      </c>
      <c r="B3276" s="880">
        <v>2139.21</v>
      </c>
    </row>
    <row r="3277" spans="1:2" ht="16.149999999999999" customHeight="1">
      <c r="A3277" s="877">
        <v>36837</v>
      </c>
      <c r="B3277" s="878">
        <v>2139.21</v>
      </c>
    </row>
    <row r="3278" spans="1:2" ht="16.149999999999999" customHeight="1">
      <c r="A3278" s="877">
        <v>36838</v>
      </c>
      <c r="B3278" s="880">
        <v>2134.08</v>
      </c>
    </row>
    <row r="3279" spans="1:2" ht="16.149999999999999" customHeight="1">
      <c r="A3279" s="877">
        <v>36839</v>
      </c>
      <c r="B3279" s="878">
        <v>2124.84</v>
      </c>
    </row>
    <row r="3280" spans="1:2" ht="16.149999999999999" customHeight="1">
      <c r="A3280" s="877">
        <v>36840</v>
      </c>
      <c r="B3280" s="880">
        <v>2127.5100000000002</v>
      </c>
    </row>
    <row r="3281" spans="1:2" ht="16.149999999999999" customHeight="1">
      <c r="A3281" s="877">
        <v>36841</v>
      </c>
      <c r="B3281" s="878">
        <v>2126.41</v>
      </c>
    </row>
    <row r="3282" spans="1:2" ht="16.149999999999999" customHeight="1">
      <c r="A3282" s="877">
        <v>36842</v>
      </c>
      <c r="B3282" s="880">
        <v>2126.41</v>
      </c>
    </row>
    <row r="3283" spans="1:2" ht="16.149999999999999" customHeight="1">
      <c r="A3283" s="877">
        <v>36843</v>
      </c>
      <c r="B3283" s="878">
        <v>2126.41</v>
      </c>
    </row>
    <row r="3284" spans="1:2" ht="16.149999999999999" customHeight="1">
      <c r="A3284" s="877">
        <v>36844</v>
      </c>
      <c r="B3284" s="880">
        <v>2126.41</v>
      </c>
    </row>
    <row r="3285" spans="1:2" ht="16.149999999999999" customHeight="1">
      <c r="A3285" s="877">
        <v>36845</v>
      </c>
      <c r="B3285" s="878">
        <v>2125.17</v>
      </c>
    </row>
    <row r="3286" spans="1:2" ht="16.149999999999999" customHeight="1">
      <c r="A3286" s="877">
        <v>36846</v>
      </c>
      <c r="B3286" s="880">
        <v>2125.31</v>
      </c>
    </row>
    <row r="3287" spans="1:2" ht="16.149999999999999" customHeight="1">
      <c r="A3287" s="877">
        <v>36847</v>
      </c>
      <c r="B3287" s="878">
        <v>2121.64</v>
      </c>
    </row>
    <row r="3288" spans="1:2" ht="16.149999999999999" customHeight="1">
      <c r="A3288" s="877">
        <v>36848</v>
      </c>
      <c r="B3288" s="880">
        <v>2122.63</v>
      </c>
    </row>
    <row r="3289" spans="1:2" ht="16.149999999999999" customHeight="1">
      <c r="A3289" s="877">
        <v>36849</v>
      </c>
      <c r="B3289" s="878">
        <v>2122.63</v>
      </c>
    </row>
    <row r="3290" spans="1:2" ht="16.149999999999999" customHeight="1">
      <c r="A3290" s="877">
        <v>36850</v>
      </c>
      <c r="B3290" s="880">
        <v>2122.63</v>
      </c>
    </row>
    <row r="3291" spans="1:2" ht="16.149999999999999" customHeight="1">
      <c r="A3291" s="877">
        <v>36851</v>
      </c>
      <c r="B3291" s="878">
        <v>2122.61</v>
      </c>
    </row>
    <row r="3292" spans="1:2" ht="16.149999999999999" customHeight="1">
      <c r="A3292" s="877">
        <v>36852</v>
      </c>
      <c r="B3292" s="880">
        <v>2124.16</v>
      </c>
    </row>
    <row r="3293" spans="1:2" ht="16.149999999999999" customHeight="1">
      <c r="A3293" s="877">
        <v>36853</v>
      </c>
      <c r="B3293" s="878">
        <v>2131.7600000000002</v>
      </c>
    </row>
    <row r="3294" spans="1:2" ht="16.149999999999999" customHeight="1">
      <c r="A3294" s="877">
        <v>36854</v>
      </c>
      <c r="B3294" s="880">
        <v>2141.14</v>
      </c>
    </row>
    <row r="3295" spans="1:2" ht="16.149999999999999" customHeight="1">
      <c r="A3295" s="877">
        <v>36855</v>
      </c>
      <c r="B3295" s="878">
        <v>2141.91</v>
      </c>
    </row>
    <row r="3296" spans="1:2" ht="16.149999999999999" customHeight="1">
      <c r="A3296" s="877">
        <v>36856</v>
      </c>
      <c r="B3296" s="880">
        <v>2141.91</v>
      </c>
    </row>
    <row r="3297" spans="1:2" ht="16.149999999999999" customHeight="1">
      <c r="A3297" s="877">
        <v>36857</v>
      </c>
      <c r="B3297" s="878">
        <v>2141.91</v>
      </c>
    </row>
    <row r="3298" spans="1:2" ht="16.149999999999999" customHeight="1">
      <c r="A3298" s="877">
        <v>36858</v>
      </c>
      <c r="B3298" s="880">
        <v>2158.0500000000002</v>
      </c>
    </row>
    <row r="3299" spans="1:2" ht="16.149999999999999" customHeight="1">
      <c r="A3299" s="877">
        <v>36859</v>
      </c>
      <c r="B3299" s="878">
        <v>2169.8200000000002</v>
      </c>
    </row>
    <row r="3300" spans="1:2" ht="16.149999999999999" customHeight="1">
      <c r="A3300" s="877">
        <v>36860</v>
      </c>
      <c r="B3300" s="880">
        <v>2172.84</v>
      </c>
    </row>
    <row r="3301" spans="1:2" ht="16.149999999999999" customHeight="1">
      <c r="A3301" s="877">
        <v>36861</v>
      </c>
      <c r="B3301" s="878">
        <v>2168.6</v>
      </c>
    </row>
    <row r="3302" spans="1:2" ht="16.149999999999999" customHeight="1">
      <c r="A3302" s="877">
        <v>36862</v>
      </c>
      <c r="B3302" s="880">
        <v>2174.85</v>
      </c>
    </row>
    <row r="3303" spans="1:2" ht="16.149999999999999" customHeight="1">
      <c r="A3303" s="877">
        <v>36863</v>
      </c>
      <c r="B3303" s="878">
        <v>2174.85</v>
      </c>
    </row>
    <row r="3304" spans="1:2" ht="16.149999999999999" customHeight="1">
      <c r="A3304" s="877">
        <v>36864</v>
      </c>
      <c r="B3304" s="880">
        <v>2174.85</v>
      </c>
    </row>
    <row r="3305" spans="1:2" ht="16.149999999999999" customHeight="1">
      <c r="A3305" s="877">
        <v>36865</v>
      </c>
      <c r="B3305" s="878">
        <v>2180.3000000000002</v>
      </c>
    </row>
    <row r="3306" spans="1:2" ht="16.149999999999999" customHeight="1">
      <c r="A3306" s="877">
        <v>36866</v>
      </c>
      <c r="B3306" s="880">
        <v>2184.1799999999998</v>
      </c>
    </row>
    <row r="3307" spans="1:2" ht="16.149999999999999" customHeight="1">
      <c r="A3307" s="877">
        <v>36867</v>
      </c>
      <c r="B3307" s="878">
        <v>2174.29</v>
      </c>
    </row>
    <row r="3308" spans="1:2" ht="16.149999999999999" customHeight="1">
      <c r="A3308" s="877">
        <v>36868</v>
      </c>
      <c r="B3308" s="880">
        <v>2176.33</v>
      </c>
    </row>
    <row r="3309" spans="1:2" ht="16.149999999999999" customHeight="1">
      <c r="A3309" s="877">
        <v>36869</v>
      </c>
      <c r="B3309" s="878">
        <v>2176.33</v>
      </c>
    </row>
    <row r="3310" spans="1:2" ht="16.149999999999999" customHeight="1">
      <c r="A3310" s="877">
        <v>36870</v>
      </c>
      <c r="B3310" s="880">
        <v>2176.33</v>
      </c>
    </row>
    <row r="3311" spans="1:2" ht="16.149999999999999" customHeight="1">
      <c r="A3311" s="877">
        <v>36871</v>
      </c>
      <c r="B3311" s="878">
        <v>2176.33</v>
      </c>
    </row>
    <row r="3312" spans="1:2" ht="16.149999999999999" customHeight="1">
      <c r="A3312" s="877">
        <v>36872</v>
      </c>
      <c r="B3312" s="880">
        <v>2175.5700000000002</v>
      </c>
    </row>
    <row r="3313" spans="1:2" ht="16.149999999999999" customHeight="1">
      <c r="A3313" s="877">
        <v>36873</v>
      </c>
      <c r="B3313" s="878">
        <v>2183.08</v>
      </c>
    </row>
    <row r="3314" spans="1:2" ht="16.149999999999999" customHeight="1">
      <c r="A3314" s="877">
        <v>36874</v>
      </c>
      <c r="B3314" s="880">
        <v>2186.87</v>
      </c>
    </row>
    <row r="3315" spans="1:2" ht="16.149999999999999" customHeight="1">
      <c r="A3315" s="877">
        <v>36875</v>
      </c>
      <c r="B3315" s="878">
        <v>2184.7600000000002</v>
      </c>
    </row>
    <row r="3316" spans="1:2" ht="16.149999999999999" customHeight="1">
      <c r="A3316" s="877">
        <v>36876</v>
      </c>
      <c r="B3316" s="880">
        <v>2175.91</v>
      </c>
    </row>
    <row r="3317" spans="1:2" ht="16.149999999999999" customHeight="1">
      <c r="A3317" s="877">
        <v>36877</v>
      </c>
      <c r="B3317" s="878">
        <v>2175.91</v>
      </c>
    </row>
    <row r="3318" spans="1:2" ht="16.149999999999999" customHeight="1">
      <c r="A3318" s="877">
        <v>36878</v>
      </c>
      <c r="B3318" s="880">
        <v>2175.91</v>
      </c>
    </row>
    <row r="3319" spans="1:2" ht="16.149999999999999" customHeight="1">
      <c r="A3319" s="877">
        <v>36879</v>
      </c>
      <c r="B3319" s="878">
        <v>2179.13</v>
      </c>
    </row>
    <row r="3320" spans="1:2" ht="16.149999999999999" customHeight="1">
      <c r="A3320" s="877">
        <v>36880</v>
      </c>
      <c r="B3320" s="880">
        <v>2187.17</v>
      </c>
    </row>
    <row r="3321" spans="1:2" ht="16.149999999999999" customHeight="1">
      <c r="A3321" s="877">
        <v>36881</v>
      </c>
      <c r="B3321" s="878">
        <v>2185.0500000000002</v>
      </c>
    </row>
    <row r="3322" spans="1:2" ht="16.149999999999999" customHeight="1">
      <c r="A3322" s="877">
        <v>36882</v>
      </c>
      <c r="B3322" s="880">
        <v>2187.02</v>
      </c>
    </row>
    <row r="3323" spans="1:2" ht="16.149999999999999" customHeight="1">
      <c r="A3323" s="877">
        <v>36883</v>
      </c>
      <c r="B3323" s="878">
        <v>2193.5700000000002</v>
      </c>
    </row>
    <row r="3324" spans="1:2" ht="16.149999999999999" customHeight="1">
      <c r="A3324" s="877">
        <v>36884</v>
      </c>
      <c r="B3324" s="880">
        <v>2193.5700000000002</v>
      </c>
    </row>
    <row r="3325" spans="1:2" ht="16.149999999999999" customHeight="1">
      <c r="A3325" s="877">
        <v>36885</v>
      </c>
      <c r="B3325" s="878">
        <v>2193.5700000000002</v>
      </c>
    </row>
    <row r="3326" spans="1:2" ht="16.149999999999999" customHeight="1">
      <c r="A3326" s="877">
        <v>36886</v>
      </c>
      <c r="B3326" s="880">
        <v>2193.5700000000002</v>
      </c>
    </row>
    <row r="3327" spans="1:2" ht="16.149999999999999" customHeight="1">
      <c r="A3327" s="877">
        <v>36887</v>
      </c>
      <c r="B3327" s="878">
        <v>2196.7600000000002</v>
      </c>
    </row>
    <row r="3328" spans="1:2" ht="16.149999999999999" customHeight="1">
      <c r="A3328" s="877">
        <v>36888</v>
      </c>
      <c r="B3328" s="880">
        <v>2215.35</v>
      </c>
    </row>
    <row r="3329" spans="1:2" ht="16.149999999999999" customHeight="1">
      <c r="A3329" s="877">
        <v>36889</v>
      </c>
      <c r="B3329" s="878">
        <v>2229.1799999999998</v>
      </c>
    </row>
    <row r="3330" spans="1:2" ht="16.149999999999999" customHeight="1">
      <c r="A3330" s="877">
        <v>36890</v>
      </c>
      <c r="B3330" s="880">
        <v>2229.1799999999998</v>
      </c>
    </row>
    <row r="3331" spans="1:2" ht="16.149999999999999" customHeight="1">
      <c r="A3331" s="877">
        <v>36891</v>
      </c>
      <c r="B3331" s="878">
        <v>2229.1799999999998</v>
      </c>
    </row>
    <row r="3332" spans="1:2" ht="16.149999999999999" customHeight="1">
      <c r="A3332" s="877">
        <v>36892</v>
      </c>
      <c r="B3332" s="880">
        <v>2229.1799999999998</v>
      </c>
    </row>
    <row r="3333" spans="1:2" ht="16.149999999999999" customHeight="1">
      <c r="A3333" s="877">
        <v>36893</v>
      </c>
      <c r="B3333" s="878">
        <v>2229.1799999999998</v>
      </c>
    </row>
    <row r="3334" spans="1:2" ht="16.149999999999999" customHeight="1">
      <c r="A3334" s="877">
        <v>36894</v>
      </c>
      <c r="B3334" s="880">
        <v>2219.6</v>
      </c>
    </row>
    <row r="3335" spans="1:2" ht="16.149999999999999" customHeight="1">
      <c r="A3335" s="877">
        <v>36895</v>
      </c>
      <c r="B3335" s="878">
        <v>2224.38</v>
      </c>
    </row>
    <row r="3336" spans="1:2" ht="16.149999999999999" customHeight="1">
      <c r="A3336" s="877">
        <v>36896</v>
      </c>
      <c r="B3336" s="880">
        <v>2239.89</v>
      </c>
    </row>
    <row r="3337" spans="1:2" ht="16.149999999999999" customHeight="1">
      <c r="A3337" s="877">
        <v>36897</v>
      </c>
      <c r="B3337" s="878">
        <v>2243.16</v>
      </c>
    </row>
    <row r="3338" spans="1:2" ht="16.149999999999999" customHeight="1">
      <c r="A3338" s="877">
        <v>36898</v>
      </c>
      <c r="B3338" s="880">
        <v>2243.16</v>
      </c>
    </row>
    <row r="3339" spans="1:2" ht="16.149999999999999" customHeight="1">
      <c r="A3339" s="877">
        <v>36899</v>
      </c>
      <c r="B3339" s="878">
        <v>2243.16</v>
      </c>
    </row>
    <row r="3340" spans="1:2" ht="16.149999999999999" customHeight="1">
      <c r="A3340" s="877">
        <v>36900</v>
      </c>
      <c r="B3340" s="880">
        <v>2243.16</v>
      </c>
    </row>
    <row r="3341" spans="1:2" ht="16.149999999999999" customHeight="1">
      <c r="A3341" s="877">
        <v>36901</v>
      </c>
      <c r="B3341" s="878">
        <v>2235.4299999999998</v>
      </c>
    </row>
    <row r="3342" spans="1:2" ht="16.149999999999999" customHeight="1">
      <c r="A3342" s="877">
        <v>36902</v>
      </c>
      <c r="B3342" s="880">
        <v>2230.14</v>
      </c>
    </row>
    <row r="3343" spans="1:2" ht="16.149999999999999" customHeight="1">
      <c r="A3343" s="877">
        <v>36903</v>
      </c>
      <c r="B3343" s="878">
        <v>2246.58</v>
      </c>
    </row>
    <row r="3344" spans="1:2" ht="16.149999999999999" customHeight="1">
      <c r="A3344" s="877">
        <v>36904</v>
      </c>
      <c r="B3344" s="880">
        <v>2251.75</v>
      </c>
    </row>
    <row r="3345" spans="1:2" ht="16.149999999999999" customHeight="1">
      <c r="A3345" s="877">
        <v>36905</v>
      </c>
      <c r="B3345" s="878">
        <v>2251.75</v>
      </c>
    </row>
    <row r="3346" spans="1:2" ht="16.149999999999999" customHeight="1">
      <c r="A3346" s="877">
        <v>36906</v>
      </c>
      <c r="B3346" s="880">
        <v>2251.75</v>
      </c>
    </row>
    <row r="3347" spans="1:2" ht="16.149999999999999" customHeight="1">
      <c r="A3347" s="877">
        <v>36907</v>
      </c>
      <c r="B3347" s="878">
        <v>2248.61</v>
      </c>
    </row>
    <row r="3348" spans="1:2" ht="16.149999999999999" customHeight="1">
      <c r="A3348" s="877">
        <v>36908</v>
      </c>
      <c r="B3348" s="880">
        <v>2245.89</v>
      </c>
    </row>
    <row r="3349" spans="1:2" ht="16.149999999999999" customHeight="1">
      <c r="A3349" s="877">
        <v>36909</v>
      </c>
      <c r="B3349" s="878">
        <v>2236.46</v>
      </c>
    </row>
    <row r="3350" spans="1:2" ht="16.149999999999999" customHeight="1">
      <c r="A3350" s="877">
        <v>36910</v>
      </c>
      <c r="B3350" s="880">
        <v>2246.7399999999998</v>
      </c>
    </row>
    <row r="3351" spans="1:2" ht="16.149999999999999" customHeight="1">
      <c r="A3351" s="877">
        <v>36911</v>
      </c>
      <c r="B3351" s="878">
        <v>2244.59</v>
      </c>
    </row>
    <row r="3352" spans="1:2" ht="16.149999999999999" customHeight="1">
      <c r="A3352" s="877">
        <v>36912</v>
      </c>
      <c r="B3352" s="880">
        <v>2244.59</v>
      </c>
    </row>
    <row r="3353" spans="1:2" ht="16.149999999999999" customHeight="1">
      <c r="A3353" s="877">
        <v>36913</v>
      </c>
      <c r="B3353" s="878">
        <v>2244.59</v>
      </c>
    </row>
    <row r="3354" spans="1:2" ht="16.149999999999999" customHeight="1">
      <c r="A3354" s="877">
        <v>36914</v>
      </c>
      <c r="B3354" s="880">
        <v>2240.02</v>
      </c>
    </row>
    <row r="3355" spans="1:2" ht="16.149999999999999" customHeight="1">
      <c r="A3355" s="877">
        <v>36915</v>
      </c>
      <c r="B3355" s="878">
        <v>2255.8200000000002</v>
      </c>
    </row>
    <row r="3356" spans="1:2" ht="16.149999999999999" customHeight="1">
      <c r="A3356" s="877">
        <v>36916</v>
      </c>
      <c r="B3356" s="880">
        <v>2254.35</v>
      </c>
    </row>
    <row r="3357" spans="1:2" ht="16.149999999999999" customHeight="1">
      <c r="A3357" s="877">
        <v>36917</v>
      </c>
      <c r="B3357" s="878">
        <v>2250.0300000000002</v>
      </c>
    </row>
    <row r="3358" spans="1:2" ht="16.149999999999999" customHeight="1">
      <c r="A3358" s="877">
        <v>36918</v>
      </c>
      <c r="B3358" s="880">
        <v>2245.46</v>
      </c>
    </row>
    <row r="3359" spans="1:2" ht="16.149999999999999" customHeight="1">
      <c r="A3359" s="877">
        <v>36919</v>
      </c>
      <c r="B3359" s="878">
        <v>2245.46</v>
      </c>
    </row>
    <row r="3360" spans="1:2" ht="16.149999999999999" customHeight="1">
      <c r="A3360" s="877">
        <v>36920</v>
      </c>
      <c r="B3360" s="880">
        <v>2245.46</v>
      </c>
    </row>
    <row r="3361" spans="1:2" ht="16.149999999999999" customHeight="1">
      <c r="A3361" s="877">
        <v>36921</v>
      </c>
      <c r="B3361" s="878">
        <v>2240.56</v>
      </c>
    </row>
    <row r="3362" spans="1:2" ht="16.149999999999999" customHeight="1">
      <c r="A3362" s="877">
        <v>36922</v>
      </c>
      <c r="B3362" s="880">
        <v>2240.8000000000002</v>
      </c>
    </row>
    <row r="3363" spans="1:2" ht="16.149999999999999" customHeight="1">
      <c r="A3363" s="877">
        <v>36923</v>
      </c>
      <c r="B3363" s="878">
        <v>2242.08</v>
      </c>
    </row>
    <row r="3364" spans="1:2" ht="16.149999999999999" customHeight="1">
      <c r="A3364" s="877">
        <v>36924</v>
      </c>
      <c r="B3364" s="880">
        <v>2240.04</v>
      </c>
    </row>
    <row r="3365" spans="1:2" ht="16.149999999999999" customHeight="1">
      <c r="A3365" s="877">
        <v>36925</v>
      </c>
      <c r="B3365" s="878">
        <v>2242.1999999999998</v>
      </c>
    </row>
    <row r="3366" spans="1:2" ht="16.149999999999999" customHeight="1">
      <c r="A3366" s="877">
        <v>36926</v>
      </c>
      <c r="B3366" s="880">
        <v>2242.1999999999998</v>
      </c>
    </row>
    <row r="3367" spans="1:2" ht="16.149999999999999" customHeight="1">
      <c r="A3367" s="877">
        <v>36927</v>
      </c>
      <c r="B3367" s="878">
        <v>2242.1999999999998</v>
      </c>
    </row>
    <row r="3368" spans="1:2" ht="16.149999999999999" customHeight="1">
      <c r="A3368" s="877">
        <v>36928</v>
      </c>
      <c r="B3368" s="880">
        <v>2238.35</v>
      </c>
    </row>
    <row r="3369" spans="1:2" ht="16.149999999999999" customHeight="1">
      <c r="A3369" s="877">
        <v>36929</v>
      </c>
      <c r="B3369" s="878">
        <v>2235.0300000000002</v>
      </c>
    </row>
    <row r="3370" spans="1:2" ht="16.149999999999999" customHeight="1">
      <c r="A3370" s="877">
        <v>36930</v>
      </c>
      <c r="B3370" s="880">
        <v>2238.09</v>
      </c>
    </row>
    <row r="3371" spans="1:2" ht="16.149999999999999" customHeight="1">
      <c r="A3371" s="877">
        <v>36931</v>
      </c>
      <c r="B3371" s="878">
        <v>2242.6799999999998</v>
      </c>
    </row>
    <row r="3372" spans="1:2" ht="16.149999999999999" customHeight="1">
      <c r="A3372" s="877">
        <v>36932</v>
      </c>
      <c r="B3372" s="880">
        <v>2237.58</v>
      </c>
    </row>
    <row r="3373" spans="1:2" ht="16.149999999999999" customHeight="1">
      <c r="A3373" s="877">
        <v>36933</v>
      </c>
      <c r="B3373" s="878">
        <v>2237.58</v>
      </c>
    </row>
    <row r="3374" spans="1:2" ht="16.149999999999999" customHeight="1">
      <c r="A3374" s="877">
        <v>36934</v>
      </c>
      <c r="B3374" s="880">
        <v>2237.58</v>
      </c>
    </row>
    <row r="3375" spans="1:2" ht="16.149999999999999" customHeight="1">
      <c r="A3375" s="877">
        <v>36935</v>
      </c>
      <c r="B3375" s="878">
        <v>2229.59</v>
      </c>
    </row>
    <row r="3376" spans="1:2" ht="16.149999999999999" customHeight="1">
      <c r="A3376" s="877">
        <v>36936</v>
      </c>
      <c r="B3376" s="880">
        <v>2237.37</v>
      </c>
    </row>
    <row r="3377" spans="1:2" ht="16.149999999999999" customHeight="1">
      <c r="A3377" s="877">
        <v>36937</v>
      </c>
      <c r="B3377" s="878">
        <v>2239.0300000000002</v>
      </c>
    </row>
    <row r="3378" spans="1:2" ht="16.149999999999999" customHeight="1">
      <c r="A3378" s="877">
        <v>36938</v>
      </c>
      <c r="B3378" s="880">
        <v>2238.61</v>
      </c>
    </row>
    <row r="3379" spans="1:2" ht="16.149999999999999" customHeight="1">
      <c r="A3379" s="877">
        <v>36939</v>
      </c>
      <c r="B3379" s="878">
        <v>2238.5100000000002</v>
      </c>
    </row>
    <row r="3380" spans="1:2" ht="16.149999999999999" customHeight="1">
      <c r="A3380" s="877">
        <v>36940</v>
      </c>
      <c r="B3380" s="880">
        <v>2238.5100000000002</v>
      </c>
    </row>
    <row r="3381" spans="1:2" ht="16.149999999999999" customHeight="1">
      <c r="A3381" s="877">
        <v>36941</v>
      </c>
      <c r="B3381" s="878">
        <v>2238.5100000000002</v>
      </c>
    </row>
    <row r="3382" spans="1:2" ht="16.149999999999999" customHeight="1">
      <c r="A3382" s="877">
        <v>36942</v>
      </c>
      <c r="B3382" s="880">
        <v>2245.16</v>
      </c>
    </row>
    <row r="3383" spans="1:2" ht="16.149999999999999" customHeight="1">
      <c r="A3383" s="877">
        <v>36943</v>
      </c>
      <c r="B3383" s="878">
        <v>2247.09</v>
      </c>
    </row>
    <row r="3384" spans="1:2" ht="16.149999999999999" customHeight="1">
      <c r="A3384" s="877">
        <v>36944</v>
      </c>
      <c r="B3384" s="880">
        <v>2252.65</v>
      </c>
    </row>
    <row r="3385" spans="1:2" ht="16.149999999999999" customHeight="1">
      <c r="A3385" s="877">
        <v>36945</v>
      </c>
      <c r="B3385" s="878">
        <v>2252.86</v>
      </c>
    </row>
    <row r="3386" spans="1:2" ht="16.149999999999999" customHeight="1">
      <c r="A3386" s="877">
        <v>36946</v>
      </c>
      <c r="B3386" s="880">
        <v>2257.6999999999998</v>
      </c>
    </row>
    <row r="3387" spans="1:2" ht="16.149999999999999" customHeight="1">
      <c r="A3387" s="877">
        <v>36947</v>
      </c>
      <c r="B3387" s="878">
        <v>2257.6999999999998</v>
      </c>
    </row>
    <row r="3388" spans="1:2" ht="16.149999999999999" customHeight="1">
      <c r="A3388" s="877">
        <v>36948</v>
      </c>
      <c r="B3388" s="880">
        <v>2257.6999999999998</v>
      </c>
    </row>
    <row r="3389" spans="1:2" ht="16.149999999999999" customHeight="1">
      <c r="A3389" s="877">
        <v>36949</v>
      </c>
      <c r="B3389" s="878">
        <v>2256.42</v>
      </c>
    </row>
    <row r="3390" spans="1:2" ht="16.149999999999999" customHeight="1">
      <c r="A3390" s="877">
        <v>36950</v>
      </c>
      <c r="B3390" s="880">
        <v>2257.4499999999998</v>
      </c>
    </row>
    <row r="3391" spans="1:2" ht="16.149999999999999" customHeight="1">
      <c r="A3391" s="877">
        <v>36951</v>
      </c>
      <c r="B3391" s="878">
        <v>2259.64</v>
      </c>
    </row>
    <row r="3392" spans="1:2" ht="16.149999999999999" customHeight="1">
      <c r="A3392" s="877">
        <v>36952</v>
      </c>
      <c r="B3392" s="880">
        <v>2265.44</v>
      </c>
    </row>
    <row r="3393" spans="1:2" ht="16.149999999999999" customHeight="1">
      <c r="A3393" s="877">
        <v>36953</v>
      </c>
      <c r="B3393" s="878">
        <v>2264.09</v>
      </c>
    </row>
    <row r="3394" spans="1:2" ht="16.149999999999999" customHeight="1">
      <c r="A3394" s="877">
        <v>36954</v>
      </c>
      <c r="B3394" s="880">
        <v>2264.09</v>
      </c>
    </row>
    <row r="3395" spans="1:2" ht="16.149999999999999" customHeight="1">
      <c r="A3395" s="877">
        <v>36955</v>
      </c>
      <c r="B3395" s="878">
        <v>2264.09</v>
      </c>
    </row>
    <row r="3396" spans="1:2" ht="16.149999999999999" customHeight="1">
      <c r="A3396" s="877">
        <v>36956</v>
      </c>
      <c r="B3396" s="880">
        <v>2259.0700000000002</v>
      </c>
    </row>
    <row r="3397" spans="1:2" ht="16.149999999999999" customHeight="1">
      <c r="A3397" s="877">
        <v>36957</v>
      </c>
      <c r="B3397" s="878">
        <v>2260.33</v>
      </c>
    </row>
    <row r="3398" spans="1:2" ht="16.149999999999999" customHeight="1">
      <c r="A3398" s="877">
        <v>36958</v>
      </c>
      <c r="B3398" s="880">
        <v>2262.06</v>
      </c>
    </row>
    <row r="3399" spans="1:2" ht="16.149999999999999" customHeight="1">
      <c r="A3399" s="877">
        <v>36959</v>
      </c>
      <c r="B3399" s="878">
        <v>2262.5500000000002</v>
      </c>
    </row>
    <row r="3400" spans="1:2" ht="16.149999999999999" customHeight="1">
      <c r="A3400" s="877">
        <v>36960</v>
      </c>
      <c r="B3400" s="880">
        <v>2264.0100000000002</v>
      </c>
    </row>
    <row r="3401" spans="1:2" ht="16.149999999999999" customHeight="1">
      <c r="A3401" s="877">
        <v>36961</v>
      </c>
      <c r="B3401" s="878">
        <v>2264.0100000000002</v>
      </c>
    </row>
    <row r="3402" spans="1:2" ht="16.149999999999999" customHeight="1">
      <c r="A3402" s="877">
        <v>36962</v>
      </c>
      <c r="B3402" s="880">
        <v>2264.0100000000002</v>
      </c>
    </row>
    <row r="3403" spans="1:2" ht="16.149999999999999" customHeight="1">
      <c r="A3403" s="877">
        <v>36963</v>
      </c>
      <c r="B3403" s="878">
        <v>2275.98</v>
      </c>
    </row>
    <row r="3404" spans="1:2" ht="16.149999999999999" customHeight="1">
      <c r="A3404" s="877">
        <v>36964</v>
      </c>
      <c r="B3404" s="880">
        <v>2275.92</v>
      </c>
    </row>
    <row r="3405" spans="1:2" ht="16.149999999999999" customHeight="1">
      <c r="A3405" s="877">
        <v>36965</v>
      </c>
      <c r="B3405" s="878">
        <v>2282.0100000000002</v>
      </c>
    </row>
    <row r="3406" spans="1:2" ht="16.149999999999999" customHeight="1">
      <c r="A3406" s="877">
        <v>36966</v>
      </c>
      <c r="B3406" s="880">
        <v>2281.02</v>
      </c>
    </row>
    <row r="3407" spans="1:2" ht="16.149999999999999" customHeight="1">
      <c r="A3407" s="877">
        <v>36967</v>
      </c>
      <c r="B3407" s="878">
        <v>2282.96</v>
      </c>
    </row>
    <row r="3408" spans="1:2" ht="16.149999999999999" customHeight="1">
      <c r="A3408" s="877">
        <v>36968</v>
      </c>
      <c r="B3408" s="880">
        <v>2282.96</v>
      </c>
    </row>
    <row r="3409" spans="1:2" ht="16.149999999999999" customHeight="1">
      <c r="A3409" s="877">
        <v>36969</v>
      </c>
      <c r="B3409" s="878">
        <v>2282.96</v>
      </c>
    </row>
    <row r="3410" spans="1:2" ht="16.149999999999999" customHeight="1">
      <c r="A3410" s="877">
        <v>36970</v>
      </c>
      <c r="B3410" s="880">
        <v>2282.96</v>
      </c>
    </row>
    <row r="3411" spans="1:2" ht="16.149999999999999" customHeight="1">
      <c r="A3411" s="877">
        <v>36971</v>
      </c>
      <c r="B3411" s="878">
        <v>2282.17</v>
      </c>
    </row>
    <row r="3412" spans="1:2" ht="16.149999999999999" customHeight="1">
      <c r="A3412" s="877">
        <v>36972</v>
      </c>
      <c r="B3412" s="880">
        <v>2284.04</v>
      </c>
    </row>
    <row r="3413" spans="1:2" ht="16.149999999999999" customHeight="1">
      <c r="A3413" s="877">
        <v>36973</v>
      </c>
      <c r="B3413" s="878">
        <v>2290.02</v>
      </c>
    </row>
    <row r="3414" spans="1:2" ht="16.149999999999999" customHeight="1">
      <c r="A3414" s="877">
        <v>36974</v>
      </c>
      <c r="B3414" s="880">
        <v>2295.7399999999998</v>
      </c>
    </row>
    <row r="3415" spans="1:2" ht="16.149999999999999" customHeight="1">
      <c r="A3415" s="877">
        <v>36975</v>
      </c>
      <c r="B3415" s="878">
        <v>2295.7399999999998</v>
      </c>
    </row>
    <row r="3416" spans="1:2" ht="16.149999999999999" customHeight="1">
      <c r="A3416" s="877">
        <v>36976</v>
      </c>
      <c r="B3416" s="880">
        <v>2295.7399999999998</v>
      </c>
    </row>
    <row r="3417" spans="1:2" ht="16.149999999999999" customHeight="1">
      <c r="A3417" s="877">
        <v>36977</v>
      </c>
      <c r="B3417" s="878">
        <v>2293.9899999999998</v>
      </c>
    </row>
    <row r="3418" spans="1:2" ht="16.149999999999999" customHeight="1">
      <c r="A3418" s="877">
        <v>36978</v>
      </c>
      <c r="B3418" s="880">
        <v>2299.6799999999998</v>
      </c>
    </row>
    <row r="3419" spans="1:2" ht="16.149999999999999" customHeight="1">
      <c r="A3419" s="877">
        <v>36979</v>
      </c>
      <c r="B3419" s="878">
        <v>2303.86</v>
      </c>
    </row>
    <row r="3420" spans="1:2" ht="16.149999999999999" customHeight="1">
      <c r="A3420" s="877">
        <v>36980</v>
      </c>
      <c r="B3420" s="880">
        <v>2309.83</v>
      </c>
    </row>
    <row r="3421" spans="1:2" ht="16.149999999999999" customHeight="1">
      <c r="A3421" s="877">
        <v>36981</v>
      </c>
      <c r="B3421" s="878">
        <v>2310.5700000000002</v>
      </c>
    </row>
    <row r="3422" spans="1:2" ht="16.149999999999999" customHeight="1">
      <c r="A3422" s="877">
        <v>36982</v>
      </c>
      <c r="B3422" s="880">
        <v>2310.5700000000002</v>
      </c>
    </row>
    <row r="3423" spans="1:2" ht="16.149999999999999" customHeight="1">
      <c r="A3423" s="877">
        <v>36983</v>
      </c>
      <c r="B3423" s="878">
        <v>2310.5700000000002</v>
      </c>
    </row>
    <row r="3424" spans="1:2" ht="16.149999999999999" customHeight="1">
      <c r="A3424" s="877">
        <v>36984</v>
      </c>
      <c r="B3424" s="880">
        <v>2304.19</v>
      </c>
    </row>
    <row r="3425" spans="1:2" ht="16.149999999999999" customHeight="1">
      <c r="A3425" s="877">
        <v>36985</v>
      </c>
      <c r="B3425" s="878">
        <v>2308.64</v>
      </c>
    </row>
    <row r="3426" spans="1:2" ht="16.149999999999999" customHeight="1">
      <c r="A3426" s="877">
        <v>36986</v>
      </c>
      <c r="B3426" s="880">
        <v>2315.81</v>
      </c>
    </row>
    <row r="3427" spans="1:2" ht="16.149999999999999" customHeight="1">
      <c r="A3427" s="877">
        <v>36987</v>
      </c>
      <c r="B3427" s="878">
        <v>2317.46</v>
      </c>
    </row>
    <row r="3428" spans="1:2" ht="16.149999999999999" customHeight="1">
      <c r="A3428" s="877">
        <v>36988</v>
      </c>
      <c r="B3428" s="880">
        <v>2318.58</v>
      </c>
    </row>
    <row r="3429" spans="1:2" ht="16.149999999999999" customHeight="1">
      <c r="A3429" s="877">
        <v>36989</v>
      </c>
      <c r="B3429" s="878">
        <v>2318.58</v>
      </c>
    </row>
    <row r="3430" spans="1:2" ht="16.149999999999999" customHeight="1">
      <c r="A3430" s="877">
        <v>36990</v>
      </c>
      <c r="B3430" s="880">
        <v>2318.58</v>
      </c>
    </row>
    <row r="3431" spans="1:2" ht="16.149999999999999" customHeight="1">
      <c r="A3431" s="877">
        <v>36991</v>
      </c>
      <c r="B3431" s="878">
        <v>2315.21</v>
      </c>
    </row>
    <row r="3432" spans="1:2" ht="16.149999999999999" customHeight="1">
      <c r="A3432" s="877">
        <v>36992</v>
      </c>
      <c r="B3432" s="880">
        <v>2309.84</v>
      </c>
    </row>
    <row r="3433" spans="1:2" ht="16.149999999999999" customHeight="1">
      <c r="A3433" s="877">
        <v>36993</v>
      </c>
      <c r="B3433" s="878">
        <v>2314.0700000000002</v>
      </c>
    </row>
    <row r="3434" spans="1:2" ht="16.149999999999999" customHeight="1">
      <c r="A3434" s="877">
        <v>36994</v>
      </c>
      <c r="B3434" s="880">
        <v>2314.0700000000002</v>
      </c>
    </row>
    <row r="3435" spans="1:2" ht="16.149999999999999" customHeight="1">
      <c r="A3435" s="877">
        <v>36995</v>
      </c>
      <c r="B3435" s="878">
        <v>2314.0700000000002</v>
      </c>
    </row>
    <row r="3436" spans="1:2" ht="16.149999999999999" customHeight="1">
      <c r="A3436" s="877">
        <v>36996</v>
      </c>
      <c r="B3436" s="880">
        <v>2314.0700000000002</v>
      </c>
    </row>
    <row r="3437" spans="1:2" ht="16.149999999999999" customHeight="1">
      <c r="A3437" s="877">
        <v>36997</v>
      </c>
      <c r="B3437" s="878">
        <v>2314.0700000000002</v>
      </c>
    </row>
    <row r="3438" spans="1:2" ht="16.149999999999999" customHeight="1">
      <c r="A3438" s="877">
        <v>36998</v>
      </c>
      <c r="B3438" s="880">
        <v>2320.1799999999998</v>
      </c>
    </row>
    <row r="3439" spans="1:2" ht="16.149999999999999" customHeight="1">
      <c r="A3439" s="877">
        <v>36999</v>
      </c>
      <c r="B3439" s="878">
        <v>2319.5700000000002</v>
      </c>
    </row>
    <row r="3440" spans="1:2" ht="16.149999999999999" customHeight="1">
      <c r="A3440" s="877">
        <v>37000</v>
      </c>
      <c r="B3440" s="880">
        <v>2316.91</v>
      </c>
    </row>
    <row r="3441" spans="1:2" ht="16.149999999999999" customHeight="1">
      <c r="A3441" s="877">
        <v>37001</v>
      </c>
      <c r="B3441" s="878">
        <v>2327.08</v>
      </c>
    </row>
    <row r="3442" spans="1:2" ht="16.149999999999999" customHeight="1">
      <c r="A3442" s="877">
        <v>37002</v>
      </c>
      <c r="B3442" s="880">
        <v>2329.73</v>
      </c>
    </row>
    <row r="3443" spans="1:2" ht="16.149999999999999" customHeight="1">
      <c r="A3443" s="877">
        <v>37003</v>
      </c>
      <c r="B3443" s="878">
        <v>2329.73</v>
      </c>
    </row>
    <row r="3444" spans="1:2" ht="16.149999999999999" customHeight="1">
      <c r="A3444" s="877">
        <v>37004</v>
      </c>
      <c r="B3444" s="880">
        <v>2329.73</v>
      </c>
    </row>
    <row r="3445" spans="1:2" ht="16.149999999999999" customHeight="1">
      <c r="A3445" s="877">
        <v>37005</v>
      </c>
      <c r="B3445" s="878">
        <v>2334.38</v>
      </c>
    </row>
    <row r="3446" spans="1:2" ht="16.149999999999999" customHeight="1">
      <c r="A3446" s="877">
        <v>37006</v>
      </c>
      <c r="B3446" s="880">
        <v>2339.16</v>
      </c>
    </row>
    <row r="3447" spans="1:2" ht="16.149999999999999" customHeight="1">
      <c r="A3447" s="877">
        <v>37007</v>
      </c>
      <c r="B3447" s="878">
        <v>2345.21</v>
      </c>
    </row>
    <row r="3448" spans="1:2" ht="16.149999999999999" customHeight="1">
      <c r="A3448" s="877">
        <v>37008</v>
      </c>
      <c r="B3448" s="880">
        <v>2345.5700000000002</v>
      </c>
    </row>
    <row r="3449" spans="1:2" ht="16.149999999999999" customHeight="1">
      <c r="A3449" s="877">
        <v>37009</v>
      </c>
      <c r="B3449" s="878">
        <v>2346.73</v>
      </c>
    </row>
    <row r="3450" spans="1:2" ht="16.149999999999999" customHeight="1">
      <c r="A3450" s="877">
        <v>37010</v>
      </c>
      <c r="B3450" s="880">
        <v>2346.73</v>
      </c>
    </row>
    <row r="3451" spans="1:2" ht="16.149999999999999" customHeight="1">
      <c r="A3451" s="877">
        <v>37011</v>
      </c>
      <c r="B3451" s="878">
        <v>2346.73</v>
      </c>
    </row>
    <row r="3452" spans="1:2" ht="16.149999999999999" customHeight="1">
      <c r="A3452" s="877">
        <v>37012</v>
      </c>
      <c r="B3452" s="880">
        <v>2341.09</v>
      </c>
    </row>
    <row r="3453" spans="1:2" ht="16.149999999999999" customHeight="1">
      <c r="A3453" s="877">
        <v>37013</v>
      </c>
      <c r="B3453" s="878">
        <v>2341.09</v>
      </c>
    </row>
    <row r="3454" spans="1:2" ht="16.149999999999999" customHeight="1">
      <c r="A3454" s="877">
        <v>37014</v>
      </c>
      <c r="B3454" s="880">
        <v>2345.96</v>
      </c>
    </row>
    <row r="3455" spans="1:2" ht="16.149999999999999" customHeight="1">
      <c r="A3455" s="877">
        <v>37015</v>
      </c>
      <c r="B3455" s="878">
        <v>2349.9499999999998</v>
      </c>
    </row>
    <row r="3456" spans="1:2" ht="16.149999999999999" customHeight="1">
      <c r="A3456" s="877">
        <v>37016</v>
      </c>
      <c r="B3456" s="880">
        <v>2354.4699999999998</v>
      </c>
    </row>
    <row r="3457" spans="1:2" ht="16.149999999999999" customHeight="1">
      <c r="A3457" s="877">
        <v>37017</v>
      </c>
      <c r="B3457" s="878">
        <v>2354.4699999999998</v>
      </c>
    </row>
    <row r="3458" spans="1:2" ht="16.149999999999999" customHeight="1">
      <c r="A3458" s="877">
        <v>37018</v>
      </c>
      <c r="B3458" s="880">
        <v>2354.4699999999998</v>
      </c>
    </row>
    <row r="3459" spans="1:2" ht="16.149999999999999" customHeight="1">
      <c r="A3459" s="877">
        <v>37019</v>
      </c>
      <c r="B3459" s="878">
        <v>2359.54</v>
      </c>
    </row>
    <row r="3460" spans="1:2" ht="16.149999999999999" customHeight="1">
      <c r="A3460" s="877">
        <v>37020</v>
      </c>
      <c r="B3460" s="880">
        <v>2359.2199999999998</v>
      </c>
    </row>
    <row r="3461" spans="1:2" ht="16.149999999999999" customHeight="1">
      <c r="A3461" s="877">
        <v>37021</v>
      </c>
      <c r="B3461" s="878">
        <v>2359.98</v>
      </c>
    </row>
    <row r="3462" spans="1:2" ht="16.149999999999999" customHeight="1">
      <c r="A3462" s="877">
        <v>37022</v>
      </c>
      <c r="B3462" s="880">
        <v>2359.79</v>
      </c>
    </row>
    <row r="3463" spans="1:2" ht="16.149999999999999" customHeight="1">
      <c r="A3463" s="877">
        <v>37023</v>
      </c>
      <c r="B3463" s="878">
        <v>2367.3000000000002</v>
      </c>
    </row>
    <row r="3464" spans="1:2" ht="16.149999999999999" customHeight="1">
      <c r="A3464" s="877">
        <v>37024</v>
      </c>
      <c r="B3464" s="880">
        <v>2367.3000000000002</v>
      </c>
    </row>
    <row r="3465" spans="1:2" ht="16.149999999999999" customHeight="1">
      <c r="A3465" s="877">
        <v>37025</v>
      </c>
      <c r="B3465" s="878">
        <v>2367.3000000000002</v>
      </c>
    </row>
    <row r="3466" spans="1:2" ht="16.149999999999999" customHeight="1">
      <c r="A3466" s="877">
        <v>37026</v>
      </c>
      <c r="B3466" s="880">
        <v>2371.58</v>
      </c>
    </row>
    <row r="3467" spans="1:2" ht="16.149999999999999" customHeight="1">
      <c r="A3467" s="877">
        <v>37027</v>
      </c>
      <c r="B3467" s="878">
        <v>2376.9299999999998</v>
      </c>
    </row>
    <row r="3468" spans="1:2" ht="16.149999999999999" customHeight="1">
      <c r="A3468" s="877">
        <v>37028</v>
      </c>
      <c r="B3468" s="880">
        <v>2378.21</v>
      </c>
    </row>
    <row r="3469" spans="1:2" ht="16.149999999999999" customHeight="1">
      <c r="A3469" s="877">
        <v>37029</v>
      </c>
      <c r="B3469" s="878">
        <v>2378.41</v>
      </c>
    </row>
    <row r="3470" spans="1:2" ht="16.149999999999999" customHeight="1">
      <c r="A3470" s="877">
        <v>37030</v>
      </c>
      <c r="B3470" s="880">
        <v>2348.88</v>
      </c>
    </row>
    <row r="3471" spans="1:2" ht="16.149999999999999" customHeight="1">
      <c r="A3471" s="877">
        <v>37031</v>
      </c>
      <c r="B3471" s="878">
        <v>2348.88</v>
      </c>
    </row>
    <row r="3472" spans="1:2" ht="16.149999999999999" customHeight="1">
      <c r="A3472" s="877">
        <v>37032</v>
      </c>
      <c r="B3472" s="880">
        <v>2348.88</v>
      </c>
    </row>
    <row r="3473" spans="1:2" ht="16.149999999999999" customHeight="1">
      <c r="A3473" s="877">
        <v>37033</v>
      </c>
      <c r="B3473" s="878">
        <v>2314.75</v>
      </c>
    </row>
    <row r="3474" spans="1:2" ht="16.149999999999999" customHeight="1">
      <c r="A3474" s="877">
        <v>37034</v>
      </c>
      <c r="B3474" s="880">
        <v>2316.7199999999998</v>
      </c>
    </row>
    <row r="3475" spans="1:2" ht="16.149999999999999" customHeight="1">
      <c r="A3475" s="877">
        <v>37035</v>
      </c>
      <c r="B3475" s="878">
        <v>2295.23</v>
      </c>
    </row>
    <row r="3476" spans="1:2" ht="16.149999999999999" customHeight="1">
      <c r="A3476" s="877">
        <v>37036</v>
      </c>
      <c r="B3476" s="880">
        <v>2310.64</v>
      </c>
    </row>
    <row r="3477" spans="1:2" ht="16.149999999999999" customHeight="1">
      <c r="A3477" s="877">
        <v>37037</v>
      </c>
      <c r="B3477" s="878">
        <v>2339.98</v>
      </c>
    </row>
    <row r="3478" spans="1:2" ht="16.149999999999999" customHeight="1">
      <c r="A3478" s="877">
        <v>37038</v>
      </c>
      <c r="B3478" s="880">
        <v>2339.98</v>
      </c>
    </row>
    <row r="3479" spans="1:2" ht="16.149999999999999" customHeight="1">
      <c r="A3479" s="877">
        <v>37039</v>
      </c>
      <c r="B3479" s="878">
        <v>2339.98</v>
      </c>
    </row>
    <row r="3480" spans="1:2" ht="16.149999999999999" customHeight="1">
      <c r="A3480" s="877">
        <v>37040</v>
      </c>
      <c r="B3480" s="880">
        <v>2339.98</v>
      </c>
    </row>
    <row r="3481" spans="1:2" ht="16.149999999999999" customHeight="1">
      <c r="A3481" s="877">
        <v>37041</v>
      </c>
      <c r="B3481" s="878">
        <v>2331.91</v>
      </c>
    </row>
    <row r="3482" spans="1:2" ht="16.149999999999999" customHeight="1">
      <c r="A3482" s="877">
        <v>37042</v>
      </c>
      <c r="B3482" s="880">
        <v>2324.98</v>
      </c>
    </row>
    <row r="3483" spans="1:2" ht="16.149999999999999" customHeight="1">
      <c r="A3483" s="877">
        <v>37043</v>
      </c>
      <c r="B3483" s="878">
        <v>2327.25</v>
      </c>
    </row>
    <row r="3484" spans="1:2" ht="16.149999999999999" customHeight="1">
      <c r="A3484" s="877">
        <v>37044</v>
      </c>
      <c r="B3484" s="880">
        <v>2319.16</v>
      </c>
    </row>
    <row r="3485" spans="1:2" ht="16.149999999999999" customHeight="1">
      <c r="A3485" s="877">
        <v>37045</v>
      </c>
      <c r="B3485" s="878">
        <v>2319.16</v>
      </c>
    </row>
    <row r="3486" spans="1:2" ht="16.149999999999999" customHeight="1">
      <c r="A3486" s="877">
        <v>37046</v>
      </c>
      <c r="B3486" s="880">
        <v>2319.16</v>
      </c>
    </row>
    <row r="3487" spans="1:2" ht="16.149999999999999" customHeight="1">
      <c r="A3487" s="877">
        <v>37047</v>
      </c>
      <c r="B3487" s="878">
        <v>2296.88</v>
      </c>
    </row>
    <row r="3488" spans="1:2" ht="16.149999999999999" customHeight="1">
      <c r="A3488" s="877">
        <v>37048</v>
      </c>
      <c r="B3488" s="880">
        <v>2303.37</v>
      </c>
    </row>
    <row r="3489" spans="1:2" ht="16.149999999999999" customHeight="1">
      <c r="A3489" s="877">
        <v>37049</v>
      </c>
      <c r="B3489" s="878">
        <v>2303.38</v>
      </c>
    </row>
    <row r="3490" spans="1:2" ht="16.149999999999999" customHeight="1">
      <c r="A3490" s="877">
        <v>37050</v>
      </c>
      <c r="B3490" s="880">
        <v>2303.41</v>
      </c>
    </row>
    <row r="3491" spans="1:2" ht="16.149999999999999" customHeight="1">
      <c r="A3491" s="877">
        <v>37051</v>
      </c>
      <c r="B3491" s="878">
        <v>2296.31</v>
      </c>
    </row>
    <row r="3492" spans="1:2" ht="16.149999999999999" customHeight="1">
      <c r="A3492" s="877">
        <v>37052</v>
      </c>
      <c r="B3492" s="880">
        <v>2296.31</v>
      </c>
    </row>
    <row r="3493" spans="1:2" ht="16.149999999999999" customHeight="1">
      <c r="A3493" s="877">
        <v>37053</v>
      </c>
      <c r="B3493" s="878">
        <v>2296.31</v>
      </c>
    </row>
    <row r="3494" spans="1:2" ht="16.149999999999999" customHeight="1">
      <c r="A3494" s="877">
        <v>37054</v>
      </c>
      <c r="B3494" s="880">
        <v>2309.06</v>
      </c>
    </row>
    <row r="3495" spans="1:2" ht="16.149999999999999" customHeight="1">
      <c r="A3495" s="877">
        <v>37055</v>
      </c>
      <c r="B3495" s="878">
        <v>2313.7399999999998</v>
      </c>
    </row>
    <row r="3496" spans="1:2" ht="16.149999999999999" customHeight="1">
      <c r="A3496" s="877">
        <v>37056</v>
      </c>
      <c r="B3496" s="880">
        <v>2302.16</v>
      </c>
    </row>
    <row r="3497" spans="1:2" ht="16.149999999999999" customHeight="1">
      <c r="A3497" s="877">
        <v>37057</v>
      </c>
      <c r="B3497" s="878">
        <v>2300.1799999999998</v>
      </c>
    </row>
    <row r="3498" spans="1:2" ht="16.149999999999999" customHeight="1">
      <c r="A3498" s="877">
        <v>37058</v>
      </c>
      <c r="B3498" s="880">
        <v>2303.13</v>
      </c>
    </row>
    <row r="3499" spans="1:2" ht="16.149999999999999" customHeight="1">
      <c r="A3499" s="877">
        <v>37059</v>
      </c>
      <c r="B3499" s="878">
        <v>2303.13</v>
      </c>
    </row>
    <row r="3500" spans="1:2" ht="16.149999999999999" customHeight="1">
      <c r="A3500" s="877">
        <v>37060</v>
      </c>
      <c r="B3500" s="880">
        <v>2303.13</v>
      </c>
    </row>
    <row r="3501" spans="1:2" ht="16.149999999999999" customHeight="1">
      <c r="A3501" s="877">
        <v>37061</v>
      </c>
      <c r="B3501" s="878">
        <v>2303.13</v>
      </c>
    </row>
    <row r="3502" spans="1:2" ht="16.149999999999999" customHeight="1">
      <c r="A3502" s="877">
        <v>37062</v>
      </c>
      <c r="B3502" s="880">
        <v>2307.7800000000002</v>
      </c>
    </row>
    <row r="3503" spans="1:2" ht="16.149999999999999" customHeight="1">
      <c r="A3503" s="877">
        <v>37063</v>
      </c>
      <c r="B3503" s="878">
        <v>2305.35</v>
      </c>
    </row>
    <row r="3504" spans="1:2" ht="16.149999999999999" customHeight="1">
      <c r="A3504" s="877">
        <v>37064</v>
      </c>
      <c r="B3504" s="880">
        <v>2300.46</v>
      </c>
    </row>
    <row r="3505" spans="1:2" ht="16.149999999999999" customHeight="1">
      <c r="A3505" s="877">
        <v>37065</v>
      </c>
      <c r="B3505" s="878">
        <v>2298.88</v>
      </c>
    </row>
    <row r="3506" spans="1:2" ht="16.149999999999999" customHeight="1">
      <c r="A3506" s="877">
        <v>37066</v>
      </c>
      <c r="B3506" s="880">
        <v>2298.88</v>
      </c>
    </row>
    <row r="3507" spans="1:2" ht="16.149999999999999" customHeight="1">
      <c r="A3507" s="877">
        <v>37067</v>
      </c>
      <c r="B3507" s="878">
        <v>2298.88</v>
      </c>
    </row>
    <row r="3508" spans="1:2" ht="16.149999999999999" customHeight="1">
      <c r="A3508" s="877">
        <v>37068</v>
      </c>
      <c r="B3508" s="880">
        <v>2298.88</v>
      </c>
    </row>
    <row r="3509" spans="1:2" ht="16.149999999999999" customHeight="1">
      <c r="A3509" s="877">
        <v>37069</v>
      </c>
      <c r="B3509" s="878">
        <v>2304.6799999999998</v>
      </c>
    </row>
    <row r="3510" spans="1:2" ht="16.149999999999999" customHeight="1">
      <c r="A3510" s="877">
        <v>37070</v>
      </c>
      <c r="B3510" s="880">
        <v>2307.0300000000002</v>
      </c>
    </row>
    <row r="3511" spans="1:2" ht="16.149999999999999" customHeight="1">
      <c r="A3511" s="877">
        <v>37071</v>
      </c>
      <c r="B3511" s="878">
        <v>2305.33</v>
      </c>
    </row>
    <row r="3512" spans="1:2" ht="16.149999999999999" customHeight="1">
      <c r="A3512" s="877">
        <v>37072</v>
      </c>
      <c r="B3512" s="880">
        <v>2298.85</v>
      </c>
    </row>
    <row r="3513" spans="1:2" ht="16.149999999999999" customHeight="1">
      <c r="A3513" s="877">
        <v>37073</v>
      </c>
      <c r="B3513" s="878">
        <v>2298.85</v>
      </c>
    </row>
    <row r="3514" spans="1:2" ht="16.149999999999999" customHeight="1">
      <c r="A3514" s="877">
        <v>37074</v>
      </c>
      <c r="B3514" s="880">
        <v>2298.85</v>
      </c>
    </row>
    <row r="3515" spans="1:2" ht="16.149999999999999" customHeight="1">
      <c r="A3515" s="877">
        <v>37075</v>
      </c>
      <c r="B3515" s="878">
        <v>2298.85</v>
      </c>
    </row>
    <row r="3516" spans="1:2" ht="16.149999999999999" customHeight="1">
      <c r="A3516" s="877">
        <v>37076</v>
      </c>
      <c r="B3516" s="880">
        <v>2300.02</v>
      </c>
    </row>
    <row r="3517" spans="1:2" ht="16.149999999999999" customHeight="1">
      <c r="A3517" s="877">
        <v>37077</v>
      </c>
      <c r="B3517" s="878">
        <v>2303.2600000000002</v>
      </c>
    </row>
    <row r="3518" spans="1:2" ht="16.149999999999999" customHeight="1">
      <c r="A3518" s="877">
        <v>37078</v>
      </c>
      <c r="B3518" s="880">
        <v>2303.36</v>
      </c>
    </row>
    <row r="3519" spans="1:2" ht="16.149999999999999" customHeight="1">
      <c r="A3519" s="877">
        <v>37079</v>
      </c>
      <c r="B3519" s="878">
        <v>2304.75</v>
      </c>
    </row>
    <row r="3520" spans="1:2" ht="16.149999999999999" customHeight="1">
      <c r="A3520" s="877">
        <v>37080</v>
      </c>
      <c r="B3520" s="880">
        <v>2304.75</v>
      </c>
    </row>
    <row r="3521" spans="1:2" ht="16.149999999999999" customHeight="1">
      <c r="A3521" s="877">
        <v>37081</v>
      </c>
      <c r="B3521" s="878">
        <v>2304.75</v>
      </c>
    </row>
    <row r="3522" spans="1:2" ht="16.149999999999999" customHeight="1">
      <c r="A3522" s="877">
        <v>37082</v>
      </c>
      <c r="B3522" s="880">
        <v>2305.37</v>
      </c>
    </row>
    <row r="3523" spans="1:2" ht="16.149999999999999" customHeight="1">
      <c r="A3523" s="877">
        <v>37083</v>
      </c>
      <c r="B3523" s="878">
        <v>2306.16</v>
      </c>
    </row>
    <row r="3524" spans="1:2" ht="16.149999999999999" customHeight="1">
      <c r="A3524" s="877">
        <v>37084</v>
      </c>
      <c r="B3524" s="880">
        <v>2312.21</v>
      </c>
    </row>
    <row r="3525" spans="1:2" ht="16.149999999999999" customHeight="1">
      <c r="A3525" s="877">
        <v>37085</v>
      </c>
      <c r="B3525" s="878">
        <v>2323.9899999999998</v>
      </c>
    </row>
    <row r="3526" spans="1:2" ht="16.149999999999999" customHeight="1">
      <c r="A3526" s="877">
        <v>37086</v>
      </c>
      <c r="B3526" s="880">
        <v>2317.92</v>
      </c>
    </row>
    <row r="3527" spans="1:2" ht="16.149999999999999" customHeight="1">
      <c r="A3527" s="877">
        <v>37087</v>
      </c>
      <c r="B3527" s="878">
        <v>2317.92</v>
      </c>
    </row>
    <row r="3528" spans="1:2" ht="16.149999999999999" customHeight="1">
      <c r="A3528" s="877">
        <v>37088</v>
      </c>
      <c r="B3528" s="880">
        <v>2317.92</v>
      </c>
    </row>
    <row r="3529" spans="1:2" ht="16.149999999999999" customHeight="1">
      <c r="A3529" s="877">
        <v>37089</v>
      </c>
      <c r="B3529" s="878">
        <v>2302.56</v>
      </c>
    </row>
    <row r="3530" spans="1:2" ht="16.149999999999999" customHeight="1">
      <c r="A3530" s="877">
        <v>37090</v>
      </c>
      <c r="B3530" s="880">
        <v>2298.7600000000002</v>
      </c>
    </row>
    <row r="3531" spans="1:2" ht="16.149999999999999" customHeight="1">
      <c r="A3531" s="877">
        <v>37091</v>
      </c>
      <c r="B3531" s="878">
        <v>2298.63</v>
      </c>
    </row>
    <row r="3532" spans="1:2" ht="16.149999999999999" customHeight="1">
      <c r="A3532" s="877">
        <v>37092</v>
      </c>
      <c r="B3532" s="880">
        <v>2301.67</v>
      </c>
    </row>
    <row r="3533" spans="1:2" ht="16.149999999999999" customHeight="1">
      <c r="A3533" s="877">
        <v>37093</v>
      </c>
      <c r="B3533" s="878">
        <v>2301.67</v>
      </c>
    </row>
    <row r="3534" spans="1:2" ht="16.149999999999999" customHeight="1">
      <c r="A3534" s="877">
        <v>37094</v>
      </c>
      <c r="B3534" s="880">
        <v>2301.67</v>
      </c>
    </row>
    <row r="3535" spans="1:2" ht="16.149999999999999" customHeight="1">
      <c r="A3535" s="877">
        <v>37095</v>
      </c>
      <c r="B3535" s="878">
        <v>2301.67</v>
      </c>
    </row>
    <row r="3536" spans="1:2" ht="16.149999999999999" customHeight="1">
      <c r="A3536" s="877">
        <v>37096</v>
      </c>
      <c r="B3536" s="880">
        <v>2302.2600000000002</v>
      </c>
    </row>
    <row r="3537" spans="1:2" ht="16.149999999999999" customHeight="1">
      <c r="A3537" s="877">
        <v>37097</v>
      </c>
      <c r="B3537" s="878">
        <v>2301.56</v>
      </c>
    </row>
    <row r="3538" spans="1:2" ht="16.149999999999999" customHeight="1">
      <c r="A3538" s="877">
        <v>37098</v>
      </c>
      <c r="B3538" s="880">
        <v>2302.6999999999998</v>
      </c>
    </row>
    <row r="3539" spans="1:2" ht="16.149999999999999" customHeight="1">
      <c r="A3539" s="877">
        <v>37099</v>
      </c>
      <c r="B3539" s="878">
        <v>2301.5300000000002</v>
      </c>
    </row>
    <row r="3540" spans="1:2" ht="16.149999999999999" customHeight="1">
      <c r="A3540" s="877">
        <v>37100</v>
      </c>
      <c r="B3540" s="880">
        <v>2301.6999999999998</v>
      </c>
    </row>
    <row r="3541" spans="1:2" ht="16.149999999999999" customHeight="1">
      <c r="A3541" s="877">
        <v>37101</v>
      </c>
      <c r="B3541" s="878">
        <v>2301.6999999999998</v>
      </c>
    </row>
    <row r="3542" spans="1:2" ht="16.149999999999999" customHeight="1">
      <c r="A3542" s="877">
        <v>37102</v>
      </c>
      <c r="B3542" s="880">
        <v>2301.6999999999998</v>
      </c>
    </row>
    <row r="3543" spans="1:2" ht="16.149999999999999" customHeight="1">
      <c r="A3543" s="877">
        <v>37103</v>
      </c>
      <c r="B3543" s="878">
        <v>2298.27</v>
      </c>
    </row>
    <row r="3544" spans="1:2" ht="16.149999999999999" customHeight="1">
      <c r="A3544" s="877">
        <v>37104</v>
      </c>
      <c r="B3544" s="880">
        <v>2293.25</v>
      </c>
    </row>
    <row r="3545" spans="1:2" ht="16.149999999999999" customHeight="1">
      <c r="A3545" s="877">
        <v>37105</v>
      </c>
      <c r="B3545" s="878">
        <v>2295.19</v>
      </c>
    </row>
    <row r="3546" spans="1:2" ht="16.149999999999999" customHeight="1">
      <c r="A3546" s="877">
        <v>37106</v>
      </c>
      <c r="B3546" s="880">
        <v>2298.91</v>
      </c>
    </row>
    <row r="3547" spans="1:2" ht="16.149999999999999" customHeight="1">
      <c r="A3547" s="877">
        <v>37107</v>
      </c>
      <c r="B3547" s="878">
        <v>2295.7199999999998</v>
      </c>
    </row>
    <row r="3548" spans="1:2" ht="16.149999999999999" customHeight="1">
      <c r="A3548" s="877">
        <v>37108</v>
      </c>
      <c r="B3548" s="880">
        <v>2295.7199999999998</v>
      </c>
    </row>
    <row r="3549" spans="1:2" ht="16.149999999999999" customHeight="1">
      <c r="A3549" s="877">
        <v>37109</v>
      </c>
      <c r="B3549" s="878">
        <v>2295.7199999999998</v>
      </c>
    </row>
    <row r="3550" spans="1:2" ht="16.149999999999999" customHeight="1">
      <c r="A3550" s="877">
        <v>37110</v>
      </c>
      <c r="B3550" s="880">
        <v>2291.46</v>
      </c>
    </row>
    <row r="3551" spans="1:2" ht="16.149999999999999" customHeight="1">
      <c r="A3551" s="877">
        <v>37111</v>
      </c>
      <c r="B3551" s="878">
        <v>2291.46</v>
      </c>
    </row>
    <row r="3552" spans="1:2" ht="16.149999999999999" customHeight="1">
      <c r="A3552" s="877">
        <v>37112</v>
      </c>
      <c r="B3552" s="880">
        <v>2295.0500000000002</v>
      </c>
    </row>
    <row r="3553" spans="1:2" ht="16.149999999999999" customHeight="1">
      <c r="A3553" s="877">
        <v>37113</v>
      </c>
      <c r="B3553" s="878">
        <v>2291.5</v>
      </c>
    </row>
    <row r="3554" spans="1:2" ht="16.149999999999999" customHeight="1">
      <c r="A3554" s="877">
        <v>37114</v>
      </c>
      <c r="B3554" s="880">
        <v>2288.0300000000002</v>
      </c>
    </row>
    <row r="3555" spans="1:2" ht="16.149999999999999" customHeight="1">
      <c r="A3555" s="877">
        <v>37115</v>
      </c>
      <c r="B3555" s="878">
        <v>2288.0300000000002</v>
      </c>
    </row>
    <row r="3556" spans="1:2" ht="16.149999999999999" customHeight="1">
      <c r="A3556" s="877">
        <v>37116</v>
      </c>
      <c r="B3556" s="880">
        <v>2288.0300000000002</v>
      </c>
    </row>
    <row r="3557" spans="1:2" ht="16.149999999999999" customHeight="1">
      <c r="A3557" s="877">
        <v>37117</v>
      </c>
      <c r="B3557" s="878">
        <v>2284.9</v>
      </c>
    </row>
    <row r="3558" spans="1:2" ht="16.149999999999999" customHeight="1">
      <c r="A3558" s="877">
        <v>37118</v>
      </c>
      <c r="B3558" s="880">
        <v>2284.98</v>
      </c>
    </row>
    <row r="3559" spans="1:2" ht="16.149999999999999" customHeight="1">
      <c r="A3559" s="877">
        <v>37119</v>
      </c>
      <c r="B3559" s="878">
        <v>2291.41</v>
      </c>
    </row>
    <row r="3560" spans="1:2" ht="16.149999999999999" customHeight="1">
      <c r="A3560" s="877">
        <v>37120</v>
      </c>
      <c r="B3560" s="880">
        <v>2288.1799999999998</v>
      </c>
    </row>
    <row r="3561" spans="1:2" ht="16.149999999999999" customHeight="1">
      <c r="A3561" s="877">
        <v>37121</v>
      </c>
      <c r="B3561" s="878">
        <v>2285.06</v>
      </c>
    </row>
    <row r="3562" spans="1:2" ht="16.149999999999999" customHeight="1">
      <c r="A3562" s="877">
        <v>37122</v>
      </c>
      <c r="B3562" s="880">
        <v>2285.06</v>
      </c>
    </row>
    <row r="3563" spans="1:2" ht="16.149999999999999" customHeight="1">
      <c r="A3563" s="877">
        <v>37123</v>
      </c>
      <c r="B3563" s="878">
        <v>2285.06</v>
      </c>
    </row>
    <row r="3564" spans="1:2" ht="16.149999999999999" customHeight="1">
      <c r="A3564" s="877">
        <v>37124</v>
      </c>
      <c r="B3564" s="880">
        <v>2285.06</v>
      </c>
    </row>
    <row r="3565" spans="1:2" ht="16.149999999999999" customHeight="1">
      <c r="A3565" s="877">
        <v>37125</v>
      </c>
      <c r="B3565" s="878">
        <v>2283.86</v>
      </c>
    </row>
    <row r="3566" spans="1:2" ht="16.149999999999999" customHeight="1">
      <c r="A3566" s="877">
        <v>37126</v>
      </c>
      <c r="B3566" s="880">
        <v>2279.25</v>
      </c>
    </row>
    <row r="3567" spans="1:2" ht="16.149999999999999" customHeight="1">
      <c r="A3567" s="877">
        <v>37127</v>
      </c>
      <c r="B3567" s="878">
        <v>2275.0700000000002</v>
      </c>
    </row>
    <row r="3568" spans="1:2" ht="16.149999999999999" customHeight="1">
      <c r="A3568" s="877">
        <v>37128</v>
      </c>
      <c r="B3568" s="880">
        <v>2273.5</v>
      </c>
    </row>
    <row r="3569" spans="1:2" ht="16.149999999999999" customHeight="1">
      <c r="A3569" s="877">
        <v>37129</v>
      </c>
      <c r="B3569" s="878">
        <v>2273.5</v>
      </c>
    </row>
    <row r="3570" spans="1:2" ht="16.149999999999999" customHeight="1">
      <c r="A3570" s="877">
        <v>37130</v>
      </c>
      <c r="B3570" s="880">
        <v>2273.5</v>
      </c>
    </row>
    <row r="3571" spans="1:2" ht="16.149999999999999" customHeight="1">
      <c r="A3571" s="877">
        <v>37131</v>
      </c>
      <c r="B3571" s="878">
        <v>2282.56</v>
      </c>
    </row>
    <row r="3572" spans="1:2" ht="16.149999999999999" customHeight="1">
      <c r="A3572" s="877">
        <v>37132</v>
      </c>
      <c r="B3572" s="880">
        <v>2290.5700000000002</v>
      </c>
    </row>
    <row r="3573" spans="1:2" ht="16.149999999999999" customHeight="1">
      <c r="A3573" s="877">
        <v>37133</v>
      </c>
      <c r="B3573" s="878">
        <v>2297.2399999999998</v>
      </c>
    </row>
    <row r="3574" spans="1:2" ht="16.149999999999999" customHeight="1">
      <c r="A3574" s="877">
        <v>37134</v>
      </c>
      <c r="B3574" s="880">
        <v>2301.23</v>
      </c>
    </row>
    <row r="3575" spans="1:2" ht="16.149999999999999" customHeight="1">
      <c r="A3575" s="877">
        <v>37135</v>
      </c>
      <c r="B3575" s="878">
        <v>2296.85</v>
      </c>
    </row>
    <row r="3576" spans="1:2" ht="16.149999999999999" customHeight="1">
      <c r="A3576" s="877">
        <v>37136</v>
      </c>
      <c r="B3576" s="880">
        <v>2296.85</v>
      </c>
    </row>
    <row r="3577" spans="1:2" ht="16.149999999999999" customHeight="1">
      <c r="A3577" s="877">
        <v>37137</v>
      </c>
      <c r="B3577" s="878">
        <v>2296.85</v>
      </c>
    </row>
    <row r="3578" spans="1:2" ht="16.149999999999999" customHeight="1">
      <c r="A3578" s="877">
        <v>37138</v>
      </c>
      <c r="B3578" s="880">
        <v>2305.15</v>
      </c>
    </row>
    <row r="3579" spans="1:2" ht="16.149999999999999" customHeight="1">
      <c r="A3579" s="877">
        <v>37139</v>
      </c>
      <c r="B3579" s="878">
        <v>2305.2800000000002</v>
      </c>
    </row>
    <row r="3580" spans="1:2" ht="16.149999999999999" customHeight="1">
      <c r="A3580" s="877">
        <v>37140</v>
      </c>
      <c r="B3580" s="880">
        <v>2312.87</v>
      </c>
    </row>
    <row r="3581" spans="1:2" ht="16.149999999999999" customHeight="1">
      <c r="A3581" s="877">
        <v>37141</v>
      </c>
      <c r="B3581" s="878">
        <v>2317.02</v>
      </c>
    </row>
    <row r="3582" spans="1:2" ht="16.149999999999999" customHeight="1">
      <c r="A3582" s="877">
        <v>37142</v>
      </c>
      <c r="B3582" s="880">
        <v>2320.09</v>
      </c>
    </row>
    <row r="3583" spans="1:2" ht="16.149999999999999" customHeight="1">
      <c r="A3583" s="877">
        <v>37143</v>
      </c>
      <c r="B3583" s="878">
        <v>2320.09</v>
      </c>
    </row>
    <row r="3584" spans="1:2" ht="16.149999999999999" customHeight="1">
      <c r="A3584" s="877">
        <v>37144</v>
      </c>
      <c r="B3584" s="880">
        <v>2320.09</v>
      </c>
    </row>
    <row r="3585" spans="1:2" ht="16.149999999999999" customHeight="1">
      <c r="A3585" s="877">
        <v>37145</v>
      </c>
      <c r="B3585" s="878">
        <v>2324.7800000000002</v>
      </c>
    </row>
    <row r="3586" spans="1:2" ht="16.149999999999999" customHeight="1">
      <c r="A3586" s="877">
        <v>37146</v>
      </c>
      <c r="B3586" s="880">
        <v>2341.2800000000002</v>
      </c>
    </row>
    <row r="3587" spans="1:2" ht="16.149999999999999" customHeight="1">
      <c r="A3587" s="877">
        <v>37147</v>
      </c>
      <c r="B3587" s="878">
        <v>2341.14</v>
      </c>
    </row>
    <row r="3588" spans="1:2" ht="16.149999999999999" customHeight="1">
      <c r="A3588" s="877">
        <v>37148</v>
      </c>
      <c r="B3588" s="880">
        <v>2337.25</v>
      </c>
    </row>
    <row r="3589" spans="1:2" ht="16.149999999999999" customHeight="1">
      <c r="A3589" s="877">
        <v>37149</v>
      </c>
      <c r="B3589" s="878">
        <v>2342.44</v>
      </c>
    </row>
    <row r="3590" spans="1:2" ht="16.149999999999999" customHeight="1">
      <c r="A3590" s="877">
        <v>37150</v>
      </c>
      <c r="B3590" s="880">
        <v>2342.44</v>
      </c>
    </row>
    <row r="3591" spans="1:2" ht="16.149999999999999" customHeight="1">
      <c r="A3591" s="877">
        <v>37151</v>
      </c>
      <c r="B3591" s="878">
        <v>2342.44</v>
      </c>
    </row>
    <row r="3592" spans="1:2" ht="16.149999999999999" customHeight="1">
      <c r="A3592" s="877">
        <v>37152</v>
      </c>
      <c r="B3592" s="880">
        <v>2342.1799999999998</v>
      </c>
    </row>
    <row r="3593" spans="1:2" ht="16.149999999999999" customHeight="1">
      <c r="A3593" s="877">
        <v>37153</v>
      </c>
      <c r="B3593" s="878">
        <v>2338.39</v>
      </c>
    </row>
    <row r="3594" spans="1:2" ht="16.149999999999999" customHeight="1">
      <c r="A3594" s="877">
        <v>37154</v>
      </c>
      <c r="B3594" s="880">
        <v>2342.04</v>
      </c>
    </row>
    <row r="3595" spans="1:2" ht="16.149999999999999" customHeight="1">
      <c r="A3595" s="877">
        <v>37155</v>
      </c>
      <c r="B3595" s="878">
        <v>2341.6799999999998</v>
      </c>
    </row>
    <row r="3596" spans="1:2" ht="16.149999999999999" customHeight="1">
      <c r="A3596" s="877">
        <v>37156</v>
      </c>
      <c r="B3596" s="880">
        <v>2342.1799999999998</v>
      </c>
    </row>
    <row r="3597" spans="1:2" ht="16.149999999999999" customHeight="1">
      <c r="A3597" s="877">
        <v>37157</v>
      </c>
      <c r="B3597" s="878">
        <v>2342.1799999999998</v>
      </c>
    </row>
    <row r="3598" spans="1:2" ht="16.149999999999999" customHeight="1">
      <c r="A3598" s="877">
        <v>37158</v>
      </c>
      <c r="B3598" s="880">
        <v>2342.1799999999998</v>
      </c>
    </row>
    <row r="3599" spans="1:2" ht="16.149999999999999" customHeight="1">
      <c r="A3599" s="877">
        <v>37159</v>
      </c>
      <c r="B3599" s="878">
        <v>2329.6999999999998</v>
      </c>
    </row>
    <row r="3600" spans="1:2" ht="16.149999999999999" customHeight="1">
      <c r="A3600" s="877">
        <v>37160</v>
      </c>
      <c r="B3600" s="880">
        <v>2327.09</v>
      </c>
    </row>
    <row r="3601" spans="1:2" ht="16.149999999999999" customHeight="1">
      <c r="A3601" s="877">
        <v>37161</v>
      </c>
      <c r="B3601" s="878">
        <v>2328.4899999999998</v>
      </c>
    </row>
    <row r="3602" spans="1:2" ht="16.149999999999999" customHeight="1">
      <c r="A3602" s="877">
        <v>37162</v>
      </c>
      <c r="B3602" s="880">
        <v>2328.75</v>
      </c>
    </row>
    <row r="3603" spans="1:2" ht="16.149999999999999" customHeight="1">
      <c r="A3603" s="877">
        <v>37163</v>
      </c>
      <c r="B3603" s="878">
        <v>2332.19</v>
      </c>
    </row>
    <row r="3604" spans="1:2" ht="16.149999999999999" customHeight="1">
      <c r="A3604" s="877">
        <v>37164</v>
      </c>
      <c r="B3604" s="880">
        <v>2332.19</v>
      </c>
    </row>
    <row r="3605" spans="1:2" ht="16.149999999999999" customHeight="1">
      <c r="A3605" s="877">
        <v>37165</v>
      </c>
      <c r="B3605" s="878">
        <v>2332.19</v>
      </c>
    </row>
    <row r="3606" spans="1:2" ht="16.149999999999999" customHeight="1">
      <c r="A3606" s="877">
        <v>37166</v>
      </c>
      <c r="B3606" s="880">
        <v>2338.4499999999998</v>
      </c>
    </row>
    <row r="3607" spans="1:2" ht="16.149999999999999" customHeight="1">
      <c r="A3607" s="877">
        <v>37167</v>
      </c>
      <c r="B3607" s="878">
        <v>2334.2399999999998</v>
      </c>
    </row>
    <row r="3608" spans="1:2" ht="16.149999999999999" customHeight="1">
      <c r="A3608" s="877">
        <v>37168</v>
      </c>
      <c r="B3608" s="880">
        <v>2336.1799999999998</v>
      </c>
    </row>
    <row r="3609" spans="1:2" ht="16.149999999999999" customHeight="1">
      <c r="A3609" s="877">
        <v>37169</v>
      </c>
      <c r="B3609" s="878">
        <v>2336.2800000000002</v>
      </c>
    </row>
    <row r="3610" spans="1:2" ht="16.149999999999999" customHeight="1">
      <c r="A3610" s="877">
        <v>37170</v>
      </c>
      <c r="B3610" s="880">
        <v>2331.0300000000002</v>
      </c>
    </row>
    <row r="3611" spans="1:2" ht="16.149999999999999" customHeight="1">
      <c r="A3611" s="877">
        <v>37171</v>
      </c>
      <c r="B3611" s="878">
        <v>2331.0300000000002</v>
      </c>
    </row>
    <row r="3612" spans="1:2" ht="16.149999999999999" customHeight="1">
      <c r="A3612" s="877">
        <v>37172</v>
      </c>
      <c r="B3612" s="880">
        <v>2331.0300000000002</v>
      </c>
    </row>
    <row r="3613" spans="1:2" ht="16.149999999999999" customHeight="1">
      <c r="A3613" s="877">
        <v>37173</v>
      </c>
      <c r="B3613" s="878">
        <v>2331.02</v>
      </c>
    </row>
    <row r="3614" spans="1:2" ht="16.149999999999999" customHeight="1">
      <c r="A3614" s="877">
        <v>37174</v>
      </c>
      <c r="B3614" s="880">
        <v>2328.91</v>
      </c>
    </row>
    <row r="3615" spans="1:2" ht="16.149999999999999" customHeight="1">
      <c r="A3615" s="877">
        <v>37175</v>
      </c>
      <c r="B3615" s="878">
        <v>2320.41</v>
      </c>
    </row>
    <row r="3616" spans="1:2" ht="16.149999999999999" customHeight="1">
      <c r="A3616" s="877">
        <v>37176</v>
      </c>
      <c r="B3616" s="880">
        <v>2312.33</v>
      </c>
    </row>
    <row r="3617" spans="1:2" ht="16.149999999999999" customHeight="1">
      <c r="A3617" s="877">
        <v>37177</v>
      </c>
      <c r="B3617" s="878">
        <v>2314.7399999999998</v>
      </c>
    </row>
    <row r="3618" spans="1:2" ht="16.149999999999999" customHeight="1">
      <c r="A3618" s="877">
        <v>37178</v>
      </c>
      <c r="B3618" s="880">
        <v>2314.7399999999998</v>
      </c>
    </row>
    <row r="3619" spans="1:2" ht="16.149999999999999" customHeight="1">
      <c r="A3619" s="877">
        <v>37179</v>
      </c>
      <c r="B3619" s="878">
        <v>2314.7399999999998</v>
      </c>
    </row>
    <row r="3620" spans="1:2" ht="16.149999999999999" customHeight="1">
      <c r="A3620" s="877">
        <v>37180</v>
      </c>
      <c r="B3620" s="880">
        <v>2314.7399999999998</v>
      </c>
    </row>
    <row r="3621" spans="1:2" ht="16.149999999999999" customHeight="1">
      <c r="A3621" s="877">
        <v>37181</v>
      </c>
      <c r="B3621" s="878">
        <v>2303.3000000000002</v>
      </c>
    </row>
    <row r="3622" spans="1:2" ht="16.149999999999999" customHeight="1">
      <c r="A3622" s="877">
        <v>37182</v>
      </c>
      <c r="B3622" s="880">
        <v>2300.0100000000002</v>
      </c>
    </row>
    <row r="3623" spans="1:2" ht="16.149999999999999" customHeight="1">
      <c r="A3623" s="877">
        <v>37183</v>
      </c>
      <c r="B3623" s="878">
        <v>2313.2399999999998</v>
      </c>
    </row>
    <row r="3624" spans="1:2" ht="16.149999999999999" customHeight="1">
      <c r="A3624" s="877">
        <v>37184</v>
      </c>
      <c r="B3624" s="880">
        <v>2315.2600000000002</v>
      </c>
    </row>
    <row r="3625" spans="1:2" ht="16.149999999999999" customHeight="1">
      <c r="A3625" s="877">
        <v>37185</v>
      </c>
      <c r="B3625" s="878">
        <v>2315.2600000000002</v>
      </c>
    </row>
    <row r="3626" spans="1:2" ht="16.149999999999999" customHeight="1">
      <c r="A3626" s="877">
        <v>37186</v>
      </c>
      <c r="B3626" s="880">
        <v>2315.2600000000002</v>
      </c>
    </row>
    <row r="3627" spans="1:2" ht="16.149999999999999" customHeight="1">
      <c r="A3627" s="877">
        <v>37187</v>
      </c>
      <c r="B3627" s="878">
        <v>2318.4699999999998</v>
      </c>
    </row>
    <row r="3628" spans="1:2" ht="16.149999999999999" customHeight="1">
      <c r="A3628" s="877">
        <v>37188</v>
      </c>
      <c r="B3628" s="880">
        <v>2316.14</v>
      </c>
    </row>
    <row r="3629" spans="1:2" ht="16.149999999999999" customHeight="1">
      <c r="A3629" s="877">
        <v>37189</v>
      </c>
      <c r="B3629" s="878">
        <v>2319.5300000000002</v>
      </c>
    </row>
    <row r="3630" spans="1:2" ht="16.149999999999999" customHeight="1">
      <c r="A3630" s="877">
        <v>37190</v>
      </c>
      <c r="B3630" s="880">
        <v>2316.6799999999998</v>
      </c>
    </row>
    <row r="3631" spans="1:2" ht="16.149999999999999" customHeight="1">
      <c r="A3631" s="877">
        <v>37191</v>
      </c>
      <c r="B3631" s="878">
        <v>2314.5</v>
      </c>
    </row>
    <row r="3632" spans="1:2" ht="16.149999999999999" customHeight="1">
      <c r="A3632" s="877">
        <v>37192</v>
      </c>
      <c r="B3632" s="880">
        <v>2314.5</v>
      </c>
    </row>
    <row r="3633" spans="1:2" ht="16.149999999999999" customHeight="1">
      <c r="A3633" s="877">
        <v>37193</v>
      </c>
      <c r="B3633" s="878">
        <v>2314.5</v>
      </c>
    </row>
    <row r="3634" spans="1:2" ht="16.149999999999999" customHeight="1">
      <c r="A3634" s="877">
        <v>37194</v>
      </c>
      <c r="B3634" s="880">
        <v>2311.42</v>
      </c>
    </row>
    <row r="3635" spans="1:2" ht="16.149999999999999" customHeight="1">
      <c r="A3635" s="877">
        <v>37195</v>
      </c>
      <c r="B3635" s="878">
        <v>2310.02</v>
      </c>
    </row>
    <row r="3636" spans="1:2" ht="16.149999999999999" customHeight="1">
      <c r="A3636" s="877">
        <v>37196</v>
      </c>
      <c r="B3636" s="880">
        <v>2309.12</v>
      </c>
    </row>
    <row r="3637" spans="1:2" ht="16.149999999999999" customHeight="1">
      <c r="A3637" s="877">
        <v>37197</v>
      </c>
      <c r="B3637" s="878">
        <v>2309.89</v>
      </c>
    </row>
    <row r="3638" spans="1:2" ht="16.149999999999999" customHeight="1">
      <c r="A3638" s="877">
        <v>37198</v>
      </c>
      <c r="B3638" s="880">
        <v>2309.42</v>
      </c>
    </row>
    <row r="3639" spans="1:2" ht="16.149999999999999" customHeight="1">
      <c r="A3639" s="877">
        <v>37199</v>
      </c>
      <c r="B3639" s="878">
        <v>2309.42</v>
      </c>
    </row>
    <row r="3640" spans="1:2" ht="16.149999999999999" customHeight="1">
      <c r="A3640" s="877">
        <v>37200</v>
      </c>
      <c r="B3640" s="880">
        <v>2309.42</v>
      </c>
    </row>
    <row r="3641" spans="1:2" ht="16.149999999999999" customHeight="1">
      <c r="A3641" s="877">
        <v>37201</v>
      </c>
      <c r="B3641" s="878">
        <v>2309.42</v>
      </c>
    </row>
    <row r="3642" spans="1:2" ht="16.149999999999999" customHeight="1">
      <c r="A3642" s="877">
        <v>37202</v>
      </c>
      <c r="B3642" s="880">
        <v>2309.2199999999998</v>
      </c>
    </row>
    <row r="3643" spans="1:2" ht="16.149999999999999" customHeight="1">
      <c r="A3643" s="877">
        <v>37203</v>
      </c>
      <c r="B3643" s="878">
        <v>2306.5700000000002</v>
      </c>
    </row>
    <row r="3644" spans="1:2" ht="16.149999999999999" customHeight="1">
      <c r="A3644" s="877">
        <v>37204</v>
      </c>
      <c r="B3644" s="880">
        <v>2307.2399999999998</v>
      </c>
    </row>
    <row r="3645" spans="1:2" ht="16.149999999999999" customHeight="1">
      <c r="A3645" s="877">
        <v>37205</v>
      </c>
      <c r="B3645" s="878">
        <v>2303.6799999999998</v>
      </c>
    </row>
    <row r="3646" spans="1:2" ht="16.149999999999999" customHeight="1">
      <c r="A3646" s="877">
        <v>37206</v>
      </c>
      <c r="B3646" s="880">
        <v>2303.6799999999998</v>
      </c>
    </row>
    <row r="3647" spans="1:2" ht="16.149999999999999" customHeight="1">
      <c r="A3647" s="877">
        <v>37207</v>
      </c>
      <c r="B3647" s="878">
        <v>2303.6799999999998</v>
      </c>
    </row>
    <row r="3648" spans="1:2" ht="16.149999999999999" customHeight="1">
      <c r="A3648" s="877">
        <v>37208</v>
      </c>
      <c r="B3648" s="880">
        <v>2303.6799999999998</v>
      </c>
    </row>
    <row r="3649" spans="1:2" ht="16.149999999999999" customHeight="1">
      <c r="A3649" s="877">
        <v>37209</v>
      </c>
      <c r="B3649" s="878">
        <v>2300.69</v>
      </c>
    </row>
    <row r="3650" spans="1:2" ht="16.149999999999999" customHeight="1">
      <c r="A3650" s="877">
        <v>37210</v>
      </c>
      <c r="B3650" s="880">
        <v>2302.81</v>
      </c>
    </row>
    <row r="3651" spans="1:2" ht="16.149999999999999" customHeight="1">
      <c r="A3651" s="877">
        <v>37211</v>
      </c>
      <c r="B3651" s="878">
        <v>2311.5700000000002</v>
      </c>
    </row>
    <row r="3652" spans="1:2" ht="16.149999999999999" customHeight="1">
      <c r="A3652" s="877">
        <v>37212</v>
      </c>
      <c r="B3652" s="880">
        <v>2314.33</v>
      </c>
    </row>
    <row r="3653" spans="1:2" ht="16.149999999999999" customHeight="1">
      <c r="A3653" s="877">
        <v>37213</v>
      </c>
      <c r="B3653" s="878">
        <v>2314.33</v>
      </c>
    </row>
    <row r="3654" spans="1:2" ht="16.149999999999999" customHeight="1">
      <c r="A3654" s="877">
        <v>37214</v>
      </c>
      <c r="B3654" s="880">
        <v>2314.33</v>
      </c>
    </row>
    <row r="3655" spans="1:2" ht="16.149999999999999" customHeight="1">
      <c r="A3655" s="877">
        <v>37215</v>
      </c>
      <c r="B3655" s="878">
        <v>2310.9</v>
      </c>
    </row>
    <row r="3656" spans="1:2" ht="16.149999999999999" customHeight="1">
      <c r="A3656" s="877">
        <v>37216</v>
      </c>
      <c r="B3656" s="880">
        <v>2314.86</v>
      </c>
    </row>
    <row r="3657" spans="1:2" ht="16.149999999999999" customHeight="1">
      <c r="A3657" s="877">
        <v>37217</v>
      </c>
      <c r="B3657" s="878">
        <v>2319.34</v>
      </c>
    </row>
    <row r="3658" spans="1:2" ht="16.149999999999999" customHeight="1">
      <c r="A3658" s="877">
        <v>37218</v>
      </c>
      <c r="B3658" s="880">
        <v>2317.5700000000002</v>
      </c>
    </row>
    <row r="3659" spans="1:2" ht="16.149999999999999" customHeight="1">
      <c r="A3659" s="877">
        <v>37219</v>
      </c>
      <c r="B3659" s="878">
        <v>2316.4</v>
      </c>
    </row>
    <row r="3660" spans="1:2" ht="16.149999999999999" customHeight="1">
      <c r="A3660" s="877">
        <v>37220</v>
      </c>
      <c r="B3660" s="880">
        <v>2316.4</v>
      </c>
    </row>
    <row r="3661" spans="1:2" ht="16.149999999999999" customHeight="1">
      <c r="A3661" s="877">
        <v>37221</v>
      </c>
      <c r="B3661" s="878">
        <v>2316.4</v>
      </c>
    </row>
    <row r="3662" spans="1:2" ht="16.149999999999999" customHeight="1">
      <c r="A3662" s="877">
        <v>37222</v>
      </c>
      <c r="B3662" s="880">
        <v>2313.2600000000002</v>
      </c>
    </row>
    <row r="3663" spans="1:2" ht="16.149999999999999" customHeight="1">
      <c r="A3663" s="877">
        <v>37223</v>
      </c>
      <c r="B3663" s="878">
        <v>2312.9</v>
      </c>
    </row>
    <row r="3664" spans="1:2" ht="16.149999999999999" customHeight="1">
      <c r="A3664" s="877">
        <v>37224</v>
      </c>
      <c r="B3664" s="880">
        <v>2310.9699999999998</v>
      </c>
    </row>
    <row r="3665" spans="1:2" ht="16.149999999999999" customHeight="1">
      <c r="A3665" s="877">
        <v>37225</v>
      </c>
      <c r="B3665" s="878">
        <v>2308.59</v>
      </c>
    </row>
    <row r="3666" spans="1:2" ht="16.149999999999999" customHeight="1">
      <c r="A3666" s="877">
        <v>37226</v>
      </c>
      <c r="B3666" s="880">
        <v>2303.35</v>
      </c>
    </row>
    <row r="3667" spans="1:2" ht="16.149999999999999" customHeight="1">
      <c r="A3667" s="877">
        <v>37227</v>
      </c>
      <c r="B3667" s="878">
        <v>2303.35</v>
      </c>
    </row>
    <row r="3668" spans="1:2" ht="16.149999999999999" customHeight="1">
      <c r="A3668" s="877">
        <v>37228</v>
      </c>
      <c r="B3668" s="880">
        <v>2303.35</v>
      </c>
    </row>
    <row r="3669" spans="1:2" ht="16.149999999999999" customHeight="1">
      <c r="A3669" s="877">
        <v>37229</v>
      </c>
      <c r="B3669" s="878">
        <v>2304.13</v>
      </c>
    </row>
    <row r="3670" spans="1:2" ht="16.149999999999999" customHeight="1">
      <c r="A3670" s="877">
        <v>37230</v>
      </c>
      <c r="B3670" s="880">
        <v>2314.7600000000002</v>
      </c>
    </row>
    <row r="3671" spans="1:2" ht="16.149999999999999" customHeight="1">
      <c r="A3671" s="877">
        <v>37231</v>
      </c>
      <c r="B3671" s="878">
        <v>2315.36</v>
      </c>
    </row>
    <row r="3672" spans="1:2" ht="16.149999999999999" customHeight="1">
      <c r="A3672" s="877">
        <v>37232</v>
      </c>
      <c r="B3672" s="880">
        <v>2314.89</v>
      </c>
    </row>
    <row r="3673" spans="1:2" ht="16.149999999999999" customHeight="1">
      <c r="A3673" s="877">
        <v>37233</v>
      </c>
      <c r="B3673" s="878">
        <v>2310.9</v>
      </c>
    </row>
    <row r="3674" spans="1:2" ht="16.149999999999999" customHeight="1">
      <c r="A3674" s="877">
        <v>37234</v>
      </c>
      <c r="B3674" s="880">
        <v>2310.9</v>
      </c>
    </row>
    <row r="3675" spans="1:2" ht="16.149999999999999" customHeight="1">
      <c r="A3675" s="877">
        <v>37235</v>
      </c>
      <c r="B3675" s="878">
        <v>2310.9</v>
      </c>
    </row>
    <row r="3676" spans="1:2" ht="16.149999999999999" customHeight="1">
      <c r="A3676" s="877">
        <v>37236</v>
      </c>
      <c r="B3676" s="880">
        <v>2308.41</v>
      </c>
    </row>
    <row r="3677" spans="1:2" ht="16.149999999999999" customHeight="1">
      <c r="A3677" s="877">
        <v>37237</v>
      </c>
      <c r="B3677" s="878">
        <v>2306.56</v>
      </c>
    </row>
    <row r="3678" spans="1:2" ht="16.149999999999999" customHeight="1">
      <c r="A3678" s="877">
        <v>37238</v>
      </c>
      <c r="B3678" s="880">
        <v>2307.12</v>
      </c>
    </row>
    <row r="3679" spans="1:2" ht="16.149999999999999" customHeight="1">
      <c r="A3679" s="877">
        <v>37239</v>
      </c>
      <c r="B3679" s="878">
        <v>2312</v>
      </c>
    </row>
    <row r="3680" spans="1:2" ht="16.149999999999999" customHeight="1">
      <c r="A3680" s="877">
        <v>37240</v>
      </c>
      <c r="B3680" s="880">
        <v>2318.67</v>
      </c>
    </row>
    <row r="3681" spans="1:2" ht="16.149999999999999" customHeight="1">
      <c r="A3681" s="877">
        <v>37241</v>
      </c>
      <c r="B3681" s="878">
        <v>2318.67</v>
      </c>
    </row>
    <row r="3682" spans="1:2" ht="16.149999999999999" customHeight="1">
      <c r="A3682" s="877">
        <v>37242</v>
      </c>
      <c r="B3682" s="880">
        <v>2318.67</v>
      </c>
    </row>
    <row r="3683" spans="1:2" ht="16.149999999999999" customHeight="1">
      <c r="A3683" s="877">
        <v>37243</v>
      </c>
      <c r="B3683" s="878">
        <v>2310.58</v>
      </c>
    </row>
    <row r="3684" spans="1:2" ht="16.149999999999999" customHeight="1">
      <c r="A3684" s="877">
        <v>37244</v>
      </c>
      <c r="B3684" s="880">
        <v>2306.8200000000002</v>
      </c>
    </row>
    <row r="3685" spans="1:2" ht="16.149999999999999" customHeight="1">
      <c r="A3685" s="877">
        <v>37245</v>
      </c>
      <c r="B3685" s="878">
        <v>2307.1</v>
      </c>
    </row>
    <row r="3686" spans="1:2" ht="16.149999999999999" customHeight="1">
      <c r="A3686" s="877">
        <v>37246</v>
      </c>
      <c r="B3686" s="880">
        <v>2306.88</v>
      </c>
    </row>
    <row r="3687" spans="1:2" ht="16.149999999999999" customHeight="1">
      <c r="A3687" s="877">
        <v>37247</v>
      </c>
      <c r="B3687" s="878">
        <v>2303.15</v>
      </c>
    </row>
    <row r="3688" spans="1:2" ht="16.149999999999999" customHeight="1">
      <c r="A3688" s="877">
        <v>37248</v>
      </c>
      <c r="B3688" s="880">
        <v>2303.15</v>
      </c>
    </row>
    <row r="3689" spans="1:2" ht="16.149999999999999" customHeight="1">
      <c r="A3689" s="877">
        <v>37249</v>
      </c>
      <c r="B3689" s="878">
        <v>2303.15</v>
      </c>
    </row>
    <row r="3690" spans="1:2" ht="16.149999999999999" customHeight="1">
      <c r="A3690" s="877">
        <v>37250</v>
      </c>
      <c r="B3690" s="880">
        <v>2297.59</v>
      </c>
    </row>
    <row r="3691" spans="1:2" ht="16.149999999999999" customHeight="1">
      <c r="A3691" s="877">
        <v>37251</v>
      </c>
      <c r="B3691" s="878">
        <v>2297.59</v>
      </c>
    </row>
    <row r="3692" spans="1:2" ht="16.149999999999999" customHeight="1">
      <c r="A3692" s="877">
        <v>37252</v>
      </c>
      <c r="B3692" s="880">
        <v>2297.17</v>
      </c>
    </row>
    <row r="3693" spans="1:2" ht="16.149999999999999" customHeight="1">
      <c r="A3693" s="877">
        <v>37253</v>
      </c>
      <c r="B3693" s="878">
        <v>2301.33</v>
      </c>
    </row>
    <row r="3694" spans="1:2" ht="16.149999999999999" customHeight="1">
      <c r="A3694" s="877">
        <v>37254</v>
      </c>
      <c r="B3694" s="880">
        <v>2291.1799999999998</v>
      </c>
    </row>
    <row r="3695" spans="1:2" ht="16.149999999999999" customHeight="1">
      <c r="A3695" s="877">
        <v>37255</v>
      </c>
      <c r="B3695" s="878">
        <v>2291.1799999999998</v>
      </c>
    </row>
    <row r="3696" spans="1:2" ht="16.149999999999999" customHeight="1">
      <c r="A3696" s="877">
        <v>37256</v>
      </c>
      <c r="B3696" s="880">
        <v>2291.1799999999998</v>
      </c>
    </row>
    <row r="3697" spans="1:2" ht="16.149999999999999" customHeight="1">
      <c r="A3697" s="877">
        <v>37257</v>
      </c>
      <c r="B3697" s="878">
        <v>2291.1799999999998</v>
      </c>
    </row>
    <row r="3698" spans="1:2" ht="16.149999999999999" customHeight="1">
      <c r="A3698" s="877">
        <v>37258</v>
      </c>
      <c r="B3698" s="880">
        <v>2291.1799999999998</v>
      </c>
    </row>
    <row r="3699" spans="1:2" ht="16.149999999999999" customHeight="1">
      <c r="A3699" s="877">
        <v>37259</v>
      </c>
      <c r="B3699" s="878">
        <v>2289.42</v>
      </c>
    </row>
    <row r="3700" spans="1:2" ht="16.149999999999999" customHeight="1">
      <c r="A3700" s="877">
        <v>37260</v>
      </c>
      <c r="B3700" s="880">
        <v>2289.91</v>
      </c>
    </row>
    <row r="3701" spans="1:2" ht="16.149999999999999" customHeight="1">
      <c r="A3701" s="877">
        <v>37261</v>
      </c>
      <c r="B3701" s="878">
        <v>2295.59</v>
      </c>
    </row>
    <row r="3702" spans="1:2" ht="16.149999999999999" customHeight="1">
      <c r="A3702" s="877">
        <v>37262</v>
      </c>
      <c r="B3702" s="880">
        <v>2295.59</v>
      </c>
    </row>
    <row r="3703" spans="1:2" ht="16.149999999999999" customHeight="1">
      <c r="A3703" s="877">
        <v>37263</v>
      </c>
      <c r="B3703" s="878">
        <v>2295.59</v>
      </c>
    </row>
    <row r="3704" spans="1:2" ht="16.149999999999999" customHeight="1">
      <c r="A3704" s="877">
        <v>37264</v>
      </c>
      <c r="B3704" s="880">
        <v>2295.59</v>
      </c>
    </row>
    <row r="3705" spans="1:2" ht="16.149999999999999" customHeight="1">
      <c r="A3705" s="877">
        <v>37265</v>
      </c>
      <c r="B3705" s="878">
        <v>2306.31</v>
      </c>
    </row>
    <row r="3706" spans="1:2" ht="16.149999999999999" customHeight="1">
      <c r="A3706" s="877">
        <v>37266</v>
      </c>
      <c r="B3706" s="880">
        <v>2306.35</v>
      </c>
    </row>
    <row r="3707" spans="1:2" ht="16.149999999999999" customHeight="1">
      <c r="A3707" s="877">
        <v>37267</v>
      </c>
      <c r="B3707" s="878">
        <v>2311.5700000000002</v>
      </c>
    </row>
    <row r="3708" spans="1:2" ht="16.149999999999999" customHeight="1">
      <c r="A3708" s="877">
        <v>37268</v>
      </c>
      <c r="B3708" s="880">
        <v>2304.54</v>
      </c>
    </row>
    <row r="3709" spans="1:2" ht="16.149999999999999" customHeight="1">
      <c r="A3709" s="877">
        <v>37269</v>
      </c>
      <c r="B3709" s="878">
        <v>2304.54</v>
      </c>
    </row>
    <row r="3710" spans="1:2" ht="16.149999999999999" customHeight="1">
      <c r="A3710" s="877">
        <v>37270</v>
      </c>
      <c r="B3710" s="880">
        <v>2304.54</v>
      </c>
    </row>
    <row r="3711" spans="1:2" ht="16.149999999999999" customHeight="1">
      <c r="A3711" s="877">
        <v>37271</v>
      </c>
      <c r="B3711" s="878">
        <v>2297.31</v>
      </c>
    </row>
    <row r="3712" spans="1:2" ht="16.149999999999999" customHeight="1">
      <c r="A3712" s="877">
        <v>37272</v>
      </c>
      <c r="B3712" s="880">
        <v>2280.73</v>
      </c>
    </row>
    <row r="3713" spans="1:2" ht="16.149999999999999" customHeight="1">
      <c r="A3713" s="877">
        <v>37273</v>
      </c>
      <c r="B3713" s="878">
        <v>2265.66</v>
      </c>
    </row>
    <row r="3714" spans="1:2" ht="16.149999999999999" customHeight="1">
      <c r="A3714" s="877">
        <v>37274</v>
      </c>
      <c r="B3714" s="880">
        <v>2265.0100000000002</v>
      </c>
    </row>
    <row r="3715" spans="1:2" ht="16.149999999999999" customHeight="1">
      <c r="A3715" s="877">
        <v>37275</v>
      </c>
      <c r="B3715" s="878">
        <v>2269.7600000000002</v>
      </c>
    </row>
    <row r="3716" spans="1:2" ht="16.149999999999999" customHeight="1">
      <c r="A3716" s="877">
        <v>37276</v>
      </c>
      <c r="B3716" s="880">
        <v>2269.7600000000002</v>
      </c>
    </row>
    <row r="3717" spans="1:2" ht="16.149999999999999" customHeight="1">
      <c r="A3717" s="877">
        <v>37277</v>
      </c>
      <c r="B3717" s="878">
        <v>2269.7600000000002</v>
      </c>
    </row>
    <row r="3718" spans="1:2" ht="16.149999999999999" customHeight="1">
      <c r="A3718" s="877">
        <v>37278</v>
      </c>
      <c r="B3718" s="880">
        <v>2259.2399999999998</v>
      </c>
    </row>
    <row r="3719" spans="1:2" ht="16.149999999999999" customHeight="1">
      <c r="A3719" s="877">
        <v>37279</v>
      </c>
      <c r="B3719" s="878">
        <v>2247.29</v>
      </c>
    </row>
    <row r="3720" spans="1:2" ht="16.149999999999999" customHeight="1">
      <c r="A3720" s="877">
        <v>37280</v>
      </c>
      <c r="B3720" s="880">
        <v>2239.92</v>
      </c>
    </row>
    <row r="3721" spans="1:2" ht="16.149999999999999" customHeight="1">
      <c r="A3721" s="877">
        <v>37281</v>
      </c>
      <c r="B3721" s="878">
        <v>2231.98</v>
      </c>
    </row>
    <row r="3722" spans="1:2" ht="16.149999999999999" customHeight="1">
      <c r="A3722" s="877">
        <v>37282</v>
      </c>
      <c r="B3722" s="880">
        <v>2242.67</v>
      </c>
    </row>
    <row r="3723" spans="1:2" ht="16.149999999999999" customHeight="1">
      <c r="A3723" s="877">
        <v>37283</v>
      </c>
      <c r="B3723" s="878">
        <v>2242.67</v>
      </c>
    </row>
    <row r="3724" spans="1:2" ht="16.149999999999999" customHeight="1">
      <c r="A3724" s="877">
        <v>37284</v>
      </c>
      <c r="B3724" s="880">
        <v>2242.67</v>
      </c>
    </row>
    <row r="3725" spans="1:2" ht="16.149999999999999" customHeight="1">
      <c r="A3725" s="877">
        <v>37285</v>
      </c>
      <c r="B3725" s="878">
        <v>2252.37</v>
      </c>
    </row>
    <row r="3726" spans="1:2" ht="16.149999999999999" customHeight="1">
      <c r="A3726" s="877">
        <v>37286</v>
      </c>
      <c r="B3726" s="880">
        <v>2262.4499999999998</v>
      </c>
    </row>
    <row r="3727" spans="1:2" ht="16.149999999999999" customHeight="1">
      <c r="A3727" s="877">
        <v>37287</v>
      </c>
      <c r="B3727" s="878">
        <v>2264.8200000000002</v>
      </c>
    </row>
    <row r="3728" spans="1:2" ht="16.149999999999999" customHeight="1">
      <c r="A3728" s="877">
        <v>37288</v>
      </c>
      <c r="B3728" s="880">
        <v>2265.9899999999998</v>
      </c>
    </row>
    <row r="3729" spans="1:2" ht="16.149999999999999" customHeight="1">
      <c r="A3729" s="877">
        <v>37289</v>
      </c>
      <c r="B3729" s="878">
        <v>2267.33</v>
      </c>
    </row>
    <row r="3730" spans="1:2" ht="16.149999999999999" customHeight="1">
      <c r="A3730" s="877">
        <v>37290</v>
      </c>
      <c r="B3730" s="880">
        <v>2267.33</v>
      </c>
    </row>
    <row r="3731" spans="1:2" ht="16.149999999999999" customHeight="1">
      <c r="A3731" s="877">
        <v>37291</v>
      </c>
      <c r="B3731" s="878">
        <v>2267.33</v>
      </c>
    </row>
    <row r="3732" spans="1:2" ht="16.149999999999999" customHeight="1">
      <c r="A3732" s="877">
        <v>37292</v>
      </c>
      <c r="B3732" s="880">
        <v>2266.61</v>
      </c>
    </row>
    <row r="3733" spans="1:2" ht="16.149999999999999" customHeight="1">
      <c r="A3733" s="877">
        <v>37293</v>
      </c>
      <c r="B3733" s="878">
        <v>2259.81</v>
      </c>
    </row>
    <row r="3734" spans="1:2" ht="16.149999999999999" customHeight="1">
      <c r="A3734" s="877">
        <v>37294</v>
      </c>
      <c r="B3734" s="880">
        <v>2254.98</v>
      </c>
    </row>
    <row r="3735" spans="1:2" ht="16.149999999999999" customHeight="1">
      <c r="A3735" s="877">
        <v>37295</v>
      </c>
      <c r="B3735" s="878">
        <v>2260.17</v>
      </c>
    </row>
    <row r="3736" spans="1:2" ht="16.149999999999999" customHeight="1">
      <c r="A3736" s="877">
        <v>37296</v>
      </c>
      <c r="B3736" s="880">
        <v>2272.7600000000002</v>
      </c>
    </row>
    <row r="3737" spans="1:2" ht="16.149999999999999" customHeight="1">
      <c r="A3737" s="877">
        <v>37297</v>
      </c>
      <c r="B3737" s="878">
        <v>2272.7600000000002</v>
      </c>
    </row>
    <row r="3738" spans="1:2" ht="16.149999999999999" customHeight="1">
      <c r="A3738" s="877">
        <v>37298</v>
      </c>
      <c r="B3738" s="880">
        <v>2272.7600000000002</v>
      </c>
    </row>
    <row r="3739" spans="1:2" ht="16.149999999999999" customHeight="1">
      <c r="A3739" s="877">
        <v>37299</v>
      </c>
      <c r="B3739" s="878">
        <v>2283.14</v>
      </c>
    </row>
    <row r="3740" spans="1:2" ht="16.149999999999999" customHeight="1">
      <c r="A3740" s="877">
        <v>37300</v>
      </c>
      <c r="B3740" s="880">
        <v>2290.19</v>
      </c>
    </row>
    <row r="3741" spans="1:2" ht="16.149999999999999" customHeight="1">
      <c r="A3741" s="877">
        <v>37301</v>
      </c>
      <c r="B3741" s="878">
        <v>2309.27</v>
      </c>
    </row>
    <row r="3742" spans="1:2" ht="16.149999999999999" customHeight="1">
      <c r="A3742" s="877">
        <v>37302</v>
      </c>
      <c r="B3742" s="880">
        <v>2312.0300000000002</v>
      </c>
    </row>
    <row r="3743" spans="1:2" ht="16.149999999999999" customHeight="1">
      <c r="A3743" s="877">
        <v>37303</v>
      </c>
      <c r="B3743" s="878">
        <v>2288.54</v>
      </c>
    </row>
    <row r="3744" spans="1:2" ht="16.149999999999999" customHeight="1">
      <c r="A3744" s="877">
        <v>37304</v>
      </c>
      <c r="B3744" s="880">
        <v>2288.54</v>
      </c>
    </row>
    <row r="3745" spans="1:2" ht="16.149999999999999" customHeight="1">
      <c r="A3745" s="877">
        <v>37305</v>
      </c>
      <c r="B3745" s="878">
        <v>2288.54</v>
      </c>
    </row>
    <row r="3746" spans="1:2" ht="16.149999999999999" customHeight="1">
      <c r="A3746" s="877">
        <v>37306</v>
      </c>
      <c r="B3746" s="880">
        <v>2288.98</v>
      </c>
    </row>
    <row r="3747" spans="1:2" ht="16.149999999999999" customHeight="1">
      <c r="A3747" s="877">
        <v>37307</v>
      </c>
      <c r="B3747" s="878">
        <v>2280.98</v>
      </c>
    </row>
    <row r="3748" spans="1:2" ht="16.149999999999999" customHeight="1">
      <c r="A3748" s="877">
        <v>37308</v>
      </c>
      <c r="B3748" s="880">
        <v>2282.94</v>
      </c>
    </row>
    <row r="3749" spans="1:2" ht="16.149999999999999" customHeight="1">
      <c r="A3749" s="877">
        <v>37309</v>
      </c>
      <c r="B3749" s="878">
        <v>2309.4499999999998</v>
      </c>
    </row>
    <row r="3750" spans="1:2" ht="16.149999999999999" customHeight="1">
      <c r="A3750" s="877">
        <v>37310</v>
      </c>
      <c r="B3750" s="880">
        <v>2307.75</v>
      </c>
    </row>
    <row r="3751" spans="1:2" ht="16.149999999999999" customHeight="1">
      <c r="A3751" s="877">
        <v>37311</v>
      </c>
      <c r="B3751" s="878">
        <v>2307.75</v>
      </c>
    </row>
    <row r="3752" spans="1:2" ht="16.149999999999999" customHeight="1">
      <c r="A3752" s="877">
        <v>37312</v>
      </c>
      <c r="B3752" s="880">
        <v>2307.75</v>
      </c>
    </row>
    <row r="3753" spans="1:2" ht="16.149999999999999" customHeight="1">
      <c r="A3753" s="877">
        <v>37313</v>
      </c>
      <c r="B3753" s="878">
        <v>2310.21</v>
      </c>
    </row>
    <row r="3754" spans="1:2" ht="16.149999999999999" customHeight="1">
      <c r="A3754" s="877">
        <v>37314</v>
      </c>
      <c r="B3754" s="880">
        <v>2313.13</v>
      </c>
    </row>
    <row r="3755" spans="1:2" ht="16.149999999999999" customHeight="1">
      <c r="A3755" s="877">
        <v>37315</v>
      </c>
      <c r="B3755" s="878">
        <v>2309.8200000000002</v>
      </c>
    </row>
    <row r="3756" spans="1:2" ht="16.149999999999999" customHeight="1">
      <c r="A3756" s="877">
        <v>37316</v>
      </c>
      <c r="B3756" s="880">
        <v>2306.4499999999998</v>
      </c>
    </row>
    <row r="3757" spans="1:2" ht="16.149999999999999" customHeight="1">
      <c r="A3757" s="877">
        <v>37317</v>
      </c>
      <c r="B3757" s="878">
        <v>2306.33</v>
      </c>
    </row>
    <row r="3758" spans="1:2" ht="16.149999999999999" customHeight="1">
      <c r="A3758" s="877">
        <v>37318</v>
      </c>
      <c r="B3758" s="880">
        <v>2306.33</v>
      </c>
    </row>
    <row r="3759" spans="1:2" ht="16.149999999999999" customHeight="1">
      <c r="A3759" s="877">
        <v>37319</v>
      </c>
      <c r="B3759" s="878">
        <v>2306.33</v>
      </c>
    </row>
    <row r="3760" spans="1:2" ht="16.149999999999999" customHeight="1">
      <c r="A3760" s="877">
        <v>37320</v>
      </c>
      <c r="B3760" s="880">
        <v>2299.15</v>
      </c>
    </row>
    <row r="3761" spans="1:2" ht="16.149999999999999" customHeight="1">
      <c r="A3761" s="877">
        <v>37321</v>
      </c>
      <c r="B3761" s="878">
        <v>2293.6</v>
      </c>
    </row>
    <row r="3762" spans="1:2" ht="16.149999999999999" customHeight="1">
      <c r="A3762" s="877">
        <v>37322</v>
      </c>
      <c r="B3762" s="880">
        <v>2290</v>
      </c>
    </row>
    <row r="3763" spans="1:2" ht="16.149999999999999" customHeight="1">
      <c r="A3763" s="877">
        <v>37323</v>
      </c>
      <c r="B3763" s="878">
        <v>2289.83</v>
      </c>
    </row>
    <row r="3764" spans="1:2" ht="16.149999999999999" customHeight="1">
      <c r="A3764" s="877">
        <v>37324</v>
      </c>
      <c r="B3764" s="880">
        <v>2283.83</v>
      </c>
    </row>
    <row r="3765" spans="1:2" ht="16.149999999999999" customHeight="1">
      <c r="A3765" s="877">
        <v>37325</v>
      </c>
      <c r="B3765" s="878">
        <v>2283.83</v>
      </c>
    </row>
    <row r="3766" spans="1:2" ht="16.149999999999999" customHeight="1">
      <c r="A3766" s="877">
        <v>37326</v>
      </c>
      <c r="B3766" s="880">
        <v>2283.83</v>
      </c>
    </row>
    <row r="3767" spans="1:2" ht="16.149999999999999" customHeight="1">
      <c r="A3767" s="877">
        <v>37327</v>
      </c>
      <c r="B3767" s="878">
        <v>2269.88</v>
      </c>
    </row>
    <row r="3768" spans="1:2" ht="16.149999999999999" customHeight="1">
      <c r="A3768" s="877">
        <v>37328</v>
      </c>
      <c r="B3768" s="880">
        <v>2269.17</v>
      </c>
    </row>
    <row r="3769" spans="1:2" ht="16.149999999999999" customHeight="1">
      <c r="A3769" s="877">
        <v>37329</v>
      </c>
      <c r="B3769" s="878">
        <v>2270.66</v>
      </c>
    </row>
    <row r="3770" spans="1:2" ht="16.149999999999999" customHeight="1">
      <c r="A3770" s="877">
        <v>37330</v>
      </c>
      <c r="B3770" s="880">
        <v>2272.27</v>
      </c>
    </row>
    <row r="3771" spans="1:2" ht="16.149999999999999" customHeight="1">
      <c r="A3771" s="877">
        <v>37331</v>
      </c>
      <c r="B3771" s="878">
        <v>2278.56</v>
      </c>
    </row>
    <row r="3772" spans="1:2" ht="16.149999999999999" customHeight="1">
      <c r="A3772" s="877">
        <v>37332</v>
      </c>
      <c r="B3772" s="880">
        <v>2278.56</v>
      </c>
    </row>
    <row r="3773" spans="1:2" ht="16.149999999999999" customHeight="1">
      <c r="A3773" s="877">
        <v>37333</v>
      </c>
      <c r="B3773" s="878">
        <v>2278.56</v>
      </c>
    </row>
    <row r="3774" spans="1:2" ht="16.149999999999999" customHeight="1">
      <c r="A3774" s="877">
        <v>37334</v>
      </c>
      <c r="B3774" s="880">
        <v>2282.25</v>
      </c>
    </row>
    <row r="3775" spans="1:2" ht="16.149999999999999" customHeight="1">
      <c r="A3775" s="877">
        <v>37335</v>
      </c>
      <c r="B3775" s="878">
        <v>2274.5300000000002</v>
      </c>
    </row>
    <row r="3776" spans="1:2" ht="16.149999999999999" customHeight="1">
      <c r="A3776" s="877">
        <v>37336</v>
      </c>
      <c r="B3776" s="880">
        <v>2279.6</v>
      </c>
    </row>
    <row r="3777" spans="1:2" ht="16.149999999999999" customHeight="1">
      <c r="A3777" s="877">
        <v>37337</v>
      </c>
      <c r="B3777" s="878">
        <v>2280</v>
      </c>
    </row>
    <row r="3778" spans="1:2" ht="16.149999999999999" customHeight="1">
      <c r="A3778" s="877">
        <v>37338</v>
      </c>
      <c r="B3778" s="880">
        <v>2274.4699999999998</v>
      </c>
    </row>
    <row r="3779" spans="1:2" ht="16.149999999999999" customHeight="1">
      <c r="A3779" s="877">
        <v>37339</v>
      </c>
      <c r="B3779" s="878">
        <v>2274.4699999999998</v>
      </c>
    </row>
    <row r="3780" spans="1:2" ht="16.149999999999999" customHeight="1">
      <c r="A3780" s="877">
        <v>37340</v>
      </c>
      <c r="B3780" s="880">
        <v>2274.4699999999998</v>
      </c>
    </row>
    <row r="3781" spans="1:2" ht="16.149999999999999" customHeight="1">
      <c r="A3781" s="877">
        <v>37341</v>
      </c>
      <c r="B3781" s="878">
        <v>2274.4699999999998</v>
      </c>
    </row>
    <row r="3782" spans="1:2" ht="16.149999999999999" customHeight="1">
      <c r="A3782" s="877">
        <v>37342</v>
      </c>
      <c r="B3782" s="880">
        <v>2261.37</v>
      </c>
    </row>
    <row r="3783" spans="1:2" ht="16.149999999999999" customHeight="1">
      <c r="A3783" s="877">
        <v>37343</v>
      </c>
      <c r="B3783" s="878">
        <v>2261.23</v>
      </c>
    </row>
    <row r="3784" spans="1:2" ht="16.149999999999999" customHeight="1">
      <c r="A3784" s="877">
        <v>37344</v>
      </c>
      <c r="B3784" s="880">
        <v>2261.23</v>
      </c>
    </row>
    <row r="3785" spans="1:2" ht="16.149999999999999" customHeight="1">
      <c r="A3785" s="877">
        <v>37345</v>
      </c>
      <c r="B3785" s="878">
        <v>2261.23</v>
      </c>
    </row>
    <row r="3786" spans="1:2" ht="16.149999999999999" customHeight="1">
      <c r="A3786" s="877">
        <v>37346</v>
      </c>
      <c r="B3786" s="880">
        <v>2261.23</v>
      </c>
    </row>
    <row r="3787" spans="1:2" ht="16.149999999999999" customHeight="1">
      <c r="A3787" s="877">
        <v>37347</v>
      </c>
      <c r="B3787" s="878">
        <v>2261.23</v>
      </c>
    </row>
    <row r="3788" spans="1:2" ht="16.149999999999999" customHeight="1">
      <c r="A3788" s="877">
        <v>37348</v>
      </c>
      <c r="B3788" s="880">
        <v>2264.5700000000002</v>
      </c>
    </row>
    <row r="3789" spans="1:2" ht="16.149999999999999" customHeight="1">
      <c r="A3789" s="877">
        <v>37349</v>
      </c>
      <c r="B3789" s="878">
        <v>2257.16</v>
      </c>
    </row>
    <row r="3790" spans="1:2" ht="16.149999999999999" customHeight="1">
      <c r="A3790" s="877">
        <v>37350</v>
      </c>
      <c r="B3790" s="880">
        <v>2267.9899999999998</v>
      </c>
    </row>
    <row r="3791" spans="1:2" ht="16.149999999999999" customHeight="1">
      <c r="A3791" s="877">
        <v>37351</v>
      </c>
      <c r="B3791" s="878">
        <v>2269.35</v>
      </c>
    </row>
    <row r="3792" spans="1:2" ht="16.149999999999999" customHeight="1">
      <c r="A3792" s="877">
        <v>37352</v>
      </c>
      <c r="B3792" s="880">
        <v>2263.0300000000002</v>
      </c>
    </row>
    <row r="3793" spans="1:2" ht="16.149999999999999" customHeight="1">
      <c r="A3793" s="877">
        <v>37353</v>
      </c>
      <c r="B3793" s="878">
        <v>2263.0300000000002</v>
      </c>
    </row>
    <row r="3794" spans="1:2" ht="16.149999999999999" customHeight="1">
      <c r="A3794" s="877">
        <v>37354</v>
      </c>
      <c r="B3794" s="880">
        <v>2263.0300000000002</v>
      </c>
    </row>
    <row r="3795" spans="1:2" ht="16.149999999999999" customHeight="1">
      <c r="A3795" s="877">
        <v>37355</v>
      </c>
      <c r="B3795" s="878">
        <v>2255.02</v>
      </c>
    </row>
    <row r="3796" spans="1:2" ht="16.149999999999999" customHeight="1">
      <c r="A3796" s="877">
        <v>37356</v>
      </c>
      <c r="B3796" s="880">
        <v>2254.4499999999998</v>
      </c>
    </row>
    <row r="3797" spans="1:2" ht="16.149999999999999" customHeight="1">
      <c r="A3797" s="877">
        <v>37357</v>
      </c>
      <c r="B3797" s="878">
        <v>2257.7800000000002</v>
      </c>
    </row>
    <row r="3798" spans="1:2" ht="16.149999999999999" customHeight="1">
      <c r="A3798" s="877">
        <v>37358</v>
      </c>
      <c r="B3798" s="880">
        <v>2261.66</v>
      </c>
    </row>
    <row r="3799" spans="1:2" ht="16.149999999999999" customHeight="1">
      <c r="A3799" s="877">
        <v>37359</v>
      </c>
      <c r="B3799" s="878">
        <v>2264.98</v>
      </c>
    </row>
    <row r="3800" spans="1:2" ht="16.149999999999999" customHeight="1">
      <c r="A3800" s="877">
        <v>37360</v>
      </c>
      <c r="B3800" s="880">
        <v>2264.98</v>
      </c>
    </row>
    <row r="3801" spans="1:2" ht="16.149999999999999" customHeight="1">
      <c r="A3801" s="877">
        <v>37361</v>
      </c>
      <c r="B3801" s="878">
        <v>2264.98</v>
      </c>
    </row>
    <row r="3802" spans="1:2" ht="16.149999999999999" customHeight="1">
      <c r="A3802" s="877">
        <v>37362</v>
      </c>
      <c r="B3802" s="880">
        <v>2266.92</v>
      </c>
    </row>
    <row r="3803" spans="1:2" ht="16.149999999999999" customHeight="1">
      <c r="A3803" s="877">
        <v>37363</v>
      </c>
      <c r="B3803" s="878">
        <v>2262.56</v>
      </c>
    </row>
    <row r="3804" spans="1:2" ht="16.149999999999999" customHeight="1">
      <c r="A3804" s="877">
        <v>37364</v>
      </c>
      <c r="B3804" s="880">
        <v>2261.12</v>
      </c>
    </row>
    <row r="3805" spans="1:2" ht="16.149999999999999" customHeight="1">
      <c r="A3805" s="877">
        <v>37365</v>
      </c>
      <c r="B3805" s="878">
        <v>2256.66</v>
      </c>
    </row>
    <row r="3806" spans="1:2" ht="16.149999999999999" customHeight="1">
      <c r="A3806" s="877">
        <v>37366</v>
      </c>
      <c r="B3806" s="880">
        <v>2260.9</v>
      </c>
    </row>
    <row r="3807" spans="1:2" ht="16.149999999999999" customHeight="1">
      <c r="A3807" s="877">
        <v>37367</v>
      </c>
      <c r="B3807" s="878">
        <v>2260.9</v>
      </c>
    </row>
    <row r="3808" spans="1:2" ht="16.149999999999999" customHeight="1">
      <c r="A3808" s="877">
        <v>37368</v>
      </c>
      <c r="B3808" s="880">
        <v>2260.9</v>
      </c>
    </row>
    <row r="3809" spans="1:2" ht="16.149999999999999" customHeight="1">
      <c r="A3809" s="877">
        <v>37369</v>
      </c>
      <c r="B3809" s="878">
        <v>2259.88</v>
      </c>
    </row>
    <row r="3810" spans="1:2" ht="16.149999999999999" customHeight="1">
      <c r="A3810" s="877">
        <v>37370</v>
      </c>
      <c r="B3810" s="880">
        <v>2263.6799999999998</v>
      </c>
    </row>
    <row r="3811" spans="1:2" ht="16.149999999999999" customHeight="1">
      <c r="A3811" s="877">
        <v>37371</v>
      </c>
      <c r="B3811" s="878">
        <v>2265.6999999999998</v>
      </c>
    </row>
    <row r="3812" spans="1:2" ht="16.149999999999999" customHeight="1">
      <c r="A3812" s="877">
        <v>37372</v>
      </c>
      <c r="B3812" s="880">
        <v>2267.4</v>
      </c>
    </row>
    <row r="3813" spans="1:2" ht="16.149999999999999" customHeight="1">
      <c r="A3813" s="877">
        <v>37373</v>
      </c>
      <c r="B3813" s="878">
        <v>2270.92</v>
      </c>
    </row>
    <row r="3814" spans="1:2" ht="16.149999999999999" customHeight="1">
      <c r="A3814" s="877">
        <v>37374</v>
      </c>
      <c r="B3814" s="880">
        <v>2270.92</v>
      </c>
    </row>
    <row r="3815" spans="1:2" ht="16.149999999999999" customHeight="1">
      <c r="A3815" s="877">
        <v>37375</v>
      </c>
      <c r="B3815" s="878">
        <v>2270.92</v>
      </c>
    </row>
    <row r="3816" spans="1:2" ht="16.149999999999999" customHeight="1">
      <c r="A3816" s="877">
        <v>37376</v>
      </c>
      <c r="B3816" s="880">
        <v>2275.35</v>
      </c>
    </row>
    <row r="3817" spans="1:2" ht="16.149999999999999" customHeight="1">
      <c r="A3817" s="877">
        <v>37377</v>
      </c>
      <c r="B3817" s="878">
        <v>2275.4299999999998</v>
      </c>
    </row>
    <row r="3818" spans="1:2" ht="16.149999999999999" customHeight="1">
      <c r="A3818" s="877">
        <v>37378</v>
      </c>
      <c r="B3818" s="880">
        <v>2275.4299999999998</v>
      </c>
    </row>
    <row r="3819" spans="1:2" ht="16.149999999999999" customHeight="1">
      <c r="A3819" s="877">
        <v>37379</v>
      </c>
      <c r="B3819" s="878">
        <v>2279.56</v>
      </c>
    </row>
    <row r="3820" spans="1:2" ht="16.149999999999999" customHeight="1">
      <c r="A3820" s="877">
        <v>37380</v>
      </c>
      <c r="B3820" s="880">
        <v>2286.39</v>
      </c>
    </row>
    <row r="3821" spans="1:2" ht="16.149999999999999" customHeight="1">
      <c r="A3821" s="877">
        <v>37381</v>
      </c>
      <c r="B3821" s="878">
        <v>2286.39</v>
      </c>
    </row>
    <row r="3822" spans="1:2" ht="16.149999999999999" customHeight="1">
      <c r="A3822" s="877">
        <v>37382</v>
      </c>
      <c r="B3822" s="880">
        <v>2286.39</v>
      </c>
    </row>
    <row r="3823" spans="1:2" ht="16.149999999999999" customHeight="1">
      <c r="A3823" s="877">
        <v>37383</v>
      </c>
      <c r="B3823" s="878">
        <v>2285.64</v>
      </c>
    </row>
    <row r="3824" spans="1:2" ht="16.149999999999999" customHeight="1">
      <c r="A3824" s="877">
        <v>37384</v>
      </c>
      <c r="B3824" s="880">
        <v>2286.6</v>
      </c>
    </row>
    <row r="3825" spans="1:2" ht="16.149999999999999" customHeight="1">
      <c r="A3825" s="877">
        <v>37385</v>
      </c>
      <c r="B3825" s="878">
        <v>2284.9299999999998</v>
      </c>
    </row>
    <row r="3826" spans="1:2" ht="16.149999999999999" customHeight="1">
      <c r="A3826" s="877">
        <v>37386</v>
      </c>
      <c r="B3826" s="880">
        <v>2289.17</v>
      </c>
    </row>
    <row r="3827" spans="1:2" ht="16.149999999999999" customHeight="1">
      <c r="A3827" s="877">
        <v>37387</v>
      </c>
      <c r="B3827" s="878">
        <v>2292</v>
      </c>
    </row>
    <row r="3828" spans="1:2" ht="16.149999999999999" customHeight="1">
      <c r="A3828" s="877">
        <v>37388</v>
      </c>
      <c r="B3828" s="880">
        <v>2292</v>
      </c>
    </row>
    <row r="3829" spans="1:2" ht="16.149999999999999" customHeight="1">
      <c r="A3829" s="877">
        <v>37389</v>
      </c>
      <c r="B3829" s="878">
        <v>2292</v>
      </c>
    </row>
    <row r="3830" spans="1:2" ht="16.149999999999999" customHeight="1">
      <c r="A3830" s="877">
        <v>37390</v>
      </c>
      <c r="B3830" s="880">
        <v>2292</v>
      </c>
    </row>
    <row r="3831" spans="1:2" ht="16.149999999999999" customHeight="1">
      <c r="A3831" s="877">
        <v>37391</v>
      </c>
      <c r="B3831" s="878">
        <v>2293</v>
      </c>
    </row>
    <row r="3832" spans="1:2" ht="16.149999999999999" customHeight="1">
      <c r="A3832" s="877">
        <v>37392</v>
      </c>
      <c r="B3832" s="880">
        <v>2300.02</v>
      </c>
    </row>
    <row r="3833" spans="1:2" ht="16.149999999999999" customHeight="1">
      <c r="A3833" s="877">
        <v>37393</v>
      </c>
      <c r="B3833" s="878">
        <v>2314.21</v>
      </c>
    </row>
    <row r="3834" spans="1:2" ht="16.149999999999999" customHeight="1">
      <c r="A3834" s="877">
        <v>37394</v>
      </c>
      <c r="B3834" s="880">
        <v>2332.6799999999998</v>
      </c>
    </row>
    <row r="3835" spans="1:2" ht="16.149999999999999" customHeight="1">
      <c r="A3835" s="877">
        <v>37395</v>
      </c>
      <c r="B3835" s="878">
        <v>2332.6799999999998</v>
      </c>
    </row>
    <row r="3836" spans="1:2" ht="16.149999999999999" customHeight="1">
      <c r="A3836" s="877">
        <v>37396</v>
      </c>
      <c r="B3836" s="880">
        <v>2332.6799999999998</v>
      </c>
    </row>
    <row r="3837" spans="1:2" ht="16.149999999999999" customHeight="1">
      <c r="A3837" s="877">
        <v>37397</v>
      </c>
      <c r="B3837" s="878">
        <v>2350.1999999999998</v>
      </c>
    </row>
    <row r="3838" spans="1:2" ht="16.149999999999999" customHeight="1">
      <c r="A3838" s="877">
        <v>37398</v>
      </c>
      <c r="B3838" s="880">
        <v>2363.2800000000002</v>
      </c>
    </row>
    <row r="3839" spans="1:2" ht="16.149999999999999" customHeight="1">
      <c r="A3839" s="877">
        <v>37399</v>
      </c>
      <c r="B3839" s="878">
        <v>2349.8000000000002</v>
      </c>
    </row>
    <row r="3840" spans="1:2" ht="16.149999999999999" customHeight="1">
      <c r="A3840" s="877">
        <v>37400</v>
      </c>
      <c r="B3840" s="880">
        <v>2338.5500000000002</v>
      </c>
    </row>
    <row r="3841" spans="1:2" ht="16.149999999999999" customHeight="1">
      <c r="A3841" s="877">
        <v>37401</v>
      </c>
      <c r="B3841" s="878">
        <v>2331.0700000000002</v>
      </c>
    </row>
    <row r="3842" spans="1:2" ht="16.149999999999999" customHeight="1">
      <c r="A3842" s="877">
        <v>37402</v>
      </c>
      <c r="B3842" s="880">
        <v>2331.0700000000002</v>
      </c>
    </row>
    <row r="3843" spans="1:2" ht="16.149999999999999" customHeight="1">
      <c r="A3843" s="877">
        <v>37403</v>
      </c>
      <c r="B3843" s="878">
        <v>2331.0700000000002</v>
      </c>
    </row>
    <row r="3844" spans="1:2" ht="16.149999999999999" customHeight="1">
      <c r="A3844" s="877">
        <v>37404</v>
      </c>
      <c r="B3844" s="880">
        <v>2309.85</v>
      </c>
    </row>
    <row r="3845" spans="1:2" ht="16.149999999999999" customHeight="1">
      <c r="A3845" s="877">
        <v>37405</v>
      </c>
      <c r="B3845" s="878">
        <v>2314.3000000000002</v>
      </c>
    </row>
    <row r="3846" spans="1:2" ht="16.149999999999999" customHeight="1">
      <c r="A3846" s="877">
        <v>37406</v>
      </c>
      <c r="B3846" s="880">
        <v>2317.12</v>
      </c>
    </row>
    <row r="3847" spans="1:2" ht="16.149999999999999" customHeight="1">
      <c r="A3847" s="877">
        <v>37407</v>
      </c>
      <c r="B3847" s="878">
        <v>2321.16</v>
      </c>
    </row>
    <row r="3848" spans="1:2" ht="16.149999999999999" customHeight="1">
      <c r="A3848" s="877">
        <v>37408</v>
      </c>
      <c r="B3848" s="880">
        <v>2321.6799999999998</v>
      </c>
    </row>
    <row r="3849" spans="1:2" ht="16.149999999999999" customHeight="1">
      <c r="A3849" s="877">
        <v>37409</v>
      </c>
      <c r="B3849" s="878">
        <v>2321.6799999999998</v>
      </c>
    </row>
    <row r="3850" spans="1:2" ht="16.149999999999999" customHeight="1">
      <c r="A3850" s="877">
        <v>37410</v>
      </c>
      <c r="B3850" s="880">
        <v>2321.6799999999998</v>
      </c>
    </row>
    <row r="3851" spans="1:2" ht="16.149999999999999" customHeight="1">
      <c r="A3851" s="877">
        <v>37411</v>
      </c>
      <c r="B3851" s="878">
        <v>2321.6799999999998</v>
      </c>
    </row>
    <row r="3852" spans="1:2" ht="16.149999999999999" customHeight="1">
      <c r="A3852" s="877">
        <v>37412</v>
      </c>
      <c r="B3852" s="880">
        <v>2324.54</v>
      </c>
    </row>
    <row r="3853" spans="1:2" ht="16.149999999999999" customHeight="1">
      <c r="A3853" s="877">
        <v>37413</v>
      </c>
      <c r="B3853" s="878">
        <v>2331.69</v>
      </c>
    </row>
    <row r="3854" spans="1:2" ht="16.149999999999999" customHeight="1">
      <c r="A3854" s="877">
        <v>37414</v>
      </c>
      <c r="B3854" s="880">
        <v>2335.3000000000002</v>
      </c>
    </row>
    <row r="3855" spans="1:2" ht="16.149999999999999" customHeight="1">
      <c r="A3855" s="877">
        <v>37415</v>
      </c>
      <c r="B3855" s="878">
        <v>2336.11</v>
      </c>
    </row>
    <row r="3856" spans="1:2" ht="16.149999999999999" customHeight="1">
      <c r="A3856" s="877">
        <v>37416</v>
      </c>
      <c r="B3856" s="880">
        <v>2336.11</v>
      </c>
    </row>
    <row r="3857" spans="1:2" ht="16.149999999999999" customHeight="1">
      <c r="A3857" s="877">
        <v>37417</v>
      </c>
      <c r="B3857" s="878">
        <v>2336.11</v>
      </c>
    </row>
    <row r="3858" spans="1:2" ht="16.149999999999999" customHeight="1">
      <c r="A3858" s="877">
        <v>37418</v>
      </c>
      <c r="B3858" s="880">
        <v>2336.11</v>
      </c>
    </row>
    <row r="3859" spans="1:2" ht="16.149999999999999" customHeight="1">
      <c r="A3859" s="877">
        <v>37419</v>
      </c>
      <c r="B3859" s="878">
        <v>2340.36</v>
      </c>
    </row>
    <row r="3860" spans="1:2" ht="16.149999999999999" customHeight="1">
      <c r="A3860" s="877">
        <v>37420</v>
      </c>
      <c r="B3860" s="880">
        <v>2347.6799999999998</v>
      </c>
    </row>
    <row r="3861" spans="1:2" ht="16.149999999999999" customHeight="1">
      <c r="A3861" s="877">
        <v>37421</v>
      </c>
      <c r="B3861" s="878">
        <v>2357.14</v>
      </c>
    </row>
    <row r="3862" spans="1:2" ht="16.149999999999999" customHeight="1">
      <c r="A3862" s="877">
        <v>37422</v>
      </c>
      <c r="B3862" s="880">
        <v>2369.12</v>
      </c>
    </row>
    <row r="3863" spans="1:2" ht="16.149999999999999" customHeight="1">
      <c r="A3863" s="877">
        <v>37423</v>
      </c>
      <c r="B3863" s="878">
        <v>2369.12</v>
      </c>
    </row>
    <row r="3864" spans="1:2" ht="16.149999999999999" customHeight="1">
      <c r="A3864" s="877">
        <v>37424</v>
      </c>
      <c r="B3864" s="880">
        <v>2369.12</v>
      </c>
    </row>
    <row r="3865" spans="1:2" ht="16.149999999999999" customHeight="1">
      <c r="A3865" s="877">
        <v>37425</v>
      </c>
      <c r="B3865" s="878">
        <v>2379.92</v>
      </c>
    </row>
    <row r="3866" spans="1:2" ht="16.149999999999999" customHeight="1">
      <c r="A3866" s="877">
        <v>37426</v>
      </c>
      <c r="B3866" s="880">
        <v>2383.31</v>
      </c>
    </row>
    <row r="3867" spans="1:2" ht="16.149999999999999" customHeight="1">
      <c r="A3867" s="877">
        <v>37427</v>
      </c>
      <c r="B3867" s="878">
        <v>2393.87</v>
      </c>
    </row>
    <row r="3868" spans="1:2" ht="16.149999999999999" customHeight="1">
      <c r="A3868" s="877">
        <v>37428</v>
      </c>
      <c r="B3868" s="880">
        <v>2391.65</v>
      </c>
    </row>
    <row r="3869" spans="1:2" ht="16.149999999999999" customHeight="1">
      <c r="A3869" s="877">
        <v>37429</v>
      </c>
      <c r="B3869" s="878">
        <v>2384.2199999999998</v>
      </c>
    </row>
    <row r="3870" spans="1:2" ht="16.149999999999999" customHeight="1">
      <c r="A3870" s="877">
        <v>37430</v>
      </c>
      <c r="B3870" s="880">
        <v>2384.2199999999998</v>
      </c>
    </row>
    <row r="3871" spans="1:2" ht="16.149999999999999" customHeight="1">
      <c r="A3871" s="877">
        <v>37431</v>
      </c>
      <c r="B3871" s="878">
        <v>2384.2199999999998</v>
      </c>
    </row>
    <row r="3872" spans="1:2" ht="16.149999999999999" customHeight="1">
      <c r="A3872" s="877">
        <v>37432</v>
      </c>
      <c r="B3872" s="880">
        <v>2383.41</v>
      </c>
    </row>
    <row r="3873" spans="1:2" ht="16.149999999999999" customHeight="1">
      <c r="A3873" s="877">
        <v>37433</v>
      </c>
      <c r="B3873" s="878">
        <v>2386.1799999999998</v>
      </c>
    </row>
    <row r="3874" spans="1:2" ht="16.149999999999999" customHeight="1">
      <c r="A3874" s="877">
        <v>37434</v>
      </c>
      <c r="B3874" s="880">
        <v>2392.13</v>
      </c>
    </row>
    <row r="3875" spans="1:2" ht="16.149999999999999" customHeight="1">
      <c r="A3875" s="877">
        <v>37435</v>
      </c>
      <c r="B3875" s="878">
        <v>2398.14</v>
      </c>
    </row>
    <row r="3876" spans="1:2" ht="16.149999999999999" customHeight="1">
      <c r="A3876" s="877">
        <v>37436</v>
      </c>
      <c r="B3876" s="880">
        <v>2398.8200000000002</v>
      </c>
    </row>
    <row r="3877" spans="1:2" ht="16.149999999999999" customHeight="1">
      <c r="A3877" s="877">
        <v>37437</v>
      </c>
      <c r="B3877" s="878">
        <v>2398.8200000000002</v>
      </c>
    </row>
    <row r="3878" spans="1:2" ht="16.149999999999999" customHeight="1">
      <c r="A3878" s="877">
        <v>37438</v>
      </c>
      <c r="B3878" s="880">
        <v>2398.8200000000002</v>
      </c>
    </row>
    <row r="3879" spans="1:2" ht="16.149999999999999" customHeight="1">
      <c r="A3879" s="877">
        <v>37439</v>
      </c>
      <c r="B3879" s="878">
        <v>2398.8200000000002</v>
      </c>
    </row>
    <row r="3880" spans="1:2" ht="16.149999999999999" customHeight="1">
      <c r="A3880" s="877">
        <v>37440</v>
      </c>
      <c r="B3880" s="880">
        <v>2410.54</v>
      </c>
    </row>
    <row r="3881" spans="1:2" ht="16.149999999999999" customHeight="1">
      <c r="A3881" s="877">
        <v>37441</v>
      </c>
      <c r="B3881" s="878">
        <v>2425.42</v>
      </c>
    </row>
    <row r="3882" spans="1:2" ht="16.149999999999999" customHeight="1">
      <c r="A3882" s="877">
        <v>37442</v>
      </c>
      <c r="B3882" s="880">
        <v>2426.4</v>
      </c>
    </row>
    <row r="3883" spans="1:2" ht="16.149999999999999" customHeight="1">
      <c r="A3883" s="877">
        <v>37443</v>
      </c>
      <c r="B3883" s="878">
        <v>2434.3200000000002</v>
      </c>
    </row>
    <row r="3884" spans="1:2" ht="16.149999999999999" customHeight="1">
      <c r="A3884" s="877">
        <v>37444</v>
      </c>
      <c r="B3884" s="880">
        <v>2434.3200000000002</v>
      </c>
    </row>
    <row r="3885" spans="1:2" ht="16.149999999999999" customHeight="1">
      <c r="A3885" s="877">
        <v>37445</v>
      </c>
      <c r="B3885" s="878">
        <v>2434.3200000000002</v>
      </c>
    </row>
    <row r="3886" spans="1:2" ht="16.149999999999999" customHeight="1">
      <c r="A3886" s="877">
        <v>37446</v>
      </c>
      <c r="B3886" s="880">
        <v>2457.39</v>
      </c>
    </row>
    <row r="3887" spans="1:2" ht="16.149999999999999" customHeight="1">
      <c r="A3887" s="877">
        <v>37447</v>
      </c>
      <c r="B3887" s="878">
        <v>2462.1799999999998</v>
      </c>
    </row>
    <row r="3888" spans="1:2" ht="16.149999999999999" customHeight="1">
      <c r="A3888" s="877">
        <v>37448</v>
      </c>
      <c r="B3888" s="880">
        <v>2482.21</v>
      </c>
    </row>
    <row r="3889" spans="1:2" ht="16.149999999999999" customHeight="1">
      <c r="A3889" s="877">
        <v>37449</v>
      </c>
      <c r="B3889" s="878">
        <v>2506.84</v>
      </c>
    </row>
    <row r="3890" spans="1:2" ht="16.149999999999999" customHeight="1">
      <c r="A3890" s="877">
        <v>37450</v>
      </c>
      <c r="B3890" s="880">
        <v>2513.9899999999998</v>
      </c>
    </row>
    <row r="3891" spans="1:2" ht="16.149999999999999" customHeight="1">
      <c r="A3891" s="877">
        <v>37451</v>
      </c>
      <c r="B3891" s="878">
        <v>2513.9899999999998</v>
      </c>
    </row>
    <row r="3892" spans="1:2" ht="16.149999999999999" customHeight="1">
      <c r="A3892" s="877">
        <v>37452</v>
      </c>
      <c r="B3892" s="880">
        <v>2513.9899999999998</v>
      </c>
    </row>
    <row r="3893" spans="1:2" ht="16.149999999999999" customHeight="1">
      <c r="A3893" s="877">
        <v>37453</v>
      </c>
      <c r="B3893" s="878">
        <v>2507.21</v>
      </c>
    </row>
    <row r="3894" spans="1:2" ht="16.149999999999999" customHeight="1">
      <c r="A3894" s="877">
        <v>37454</v>
      </c>
      <c r="B3894" s="880">
        <v>2499.92</v>
      </c>
    </row>
    <row r="3895" spans="1:2" ht="16.149999999999999" customHeight="1">
      <c r="A3895" s="877">
        <v>37455</v>
      </c>
      <c r="B3895" s="878">
        <v>2524.7600000000002</v>
      </c>
    </row>
    <row r="3896" spans="1:2" ht="16.149999999999999" customHeight="1">
      <c r="A3896" s="877">
        <v>37456</v>
      </c>
      <c r="B3896" s="880">
        <v>2538.4699999999998</v>
      </c>
    </row>
    <row r="3897" spans="1:2" ht="16.149999999999999" customHeight="1">
      <c r="A3897" s="877">
        <v>37457</v>
      </c>
      <c r="B3897" s="878">
        <v>2529.5700000000002</v>
      </c>
    </row>
    <row r="3898" spans="1:2" ht="16.149999999999999" customHeight="1">
      <c r="A3898" s="877">
        <v>37458</v>
      </c>
      <c r="B3898" s="880">
        <v>2529.5700000000002</v>
      </c>
    </row>
    <row r="3899" spans="1:2" ht="16.149999999999999" customHeight="1">
      <c r="A3899" s="877">
        <v>37459</v>
      </c>
      <c r="B3899" s="878">
        <v>2529.5700000000002</v>
      </c>
    </row>
    <row r="3900" spans="1:2" ht="16.149999999999999" customHeight="1">
      <c r="A3900" s="877">
        <v>37460</v>
      </c>
      <c r="B3900" s="880">
        <v>2517.42</v>
      </c>
    </row>
    <row r="3901" spans="1:2" ht="16.149999999999999" customHeight="1">
      <c r="A3901" s="877">
        <v>37461</v>
      </c>
      <c r="B3901" s="878">
        <v>2539</v>
      </c>
    </row>
    <row r="3902" spans="1:2" ht="16.149999999999999" customHeight="1">
      <c r="A3902" s="877">
        <v>37462</v>
      </c>
      <c r="B3902" s="880">
        <v>2572.42</v>
      </c>
    </row>
    <row r="3903" spans="1:2" ht="16.149999999999999" customHeight="1">
      <c r="A3903" s="877">
        <v>37463</v>
      </c>
      <c r="B3903" s="878">
        <v>2580.15</v>
      </c>
    </row>
    <row r="3904" spans="1:2" ht="16.149999999999999" customHeight="1">
      <c r="A3904" s="877">
        <v>37464</v>
      </c>
      <c r="B3904" s="880">
        <v>2596.2600000000002</v>
      </c>
    </row>
    <row r="3905" spans="1:2" ht="16.149999999999999" customHeight="1">
      <c r="A3905" s="877">
        <v>37465</v>
      </c>
      <c r="B3905" s="878">
        <v>2596.2600000000002</v>
      </c>
    </row>
    <row r="3906" spans="1:2" ht="16.149999999999999" customHeight="1">
      <c r="A3906" s="877">
        <v>37466</v>
      </c>
      <c r="B3906" s="880">
        <v>2596.2600000000002</v>
      </c>
    </row>
    <row r="3907" spans="1:2" ht="16.149999999999999" customHeight="1">
      <c r="A3907" s="877">
        <v>37467</v>
      </c>
      <c r="B3907" s="878">
        <v>2599.5700000000002</v>
      </c>
    </row>
    <row r="3908" spans="1:2" ht="16.149999999999999" customHeight="1">
      <c r="A3908" s="877">
        <v>37468</v>
      </c>
      <c r="B3908" s="880">
        <v>2625.06</v>
      </c>
    </row>
    <row r="3909" spans="1:2" ht="16.149999999999999" customHeight="1">
      <c r="A3909" s="877">
        <v>37469</v>
      </c>
      <c r="B3909" s="878">
        <v>2636.3</v>
      </c>
    </row>
    <row r="3910" spans="1:2" ht="16.149999999999999" customHeight="1">
      <c r="A3910" s="877">
        <v>37470</v>
      </c>
      <c r="B3910" s="880">
        <v>2640.35</v>
      </c>
    </row>
    <row r="3911" spans="1:2" ht="16.149999999999999" customHeight="1">
      <c r="A3911" s="877">
        <v>37471</v>
      </c>
      <c r="B3911" s="878">
        <v>2643.03</v>
      </c>
    </row>
    <row r="3912" spans="1:2" ht="16.149999999999999" customHeight="1">
      <c r="A3912" s="877">
        <v>37472</v>
      </c>
      <c r="B3912" s="880">
        <v>2643.03</v>
      </c>
    </row>
    <row r="3913" spans="1:2" ht="16.149999999999999" customHeight="1">
      <c r="A3913" s="877">
        <v>37473</v>
      </c>
      <c r="B3913" s="878">
        <v>2643.03</v>
      </c>
    </row>
    <row r="3914" spans="1:2" ht="16.149999999999999" customHeight="1">
      <c r="A3914" s="877">
        <v>37474</v>
      </c>
      <c r="B3914" s="880">
        <v>2663.81</v>
      </c>
    </row>
    <row r="3915" spans="1:2" ht="16.149999999999999" customHeight="1">
      <c r="A3915" s="877">
        <v>37475</v>
      </c>
      <c r="B3915" s="878">
        <v>2670.61</v>
      </c>
    </row>
    <row r="3916" spans="1:2" ht="16.149999999999999" customHeight="1">
      <c r="A3916" s="877">
        <v>37476</v>
      </c>
      <c r="B3916" s="880">
        <v>2670.61</v>
      </c>
    </row>
    <row r="3917" spans="1:2" ht="16.149999999999999" customHeight="1">
      <c r="A3917" s="877">
        <v>37477</v>
      </c>
      <c r="B3917" s="878">
        <v>2649.32</v>
      </c>
    </row>
    <row r="3918" spans="1:2" ht="16.149999999999999" customHeight="1">
      <c r="A3918" s="877">
        <v>37478</v>
      </c>
      <c r="B3918" s="880">
        <v>2568.8000000000002</v>
      </c>
    </row>
    <row r="3919" spans="1:2" ht="16.149999999999999" customHeight="1">
      <c r="A3919" s="877">
        <v>37479</v>
      </c>
      <c r="B3919" s="878">
        <v>2568.8000000000002</v>
      </c>
    </row>
    <row r="3920" spans="1:2" ht="16.149999999999999" customHeight="1">
      <c r="A3920" s="877">
        <v>37480</v>
      </c>
      <c r="B3920" s="880">
        <v>2568.8000000000002</v>
      </c>
    </row>
    <row r="3921" spans="1:2" ht="16.149999999999999" customHeight="1">
      <c r="A3921" s="877">
        <v>37481</v>
      </c>
      <c r="B3921" s="878">
        <v>2595.8000000000002</v>
      </c>
    </row>
    <row r="3922" spans="1:2" ht="16.149999999999999" customHeight="1">
      <c r="A3922" s="877">
        <v>37482</v>
      </c>
      <c r="B3922" s="880">
        <v>2657.98</v>
      </c>
    </row>
    <row r="3923" spans="1:2" ht="16.149999999999999" customHeight="1">
      <c r="A3923" s="877">
        <v>37483</v>
      </c>
      <c r="B3923" s="878">
        <v>2635.87</v>
      </c>
    </row>
    <row r="3924" spans="1:2" ht="16.149999999999999" customHeight="1">
      <c r="A3924" s="877">
        <v>37484</v>
      </c>
      <c r="B3924" s="880">
        <v>2648.77</v>
      </c>
    </row>
    <row r="3925" spans="1:2" ht="16.149999999999999" customHeight="1">
      <c r="A3925" s="877">
        <v>37485</v>
      </c>
      <c r="B3925" s="878">
        <v>2663.61</v>
      </c>
    </row>
    <row r="3926" spans="1:2" ht="16.149999999999999" customHeight="1">
      <c r="A3926" s="877">
        <v>37486</v>
      </c>
      <c r="B3926" s="880">
        <v>2663.61</v>
      </c>
    </row>
    <row r="3927" spans="1:2" ht="16.149999999999999" customHeight="1">
      <c r="A3927" s="877">
        <v>37487</v>
      </c>
      <c r="B3927" s="878">
        <v>2663.61</v>
      </c>
    </row>
    <row r="3928" spans="1:2" ht="16.149999999999999" customHeight="1">
      <c r="A3928" s="877">
        <v>37488</v>
      </c>
      <c r="B3928" s="880">
        <v>2663.61</v>
      </c>
    </row>
    <row r="3929" spans="1:2" ht="16.149999999999999" customHeight="1">
      <c r="A3929" s="877">
        <v>37489</v>
      </c>
      <c r="B3929" s="878">
        <v>2620.91</v>
      </c>
    </row>
    <row r="3930" spans="1:2" ht="16.149999999999999" customHeight="1">
      <c r="A3930" s="877">
        <v>37490</v>
      </c>
      <c r="B3930" s="880">
        <v>2626.17</v>
      </c>
    </row>
    <row r="3931" spans="1:2" ht="16.149999999999999" customHeight="1">
      <c r="A3931" s="877">
        <v>37491</v>
      </c>
      <c r="B3931" s="878">
        <v>2652.96</v>
      </c>
    </row>
    <row r="3932" spans="1:2" ht="16.149999999999999" customHeight="1">
      <c r="A3932" s="877">
        <v>37492</v>
      </c>
      <c r="B3932" s="880">
        <v>2643.37</v>
      </c>
    </row>
    <row r="3933" spans="1:2" ht="16.149999999999999" customHeight="1">
      <c r="A3933" s="877">
        <v>37493</v>
      </c>
      <c r="B3933" s="878">
        <v>2643.37</v>
      </c>
    </row>
    <row r="3934" spans="1:2" ht="16.149999999999999" customHeight="1">
      <c r="A3934" s="877">
        <v>37494</v>
      </c>
      <c r="B3934" s="880">
        <v>2643.37</v>
      </c>
    </row>
    <row r="3935" spans="1:2" ht="16.149999999999999" customHeight="1">
      <c r="A3935" s="877">
        <v>37495</v>
      </c>
      <c r="B3935" s="878">
        <v>2653.29</v>
      </c>
    </row>
    <row r="3936" spans="1:2" ht="16.149999999999999" customHeight="1">
      <c r="A3936" s="877">
        <v>37496</v>
      </c>
      <c r="B3936" s="880">
        <v>2672.25</v>
      </c>
    </row>
    <row r="3937" spans="1:2" ht="16.149999999999999" customHeight="1">
      <c r="A3937" s="877">
        <v>37497</v>
      </c>
      <c r="B3937" s="878">
        <v>2688.64</v>
      </c>
    </row>
    <row r="3938" spans="1:2" ht="16.149999999999999" customHeight="1">
      <c r="A3938" s="877">
        <v>37498</v>
      </c>
      <c r="B3938" s="880">
        <v>2712.46</v>
      </c>
    </row>
    <row r="3939" spans="1:2" ht="16.149999999999999" customHeight="1">
      <c r="A3939" s="877">
        <v>37499</v>
      </c>
      <c r="B3939" s="878">
        <v>2703.55</v>
      </c>
    </row>
    <row r="3940" spans="1:2" ht="16.149999999999999" customHeight="1">
      <c r="A3940" s="877">
        <v>37500</v>
      </c>
      <c r="B3940" s="880">
        <v>2703.55</v>
      </c>
    </row>
    <row r="3941" spans="1:2" ht="16.149999999999999" customHeight="1">
      <c r="A3941" s="877">
        <v>37501</v>
      </c>
      <c r="B3941" s="878">
        <v>2703.55</v>
      </c>
    </row>
    <row r="3942" spans="1:2" ht="16.149999999999999" customHeight="1">
      <c r="A3942" s="877">
        <v>37502</v>
      </c>
      <c r="B3942" s="880">
        <v>2679.51</v>
      </c>
    </row>
    <row r="3943" spans="1:2" ht="16.149999999999999" customHeight="1">
      <c r="A3943" s="877">
        <v>37503</v>
      </c>
      <c r="B3943" s="878">
        <v>2677.39</v>
      </c>
    </row>
    <row r="3944" spans="1:2" ht="16.149999999999999" customHeight="1">
      <c r="A3944" s="877">
        <v>37504</v>
      </c>
      <c r="B3944" s="880">
        <v>2694.51</v>
      </c>
    </row>
    <row r="3945" spans="1:2" ht="16.149999999999999" customHeight="1">
      <c r="A3945" s="877">
        <v>37505</v>
      </c>
      <c r="B3945" s="878">
        <v>2714.77</v>
      </c>
    </row>
    <row r="3946" spans="1:2" ht="16.149999999999999" customHeight="1">
      <c r="A3946" s="877">
        <v>37506</v>
      </c>
      <c r="B3946" s="880">
        <v>2712.14</v>
      </c>
    </row>
    <row r="3947" spans="1:2" ht="16.149999999999999" customHeight="1">
      <c r="A3947" s="877">
        <v>37507</v>
      </c>
      <c r="B3947" s="878">
        <v>2712.14</v>
      </c>
    </row>
    <row r="3948" spans="1:2" ht="16.149999999999999" customHeight="1">
      <c r="A3948" s="877">
        <v>37508</v>
      </c>
      <c r="B3948" s="880">
        <v>2712.14</v>
      </c>
    </row>
    <row r="3949" spans="1:2" ht="16.149999999999999" customHeight="1">
      <c r="A3949" s="877">
        <v>37509</v>
      </c>
      <c r="B3949" s="878">
        <v>2703.63</v>
      </c>
    </row>
    <row r="3950" spans="1:2" ht="16.149999999999999" customHeight="1">
      <c r="A3950" s="877">
        <v>37510</v>
      </c>
      <c r="B3950" s="880">
        <v>2707.58</v>
      </c>
    </row>
    <row r="3951" spans="1:2" ht="16.149999999999999" customHeight="1">
      <c r="A3951" s="877">
        <v>37511</v>
      </c>
      <c r="B3951" s="878">
        <v>2718.85</v>
      </c>
    </row>
    <row r="3952" spans="1:2" ht="16.149999999999999" customHeight="1">
      <c r="A3952" s="877">
        <v>37512</v>
      </c>
      <c r="B3952" s="880">
        <v>2730.91</v>
      </c>
    </row>
    <row r="3953" spans="1:2" ht="16.149999999999999" customHeight="1">
      <c r="A3953" s="877">
        <v>37513</v>
      </c>
      <c r="B3953" s="878">
        <v>2741.29</v>
      </c>
    </row>
    <row r="3954" spans="1:2" ht="16.149999999999999" customHeight="1">
      <c r="A3954" s="877">
        <v>37514</v>
      </c>
      <c r="B3954" s="880">
        <v>2741.29</v>
      </c>
    </row>
    <row r="3955" spans="1:2" ht="16.149999999999999" customHeight="1">
      <c r="A3955" s="877">
        <v>37515</v>
      </c>
      <c r="B3955" s="878">
        <v>2741.29</v>
      </c>
    </row>
    <row r="3956" spans="1:2" ht="16.149999999999999" customHeight="1">
      <c r="A3956" s="877">
        <v>37516</v>
      </c>
      <c r="B3956" s="880">
        <v>2758.95</v>
      </c>
    </row>
    <row r="3957" spans="1:2" ht="16.149999999999999" customHeight="1">
      <c r="A3957" s="877">
        <v>37517</v>
      </c>
      <c r="B3957" s="878">
        <v>2783.44</v>
      </c>
    </row>
    <row r="3958" spans="1:2" ht="16.149999999999999" customHeight="1">
      <c r="A3958" s="877">
        <v>37518</v>
      </c>
      <c r="B3958" s="880">
        <v>2785.81</v>
      </c>
    </row>
    <row r="3959" spans="1:2" ht="16.149999999999999" customHeight="1">
      <c r="A3959" s="877">
        <v>37519</v>
      </c>
      <c r="B3959" s="878">
        <v>2789.01</v>
      </c>
    </row>
    <row r="3960" spans="1:2" ht="16.149999999999999" customHeight="1">
      <c r="A3960" s="877">
        <v>37520</v>
      </c>
      <c r="B3960" s="880">
        <v>2815.05</v>
      </c>
    </row>
    <row r="3961" spans="1:2" ht="16.149999999999999" customHeight="1">
      <c r="A3961" s="877">
        <v>37521</v>
      </c>
      <c r="B3961" s="878">
        <v>2815.05</v>
      </c>
    </row>
    <row r="3962" spans="1:2" ht="16.149999999999999" customHeight="1">
      <c r="A3962" s="877">
        <v>37522</v>
      </c>
      <c r="B3962" s="880">
        <v>2815.05</v>
      </c>
    </row>
    <row r="3963" spans="1:2" ht="16.149999999999999" customHeight="1">
      <c r="A3963" s="877">
        <v>37523</v>
      </c>
      <c r="B3963" s="878">
        <v>2793.36</v>
      </c>
    </row>
    <row r="3964" spans="1:2" ht="16.149999999999999" customHeight="1">
      <c r="A3964" s="877">
        <v>37524</v>
      </c>
      <c r="B3964" s="880">
        <v>2810.46</v>
      </c>
    </row>
    <row r="3965" spans="1:2" ht="16.149999999999999" customHeight="1">
      <c r="A3965" s="877">
        <v>37525</v>
      </c>
      <c r="B3965" s="878">
        <v>2802.32</v>
      </c>
    </row>
    <row r="3966" spans="1:2" ht="16.149999999999999" customHeight="1">
      <c r="A3966" s="877">
        <v>37526</v>
      </c>
      <c r="B3966" s="880">
        <v>2825.32</v>
      </c>
    </row>
    <row r="3967" spans="1:2" ht="16.149999999999999" customHeight="1">
      <c r="A3967" s="877">
        <v>37527</v>
      </c>
      <c r="B3967" s="878">
        <v>2828.08</v>
      </c>
    </row>
    <row r="3968" spans="1:2" ht="16.149999999999999" customHeight="1">
      <c r="A3968" s="877">
        <v>37528</v>
      </c>
      <c r="B3968" s="880">
        <v>2828.08</v>
      </c>
    </row>
    <row r="3969" spans="1:2" ht="16.149999999999999" customHeight="1">
      <c r="A3969" s="877">
        <v>37529</v>
      </c>
      <c r="B3969" s="878">
        <v>2828.08</v>
      </c>
    </row>
    <row r="3970" spans="1:2" ht="16.149999999999999" customHeight="1">
      <c r="A3970" s="877">
        <v>37530</v>
      </c>
      <c r="B3970" s="880">
        <v>2850.65</v>
      </c>
    </row>
    <row r="3971" spans="1:2" ht="16.149999999999999" customHeight="1">
      <c r="A3971" s="877">
        <v>37531</v>
      </c>
      <c r="B3971" s="878">
        <v>2885.48</v>
      </c>
    </row>
    <row r="3972" spans="1:2" ht="16.149999999999999" customHeight="1">
      <c r="A3972" s="877">
        <v>37532</v>
      </c>
      <c r="B3972" s="880">
        <v>2888.23</v>
      </c>
    </row>
    <row r="3973" spans="1:2" ht="16.149999999999999" customHeight="1">
      <c r="A3973" s="877">
        <v>37533</v>
      </c>
      <c r="B3973" s="878">
        <v>2881.78</v>
      </c>
    </row>
    <row r="3974" spans="1:2" ht="16.149999999999999" customHeight="1">
      <c r="A3974" s="877">
        <v>37534</v>
      </c>
      <c r="B3974" s="880">
        <v>2876.4</v>
      </c>
    </row>
    <row r="3975" spans="1:2" ht="16.149999999999999" customHeight="1">
      <c r="A3975" s="877">
        <v>37535</v>
      </c>
      <c r="B3975" s="878">
        <v>2876.4</v>
      </c>
    </row>
    <row r="3976" spans="1:2" ht="16.149999999999999" customHeight="1">
      <c r="A3976" s="877">
        <v>37536</v>
      </c>
      <c r="B3976" s="880">
        <v>2876.4</v>
      </c>
    </row>
    <row r="3977" spans="1:2" ht="16.149999999999999" customHeight="1">
      <c r="A3977" s="877">
        <v>37537</v>
      </c>
      <c r="B3977" s="878">
        <v>2869.73</v>
      </c>
    </row>
    <row r="3978" spans="1:2" ht="16.149999999999999" customHeight="1">
      <c r="A3978" s="877">
        <v>37538</v>
      </c>
      <c r="B3978" s="880">
        <v>2850.98</v>
      </c>
    </row>
    <row r="3979" spans="1:2" ht="16.149999999999999" customHeight="1">
      <c r="A3979" s="877">
        <v>37539</v>
      </c>
      <c r="B3979" s="878">
        <v>2854.04</v>
      </c>
    </row>
    <row r="3980" spans="1:2" ht="16.149999999999999" customHeight="1">
      <c r="A3980" s="877">
        <v>37540</v>
      </c>
      <c r="B3980" s="880">
        <v>2870.63</v>
      </c>
    </row>
    <row r="3981" spans="1:2" ht="16.149999999999999" customHeight="1">
      <c r="A3981" s="877">
        <v>37541</v>
      </c>
      <c r="B3981" s="878">
        <v>2861.16</v>
      </c>
    </row>
    <row r="3982" spans="1:2" ht="16.149999999999999" customHeight="1">
      <c r="A3982" s="877">
        <v>37542</v>
      </c>
      <c r="B3982" s="880">
        <v>2861.16</v>
      </c>
    </row>
    <row r="3983" spans="1:2" ht="16.149999999999999" customHeight="1">
      <c r="A3983" s="877">
        <v>37543</v>
      </c>
      <c r="B3983" s="878">
        <v>2861.16</v>
      </c>
    </row>
    <row r="3984" spans="1:2" ht="16.149999999999999" customHeight="1">
      <c r="A3984" s="877">
        <v>37544</v>
      </c>
      <c r="B3984" s="880">
        <v>2861.16</v>
      </c>
    </row>
    <row r="3985" spans="1:2" ht="16.149999999999999" customHeight="1">
      <c r="A3985" s="877">
        <v>37545</v>
      </c>
      <c r="B3985" s="878">
        <v>2852.99</v>
      </c>
    </row>
    <row r="3986" spans="1:2" ht="16.149999999999999" customHeight="1">
      <c r="A3986" s="877">
        <v>37546</v>
      </c>
      <c r="B3986" s="880">
        <v>2857.13</v>
      </c>
    </row>
    <row r="3987" spans="1:2" ht="16.149999999999999" customHeight="1">
      <c r="A3987" s="877">
        <v>37547</v>
      </c>
      <c r="B3987" s="878">
        <v>2853.9</v>
      </c>
    </row>
    <row r="3988" spans="1:2" ht="16.149999999999999" customHeight="1">
      <c r="A3988" s="877">
        <v>37548</v>
      </c>
      <c r="B3988" s="880">
        <v>2836.34</v>
      </c>
    </row>
    <row r="3989" spans="1:2" ht="16.149999999999999" customHeight="1">
      <c r="A3989" s="877">
        <v>37549</v>
      </c>
      <c r="B3989" s="878">
        <v>2836.34</v>
      </c>
    </row>
    <row r="3990" spans="1:2" ht="16.149999999999999" customHeight="1">
      <c r="A3990" s="877">
        <v>37550</v>
      </c>
      <c r="B3990" s="880">
        <v>2836.34</v>
      </c>
    </row>
    <row r="3991" spans="1:2" ht="16.149999999999999" customHeight="1">
      <c r="A3991" s="877">
        <v>37551</v>
      </c>
      <c r="B3991" s="878">
        <v>2791.46</v>
      </c>
    </row>
    <row r="3992" spans="1:2" ht="16.149999999999999" customHeight="1">
      <c r="A3992" s="877">
        <v>37552</v>
      </c>
      <c r="B3992" s="880">
        <v>2758.76</v>
      </c>
    </row>
    <row r="3993" spans="1:2" ht="16.149999999999999" customHeight="1">
      <c r="A3993" s="877">
        <v>37553</v>
      </c>
      <c r="B3993" s="878">
        <v>2744.32</v>
      </c>
    </row>
    <row r="3994" spans="1:2" ht="16.149999999999999" customHeight="1">
      <c r="A3994" s="877">
        <v>37554</v>
      </c>
      <c r="B3994" s="880">
        <v>2747.07</v>
      </c>
    </row>
    <row r="3995" spans="1:2" ht="16.149999999999999" customHeight="1">
      <c r="A3995" s="877">
        <v>37555</v>
      </c>
      <c r="B3995" s="878">
        <v>2755.69</v>
      </c>
    </row>
    <row r="3996" spans="1:2" ht="16.149999999999999" customHeight="1">
      <c r="A3996" s="877">
        <v>37556</v>
      </c>
      <c r="B3996" s="880">
        <v>2755.69</v>
      </c>
    </row>
    <row r="3997" spans="1:2" ht="16.149999999999999" customHeight="1">
      <c r="A3997" s="877">
        <v>37557</v>
      </c>
      <c r="B3997" s="878">
        <v>2755.69</v>
      </c>
    </row>
    <row r="3998" spans="1:2" ht="16.149999999999999" customHeight="1">
      <c r="A3998" s="877">
        <v>37558</v>
      </c>
      <c r="B3998" s="880">
        <v>2770.73</v>
      </c>
    </row>
    <row r="3999" spans="1:2" ht="16.149999999999999" customHeight="1">
      <c r="A3999" s="877">
        <v>37559</v>
      </c>
      <c r="B3999" s="878">
        <v>2781.72</v>
      </c>
    </row>
    <row r="4000" spans="1:2" ht="16.149999999999999" customHeight="1">
      <c r="A4000" s="877">
        <v>37560</v>
      </c>
      <c r="B4000" s="880">
        <v>2773.73</v>
      </c>
    </row>
    <row r="4001" spans="1:2" ht="16.149999999999999" customHeight="1">
      <c r="A4001" s="877">
        <v>37561</v>
      </c>
      <c r="B4001" s="878">
        <v>2778.6</v>
      </c>
    </row>
    <row r="4002" spans="1:2" ht="16.149999999999999" customHeight="1">
      <c r="A4002" s="877">
        <v>37562</v>
      </c>
      <c r="B4002" s="880">
        <v>2778.47</v>
      </c>
    </row>
    <row r="4003" spans="1:2" ht="16.149999999999999" customHeight="1">
      <c r="A4003" s="877">
        <v>37563</v>
      </c>
      <c r="B4003" s="878">
        <v>2778.47</v>
      </c>
    </row>
    <row r="4004" spans="1:2" ht="16.149999999999999" customHeight="1">
      <c r="A4004" s="877">
        <v>37564</v>
      </c>
      <c r="B4004" s="880">
        <v>2778.47</v>
      </c>
    </row>
    <row r="4005" spans="1:2" ht="16.149999999999999" customHeight="1">
      <c r="A4005" s="877">
        <v>37565</v>
      </c>
      <c r="B4005" s="878">
        <v>2778.47</v>
      </c>
    </row>
    <row r="4006" spans="1:2" ht="16.149999999999999" customHeight="1">
      <c r="A4006" s="877">
        <v>37566</v>
      </c>
      <c r="B4006" s="880">
        <v>2774.58</v>
      </c>
    </row>
    <row r="4007" spans="1:2" ht="16.149999999999999" customHeight="1">
      <c r="A4007" s="877">
        <v>37567</v>
      </c>
      <c r="B4007" s="878">
        <v>2761.99</v>
      </c>
    </row>
    <row r="4008" spans="1:2" ht="16.149999999999999" customHeight="1">
      <c r="A4008" s="877">
        <v>37568</v>
      </c>
      <c r="B4008" s="880">
        <v>2743</v>
      </c>
    </row>
    <row r="4009" spans="1:2" ht="16.149999999999999" customHeight="1">
      <c r="A4009" s="877">
        <v>37569</v>
      </c>
      <c r="B4009" s="878">
        <v>2743.92</v>
      </c>
    </row>
    <row r="4010" spans="1:2" ht="16.149999999999999" customHeight="1">
      <c r="A4010" s="877">
        <v>37570</v>
      </c>
      <c r="B4010" s="880">
        <v>2743.92</v>
      </c>
    </row>
    <row r="4011" spans="1:2" ht="16.149999999999999" customHeight="1">
      <c r="A4011" s="877">
        <v>37571</v>
      </c>
      <c r="B4011" s="878">
        <v>2743.92</v>
      </c>
    </row>
    <row r="4012" spans="1:2" ht="16.149999999999999" customHeight="1">
      <c r="A4012" s="877">
        <v>37572</v>
      </c>
      <c r="B4012" s="880">
        <v>2743.92</v>
      </c>
    </row>
    <row r="4013" spans="1:2" ht="16.149999999999999" customHeight="1">
      <c r="A4013" s="877">
        <v>37573</v>
      </c>
      <c r="B4013" s="878">
        <v>2727.05</v>
      </c>
    </row>
    <row r="4014" spans="1:2" ht="16.149999999999999" customHeight="1">
      <c r="A4014" s="877">
        <v>37574</v>
      </c>
      <c r="B4014" s="880">
        <v>2717.89</v>
      </c>
    </row>
    <row r="4015" spans="1:2" ht="16.149999999999999" customHeight="1">
      <c r="A4015" s="877">
        <v>37575</v>
      </c>
      <c r="B4015" s="878">
        <v>2724.04</v>
      </c>
    </row>
    <row r="4016" spans="1:2" ht="16.149999999999999" customHeight="1">
      <c r="A4016" s="877">
        <v>37576</v>
      </c>
      <c r="B4016" s="880">
        <v>2703.75</v>
      </c>
    </row>
    <row r="4017" spans="1:2" ht="16.149999999999999" customHeight="1">
      <c r="A4017" s="877">
        <v>37577</v>
      </c>
      <c r="B4017" s="878">
        <v>2703.75</v>
      </c>
    </row>
    <row r="4018" spans="1:2" ht="16.149999999999999" customHeight="1">
      <c r="A4018" s="877">
        <v>37578</v>
      </c>
      <c r="B4018" s="880">
        <v>2703.75</v>
      </c>
    </row>
    <row r="4019" spans="1:2" ht="16.149999999999999" customHeight="1">
      <c r="A4019" s="877">
        <v>37579</v>
      </c>
      <c r="B4019" s="878">
        <v>2679.96</v>
      </c>
    </row>
    <row r="4020" spans="1:2" ht="16.149999999999999" customHeight="1">
      <c r="A4020" s="877">
        <v>37580</v>
      </c>
      <c r="B4020" s="880">
        <v>2683.04</v>
      </c>
    </row>
    <row r="4021" spans="1:2" ht="16.149999999999999" customHeight="1">
      <c r="A4021" s="877">
        <v>37581</v>
      </c>
      <c r="B4021" s="878">
        <v>2671.7</v>
      </c>
    </row>
    <row r="4022" spans="1:2" ht="16.149999999999999" customHeight="1">
      <c r="A4022" s="877">
        <v>37582</v>
      </c>
      <c r="B4022" s="880">
        <v>2666.41</v>
      </c>
    </row>
    <row r="4023" spans="1:2" ht="16.149999999999999" customHeight="1">
      <c r="A4023" s="877">
        <v>37583</v>
      </c>
      <c r="B4023" s="878">
        <v>2687.25</v>
      </c>
    </row>
    <row r="4024" spans="1:2" ht="16.149999999999999" customHeight="1">
      <c r="A4024" s="877">
        <v>37584</v>
      </c>
      <c r="B4024" s="880">
        <v>2687.25</v>
      </c>
    </row>
    <row r="4025" spans="1:2" ht="16.149999999999999" customHeight="1">
      <c r="A4025" s="877">
        <v>37585</v>
      </c>
      <c r="B4025" s="878">
        <v>2687.25</v>
      </c>
    </row>
    <row r="4026" spans="1:2" ht="16.149999999999999" customHeight="1">
      <c r="A4026" s="877">
        <v>37586</v>
      </c>
      <c r="B4026" s="880">
        <v>2716.95</v>
      </c>
    </row>
    <row r="4027" spans="1:2" ht="16.149999999999999" customHeight="1">
      <c r="A4027" s="877">
        <v>37587</v>
      </c>
      <c r="B4027" s="878">
        <v>2735.04</v>
      </c>
    </row>
    <row r="4028" spans="1:2" ht="16.149999999999999" customHeight="1">
      <c r="A4028" s="877">
        <v>37588</v>
      </c>
      <c r="B4028" s="880">
        <v>2754.67</v>
      </c>
    </row>
    <row r="4029" spans="1:2" ht="16.149999999999999" customHeight="1">
      <c r="A4029" s="877">
        <v>37589</v>
      </c>
      <c r="B4029" s="878">
        <v>2758.28</v>
      </c>
    </row>
    <row r="4030" spans="1:2" ht="16.149999999999999" customHeight="1">
      <c r="A4030" s="877">
        <v>37590</v>
      </c>
      <c r="B4030" s="880">
        <v>2784.21</v>
      </c>
    </row>
    <row r="4031" spans="1:2" ht="16.149999999999999" customHeight="1">
      <c r="A4031" s="877">
        <v>37591</v>
      </c>
      <c r="B4031" s="878">
        <v>2784.21</v>
      </c>
    </row>
    <row r="4032" spans="1:2" ht="16.149999999999999" customHeight="1">
      <c r="A4032" s="877">
        <v>37592</v>
      </c>
      <c r="B4032" s="880">
        <v>2784.21</v>
      </c>
    </row>
    <row r="4033" spans="1:2" ht="16.149999999999999" customHeight="1">
      <c r="A4033" s="877">
        <v>37593</v>
      </c>
      <c r="B4033" s="878">
        <v>2812.94</v>
      </c>
    </row>
    <row r="4034" spans="1:2" ht="16.149999999999999" customHeight="1">
      <c r="A4034" s="877">
        <v>37594</v>
      </c>
      <c r="B4034" s="880">
        <v>2826.1</v>
      </c>
    </row>
    <row r="4035" spans="1:2" ht="16.149999999999999" customHeight="1">
      <c r="A4035" s="877">
        <v>37595</v>
      </c>
      <c r="B4035" s="878">
        <v>2806.63</v>
      </c>
    </row>
    <row r="4036" spans="1:2" ht="16.149999999999999" customHeight="1">
      <c r="A4036" s="877">
        <v>37596</v>
      </c>
      <c r="B4036" s="880">
        <v>2788.72</v>
      </c>
    </row>
    <row r="4037" spans="1:2" ht="16.149999999999999" customHeight="1">
      <c r="A4037" s="877">
        <v>37597</v>
      </c>
      <c r="B4037" s="878">
        <v>2782.4</v>
      </c>
    </row>
    <row r="4038" spans="1:2" ht="16.149999999999999" customHeight="1">
      <c r="A4038" s="877">
        <v>37598</v>
      </c>
      <c r="B4038" s="880">
        <v>2782.4</v>
      </c>
    </row>
    <row r="4039" spans="1:2" ht="16.149999999999999" customHeight="1">
      <c r="A4039" s="877">
        <v>37599</v>
      </c>
      <c r="B4039" s="878">
        <v>2782.4</v>
      </c>
    </row>
    <row r="4040" spans="1:2" ht="16.149999999999999" customHeight="1">
      <c r="A4040" s="877">
        <v>37600</v>
      </c>
      <c r="B4040" s="880">
        <v>2815</v>
      </c>
    </row>
    <row r="4041" spans="1:2" ht="16.149999999999999" customHeight="1">
      <c r="A4041" s="877">
        <v>37601</v>
      </c>
      <c r="B4041" s="878">
        <v>2816.42</v>
      </c>
    </row>
    <row r="4042" spans="1:2" ht="16.149999999999999" customHeight="1">
      <c r="A4042" s="877">
        <v>37602</v>
      </c>
      <c r="B4042" s="880">
        <v>2801.01</v>
      </c>
    </row>
    <row r="4043" spans="1:2" ht="16.149999999999999" customHeight="1">
      <c r="A4043" s="877">
        <v>37603</v>
      </c>
      <c r="B4043" s="878">
        <v>2793.16</v>
      </c>
    </row>
    <row r="4044" spans="1:2" ht="16.149999999999999" customHeight="1">
      <c r="A4044" s="877">
        <v>37604</v>
      </c>
      <c r="B4044" s="880">
        <v>2808.16</v>
      </c>
    </row>
    <row r="4045" spans="1:2" ht="16.149999999999999" customHeight="1">
      <c r="A4045" s="877">
        <v>37605</v>
      </c>
      <c r="B4045" s="878">
        <v>2808.16</v>
      </c>
    </row>
    <row r="4046" spans="1:2" ht="16.149999999999999" customHeight="1">
      <c r="A4046" s="877">
        <v>37606</v>
      </c>
      <c r="B4046" s="880">
        <v>2808.16</v>
      </c>
    </row>
    <row r="4047" spans="1:2" ht="16.149999999999999" customHeight="1">
      <c r="A4047" s="877">
        <v>37607</v>
      </c>
      <c r="B4047" s="878">
        <v>2807.61</v>
      </c>
    </row>
    <row r="4048" spans="1:2" ht="16.149999999999999" customHeight="1">
      <c r="A4048" s="877">
        <v>37608</v>
      </c>
      <c r="B4048" s="880">
        <v>2805.55</v>
      </c>
    </row>
    <row r="4049" spans="1:2" ht="16.149999999999999" customHeight="1">
      <c r="A4049" s="877">
        <v>37609</v>
      </c>
      <c r="B4049" s="878">
        <v>2818.81</v>
      </c>
    </row>
    <row r="4050" spans="1:2" ht="16.149999999999999" customHeight="1">
      <c r="A4050" s="877">
        <v>37610</v>
      </c>
      <c r="B4050" s="880">
        <v>2818.54</v>
      </c>
    </row>
    <row r="4051" spans="1:2" ht="16.149999999999999" customHeight="1">
      <c r="A4051" s="877">
        <v>37611</v>
      </c>
      <c r="B4051" s="878">
        <v>2814.71</v>
      </c>
    </row>
    <row r="4052" spans="1:2" ht="16.149999999999999" customHeight="1">
      <c r="A4052" s="877">
        <v>37612</v>
      </c>
      <c r="B4052" s="880">
        <v>2814.71</v>
      </c>
    </row>
    <row r="4053" spans="1:2" ht="16.149999999999999" customHeight="1">
      <c r="A4053" s="877">
        <v>37613</v>
      </c>
      <c r="B4053" s="878">
        <v>2814.71</v>
      </c>
    </row>
    <row r="4054" spans="1:2" ht="16.149999999999999" customHeight="1">
      <c r="A4054" s="877">
        <v>37614</v>
      </c>
      <c r="B4054" s="880">
        <v>2826.04</v>
      </c>
    </row>
    <row r="4055" spans="1:2" ht="16.149999999999999" customHeight="1">
      <c r="A4055" s="877">
        <v>37615</v>
      </c>
      <c r="B4055" s="878">
        <v>2823.95</v>
      </c>
    </row>
    <row r="4056" spans="1:2" ht="16.149999999999999" customHeight="1">
      <c r="A4056" s="877">
        <v>37616</v>
      </c>
      <c r="B4056" s="880">
        <v>2823.95</v>
      </c>
    </row>
    <row r="4057" spans="1:2" ht="16.149999999999999" customHeight="1">
      <c r="A4057" s="877">
        <v>37617</v>
      </c>
      <c r="B4057" s="878">
        <v>2843.57</v>
      </c>
    </row>
    <row r="4058" spans="1:2" ht="16.149999999999999" customHeight="1">
      <c r="A4058" s="877">
        <v>37618</v>
      </c>
      <c r="B4058" s="880">
        <v>2854.29</v>
      </c>
    </row>
    <row r="4059" spans="1:2" ht="16.149999999999999" customHeight="1">
      <c r="A4059" s="877">
        <v>37619</v>
      </c>
      <c r="B4059" s="878">
        <v>2854.29</v>
      </c>
    </row>
    <row r="4060" spans="1:2" ht="16.149999999999999" customHeight="1">
      <c r="A4060" s="877">
        <v>37620</v>
      </c>
      <c r="B4060" s="880">
        <v>2854.29</v>
      </c>
    </row>
    <row r="4061" spans="1:2" ht="16.149999999999999" customHeight="1">
      <c r="A4061" s="877">
        <v>37621</v>
      </c>
      <c r="B4061" s="878">
        <v>2864.79</v>
      </c>
    </row>
    <row r="4062" spans="1:2" ht="16.149999999999999" customHeight="1">
      <c r="A4062" s="877">
        <v>37622</v>
      </c>
      <c r="B4062" s="880">
        <v>2864.79</v>
      </c>
    </row>
    <row r="4063" spans="1:2" ht="16.149999999999999" customHeight="1">
      <c r="A4063" s="877">
        <v>37623</v>
      </c>
      <c r="B4063" s="878">
        <v>2864.79</v>
      </c>
    </row>
    <row r="4064" spans="1:2" ht="16.149999999999999" customHeight="1">
      <c r="A4064" s="877">
        <v>37624</v>
      </c>
      <c r="B4064" s="880">
        <v>2844.82</v>
      </c>
    </row>
    <row r="4065" spans="1:2" ht="16.149999999999999" customHeight="1">
      <c r="A4065" s="877">
        <v>37625</v>
      </c>
      <c r="B4065" s="878">
        <v>2841.56</v>
      </c>
    </row>
    <row r="4066" spans="1:2" ht="16.149999999999999" customHeight="1">
      <c r="A4066" s="877">
        <v>37626</v>
      </c>
      <c r="B4066" s="880">
        <v>2841.56</v>
      </c>
    </row>
    <row r="4067" spans="1:2" ht="16.149999999999999" customHeight="1">
      <c r="A4067" s="877">
        <v>37627</v>
      </c>
      <c r="B4067" s="878">
        <v>2841.56</v>
      </c>
    </row>
    <row r="4068" spans="1:2" ht="16.149999999999999" customHeight="1">
      <c r="A4068" s="877">
        <v>37628</v>
      </c>
      <c r="B4068" s="880">
        <v>2841.56</v>
      </c>
    </row>
    <row r="4069" spans="1:2" ht="16.149999999999999" customHeight="1">
      <c r="A4069" s="877">
        <v>37629</v>
      </c>
      <c r="B4069" s="878">
        <v>2881.83</v>
      </c>
    </row>
    <row r="4070" spans="1:2" ht="16.149999999999999" customHeight="1">
      <c r="A4070" s="877">
        <v>37630</v>
      </c>
      <c r="B4070" s="880">
        <v>2902.92</v>
      </c>
    </row>
    <row r="4071" spans="1:2" ht="16.149999999999999" customHeight="1">
      <c r="A4071" s="877">
        <v>37631</v>
      </c>
      <c r="B4071" s="878">
        <v>2915.01</v>
      </c>
    </row>
    <row r="4072" spans="1:2" ht="16.149999999999999" customHeight="1">
      <c r="A4072" s="877">
        <v>37632</v>
      </c>
      <c r="B4072" s="880">
        <v>2905.77</v>
      </c>
    </row>
    <row r="4073" spans="1:2" ht="16.149999999999999" customHeight="1">
      <c r="A4073" s="877">
        <v>37633</v>
      </c>
      <c r="B4073" s="878">
        <v>2905.77</v>
      </c>
    </row>
    <row r="4074" spans="1:2" ht="16.149999999999999" customHeight="1">
      <c r="A4074" s="877">
        <v>37634</v>
      </c>
      <c r="B4074" s="880">
        <v>2905.77</v>
      </c>
    </row>
    <row r="4075" spans="1:2" ht="16.149999999999999" customHeight="1">
      <c r="A4075" s="877">
        <v>37635</v>
      </c>
      <c r="B4075" s="878">
        <v>2906.49</v>
      </c>
    </row>
    <row r="4076" spans="1:2" ht="16.149999999999999" customHeight="1">
      <c r="A4076" s="877">
        <v>37636</v>
      </c>
      <c r="B4076" s="880">
        <v>2903.05</v>
      </c>
    </row>
    <row r="4077" spans="1:2" ht="16.149999999999999" customHeight="1">
      <c r="A4077" s="877">
        <v>37637</v>
      </c>
      <c r="B4077" s="878">
        <v>2905.41</v>
      </c>
    </row>
    <row r="4078" spans="1:2" ht="16.149999999999999" customHeight="1">
      <c r="A4078" s="877">
        <v>37638</v>
      </c>
      <c r="B4078" s="880">
        <v>2928.19</v>
      </c>
    </row>
    <row r="4079" spans="1:2" ht="16.149999999999999" customHeight="1">
      <c r="A4079" s="877">
        <v>37639</v>
      </c>
      <c r="B4079" s="878">
        <v>2923.58</v>
      </c>
    </row>
    <row r="4080" spans="1:2" ht="16.149999999999999" customHeight="1">
      <c r="A4080" s="877">
        <v>37640</v>
      </c>
      <c r="B4080" s="880">
        <v>2923.58</v>
      </c>
    </row>
    <row r="4081" spans="1:2" ht="16.149999999999999" customHeight="1">
      <c r="A4081" s="877">
        <v>37641</v>
      </c>
      <c r="B4081" s="878">
        <v>2923.58</v>
      </c>
    </row>
    <row r="4082" spans="1:2" ht="16.149999999999999" customHeight="1">
      <c r="A4082" s="877">
        <v>37642</v>
      </c>
      <c r="B4082" s="880">
        <v>2926.06</v>
      </c>
    </row>
    <row r="4083" spans="1:2" ht="16.149999999999999" customHeight="1">
      <c r="A4083" s="877">
        <v>37643</v>
      </c>
      <c r="B4083" s="878">
        <v>2933.81</v>
      </c>
    </row>
    <row r="4084" spans="1:2" ht="16.149999999999999" customHeight="1">
      <c r="A4084" s="877">
        <v>37644</v>
      </c>
      <c r="B4084" s="880">
        <v>2947.05</v>
      </c>
    </row>
    <row r="4085" spans="1:2" ht="16.149999999999999" customHeight="1">
      <c r="A4085" s="877">
        <v>37645</v>
      </c>
      <c r="B4085" s="878">
        <v>2926.88</v>
      </c>
    </row>
    <row r="4086" spans="1:2" ht="16.149999999999999" customHeight="1">
      <c r="A4086" s="877">
        <v>37646</v>
      </c>
      <c r="B4086" s="880">
        <v>2924.73</v>
      </c>
    </row>
    <row r="4087" spans="1:2" ht="16.149999999999999" customHeight="1">
      <c r="A4087" s="877">
        <v>37647</v>
      </c>
      <c r="B4087" s="878">
        <v>2924.73</v>
      </c>
    </row>
    <row r="4088" spans="1:2" ht="16.149999999999999" customHeight="1">
      <c r="A4088" s="877">
        <v>37648</v>
      </c>
      <c r="B4088" s="880">
        <v>2924.73</v>
      </c>
    </row>
    <row r="4089" spans="1:2" ht="16.149999999999999" customHeight="1">
      <c r="A4089" s="877">
        <v>37649</v>
      </c>
      <c r="B4089" s="878">
        <v>2948.3</v>
      </c>
    </row>
    <row r="4090" spans="1:2" ht="16.149999999999999" customHeight="1">
      <c r="A4090" s="877">
        <v>37650</v>
      </c>
      <c r="B4090" s="880">
        <v>2965.6</v>
      </c>
    </row>
    <row r="4091" spans="1:2" ht="16.149999999999999" customHeight="1">
      <c r="A4091" s="877">
        <v>37651</v>
      </c>
      <c r="B4091" s="878">
        <v>2950.71</v>
      </c>
    </row>
    <row r="4092" spans="1:2" ht="16.149999999999999" customHeight="1">
      <c r="A4092" s="877">
        <v>37652</v>
      </c>
      <c r="B4092" s="880">
        <v>2926.46</v>
      </c>
    </row>
    <row r="4093" spans="1:2" ht="16.149999999999999" customHeight="1">
      <c r="A4093" s="877">
        <v>37653</v>
      </c>
      <c r="B4093" s="878">
        <v>2940.26</v>
      </c>
    </row>
    <row r="4094" spans="1:2" ht="16.149999999999999" customHeight="1">
      <c r="A4094" s="877">
        <v>37654</v>
      </c>
      <c r="B4094" s="880">
        <v>2940.26</v>
      </c>
    </row>
    <row r="4095" spans="1:2" ht="16.149999999999999" customHeight="1">
      <c r="A4095" s="877">
        <v>37655</v>
      </c>
      <c r="B4095" s="878">
        <v>2940.26</v>
      </c>
    </row>
    <row r="4096" spans="1:2" ht="16.149999999999999" customHeight="1">
      <c r="A4096" s="877">
        <v>37656</v>
      </c>
      <c r="B4096" s="880">
        <v>2957.4</v>
      </c>
    </row>
    <row r="4097" spans="1:2" ht="16.149999999999999" customHeight="1">
      <c r="A4097" s="877">
        <v>37657</v>
      </c>
      <c r="B4097" s="878">
        <v>2966.78</v>
      </c>
    </row>
    <row r="4098" spans="1:2" ht="16.149999999999999" customHeight="1">
      <c r="A4098" s="877">
        <v>37658</v>
      </c>
      <c r="B4098" s="880">
        <v>2961.29</v>
      </c>
    </row>
    <row r="4099" spans="1:2" ht="16.149999999999999" customHeight="1">
      <c r="A4099" s="877">
        <v>37659</v>
      </c>
      <c r="B4099" s="878">
        <v>2963.28</v>
      </c>
    </row>
    <row r="4100" spans="1:2" ht="16.149999999999999" customHeight="1">
      <c r="A4100" s="877">
        <v>37660</v>
      </c>
      <c r="B4100" s="880">
        <v>2954.03</v>
      </c>
    </row>
    <row r="4101" spans="1:2" ht="16.149999999999999" customHeight="1">
      <c r="A4101" s="877">
        <v>37661</v>
      </c>
      <c r="B4101" s="878">
        <v>2954.03</v>
      </c>
    </row>
    <row r="4102" spans="1:2" ht="16.149999999999999" customHeight="1">
      <c r="A4102" s="877">
        <v>37662</v>
      </c>
      <c r="B4102" s="880">
        <v>2954.03</v>
      </c>
    </row>
    <row r="4103" spans="1:2" ht="16.149999999999999" customHeight="1">
      <c r="A4103" s="877">
        <v>37663</v>
      </c>
      <c r="B4103" s="878">
        <v>2968.88</v>
      </c>
    </row>
    <row r="4104" spans="1:2" ht="16.149999999999999" customHeight="1">
      <c r="A4104" s="877">
        <v>37664</v>
      </c>
      <c r="B4104" s="880">
        <v>2963.21</v>
      </c>
    </row>
    <row r="4105" spans="1:2" ht="16.149999999999999" customHeight="1">
      <c r="A4105" s="877">
        <v>37665</v>
      </c>
      <c r="B4105" s="878">
        <v>2960.77</v>
      </c>
    </row>
    <row r="4106" spans="1:2" ht="16.149999999999999" customHeight="1">
      <c r="A4106" s="877">
        <v>37666</v>
      </c>
      <c r="B4106" s="880">
        <v>2959.75</v>
      </c>
    </row>
    <row r="4107" spans="1:2" ht="16.149999999999999" customHeight="1">
      <c r="A4107" s="877">
        <v>37667</v>
      </c>
      <c r="B4107" s="878">
        <v>2954.76</v>
      </c>
    </row>
    <row r="4108" spans="1:2" ht="16.149999999999999" customHeight="1">
      <c r="A4108" s="877">
        <v>37668</v>
      </c>
      <c r="B4108" s="880">
        <v>2954.76</v>
      </c>
    </row>
    <row r="4109" spans="1:2" ht="16.149999999999999" customHeight="1">
      <c r="A4109" s="877">
        <v>37669</v>
      </c>
      <c r="B4109" s="878">
        <v>2954.76</v>
      </c>
    </row>
    <row r="4110" spans="1:2" ht="16.149999999999999" customHeight="1">
      <c r="A4110" s="877">
        <v>37670</v>
      </c>
      <c r="B4110" s="880">
        <v>2934.58</v>
      </c>
    </row>
    <row r="4111" spans="1:2" ht="16.149999999999999" customHeight="1">
      <c r="A4111" s="877">
        <v>37671</v>
      </c>
      <c r="B4111" s="878">
        <v>2929.64</v>
      </c>
    </row>
    <row r="4112" spans="1:2" ht="16.149999999999999" customHeight="1">
      <c r="A4112" s="877">
        <v>37672</v>
      </c>
      <c r="B4112" s="880">
        <v>2937.44</v>
      </c>
    </row>
    <row r="4113" spans="1:2" ht="16.149999999999999" customHeight="1">
      <c r="A4113" s="877">
        <v>37673</v>
      </c>
      <c r="B4113" s="878">
        <v>2938.23</v>
      </c>
    </row>
    <row r="4114" spans="1:2" ht="16.149999999999999" customHeight="1">
      <c r="A4114" s="877">
        <v>37674</v>
      </c>
      <c r="B4114" s="880">
        <v>2939.92</v>
      </c>
    </row>
    <row r="4115" spans="1:2" ht="16.149999999999999" customHeight="1">
      <c r="A4115" s="877">
        <v>37675</v>
      </c>
      <c r="B4115" s="878">
        <v>2939.92</v>
      </c>
    </row>
    <row r="4116" spans="1:2" ht="16.149999999999999" customHeight="1">
      <c r="A4116" s="877">
        <v>37676</v>
      </c>
      <c r="B4116" s="880">
        <v>2939.92</v>
      </c>
    </row>
    <row r="4117" spans="1:2" ht="16.149999999999999" customHeight="1">
      <c r="A4117" s="877">
        <v>37677</v>
      </c>
      <c r="B4117" s="878">
        <v>2949.05</v>
      </c>
    </row>
    <row r="4118" spans="1:2" ht="16.149999999999999" customHeight="1">
      <c r="A4118" s="877">
        <v>37678</v>
      </c>
      <c r="B4118" s="880">
        <v>2951.81</v>
      </c>
    </row>
    <row r="4119" spans="1:2" ht="16.149999999999999" customHeight="1">
      <c r="A4119" s="877">
        <v>37679</v>
      </c>
      <c r="B4119" s="878">
        <v>2949.85</v>
      </c>
    </row>
    <row r="4120" spans="1:2" ht="16.149999999999999" customHeight="1">
      <c r="A4120" s="877">
        <v>37680</v>
      </c>
      <c r="B4120" s="880">
        <v>2956.31</v>
      </c>
    </row>
    <row r="4121" spans="1:2" ht="16.149999999999999" customHeight="1">
      <c r="A4121" s="877">
        <v>37681</v>
      </c>
      <c r="B4121" s="878">
        <v>2957.87</v>
      </c>
    </row>
    <row r="4122" spans="1:2" ht="16.149999999999999" customHeight="1">
      <c r="A4122" s="877">
        <v>37682</v>
      </c>
      <c r="B4122" s="880">
        <v>2957.87</v>
      </c>
    </row>
    <row r="4123" spans="1:2" ht="16.149999999999999" customHeight="1">
      <c r="A4123" s="877">
        <v>37683</v>
      </c>
      <c r="B4123" s="878">
        <v>2957.87</v>
      </c>
    </row>
    <row r="4124" spans="1:2" ht="16.149999999999999" customHeight="1">
      <c r="A4124" s="877">
        <v>37684</v>
      </c>
      <c r="B4124" s="880">
        <v>2959.97</v>
      </c>
    </row>
    <row r="4125" spans="1:2" ht="16.149999999999999" customHeight="1">
      <c r="A4125" s="877">
        <v>37685</v>
      </c>
      <c r="B4125" s="878">
        <v>2962.06</v>
      </c>
    </row>
    <row r="4126" spans="1:2" ht="16.149999999999999" customHeight="1">
      <c r="A4126" s="877">
        <v>37686</v>
      </c>
      <c r="B4126" s="880">
        <v>2960.77</v>
      </c>
    </row>
    <row r="4127" spans="1:2" ht="16.149999999999999" customHeight="1">
      <c r="A4127" s="877">
        <v>37687</v>
      </c>
      <c r="B4127" s="878">
        <v>2960.11</v>
      </c>
    </row>
    <row r="4128" spans="1:2" ht="16.149999999999999" customHeight="1">
      <c r="A4128" s="877">
        <v>37688</v>
      </c>
      <c r="B4128" s="880">
        <v>2959.75</v>
      </c>
    </row>
    <row r="4129" spans="1:2" ht="16.149999999999999" customHeight="1">
      <c r="A4129" s="877">
        <v>37689</v>
      </c>
      <c r="B4129" s="878">
        <v>2959.75</v>
      </c>
    </row>
    <row r="4130" spans="1:2" ht="16.149999999999999" customHeight="1">
      <c r="A4130" s="877">
        <v>37690</v>
      </c>
      <c r="B4130" s="880">
        <v>2959.75</v>
      </c>
    </row>
    <row r="4131" spans="1:2" ht="16.149999999999999" customHeight="1">
      <c r="A4131" s="877">
        <v>37691</v>
      </c>
      <c r="B4131" s="878">
        <v>2961.93</v>
      </c>
    </row>
    <row r="4132" spans="1:2" ht="16.149999999999999" customHeight="1">
      <c r="A4132" s="877">
        <v>37692</v>
      </c>
      <c r="B4132" s="880">
        <v>2962.76</v>
      </c>
    </row>
    <row r="4133" spans="1:2" ht="16.149999999999999" customHeight="1">
      <c r="A4133" s="877">
        <v>37693</v>
      </c>
      <c r="B4133" s="878">
        <v>2961.99</v>
      </c>
    </row>
    <row r="4134" spans="1:2" ht="16.149999999999999" customHeight="1">
      <c r="A4134" s="877">
        <v>37694</v>
      </c>
      <c r="B4134" s="880">
        <v>2959.39</v>
      </c>
    </row>
    <row r="4135" spans="1:2" ht="16.149999999999999" customHeight="1">
      <c r="A4135" s="877">
        <v>37695</v>
      </c>
      <c r="B4135" s="878">
        <v>2958.86</v>
      </c>
    </row>
    <row r="4136" spans="1:2" ht="16.149999999999999" customHeight="1">
      <c r="A4136" s="877">
        <v>37696</v>
      </c>
      <c r="B4136" s="880">
        <v>2958.86</v>
      </c>
    </row>
    <row r="4137" spans="1:2" ht="16.149999999999999" customHeight="1">
      <c r="A4137" s="877">
        <v>37697</v>
      </c>
      <c r="B4137" s="878">
        <v>2958.86</v>
      </c>
    </row>
    <row r="4138" spans="1:2" ht="16.149999999999999" customHeight="1">
      <c r="A4138" s="877">
        <v>37698</v>
      </c>
      <c r="B4138" s="880">
        <v>2956.47</v>
      </c>
    </row>
    <row r="4139" spans="1:2" ht="16.149999999999999" customHeight="1">
      <c r="A4139" s="877">
        <v>37699</v>
      </c>
      <c r="B4139" s="878">
        <v>2955.84</v>
      </c>
    </row>
    <row r="4140" spans="1:2" ht="16.149999999999999" customHeight="1">
      <c r="A4140" s="877">
        <v>37700</v>
      </c>
      <c r="B4140" s="880">
        <v>2955.64</v>
      </c>
    </row>
    <row r="4141" spans="1:2" ht="16.149999999999999" customHeight="1">
      <c r="A4141" s="877">
        <v>37701</v>
      </c>
      <c r="B4141" s="878">
        <v>2954.62</v>
      </c>
    </row>
    <row r="4142" spans="1:2" ht="16.149999999999999" customHeight="1">
      <c r="A4142" s="877">
        <v>37702</v>
      </c>
      <c r="B4142" s="880">
        <v>2956.06</v>
      </c>
    </row>
    <row r="4143" spans="1:2" ht="16.149999999999999" customHeight="1">
      <c r="A4143" s="877">
        <v>37703</v>
      </c>
      <c r="B4143" s="878">
        <v>2956.06</v>
      </c>
    </row>
    <row r="4144" spans="1:2" ht="16.149999999999999" customHeight="1">
      <c r="A4144" s="877">
        <v>37704</v>
      </c>
      <c r="B4144" s="880">
        <v>2956.06</v>
      </c>
    </row>
    <row r="4145" spans="1:2" ht="16.149999999999999" customHeight="1">
      <c r="A4145" s="877">
        <v>37705</v>
      </c>
      <c r="B4145" s="878">
        <v>2956.06</v>
      </c>
    </row>
    <row r="4146" spans="1:2" ht="16.149999999999999" customHeight="1">
      <c r="A4146" s="877">
        <v>37706</v>
      </c>
      <c r="B4146" s="880">
        <v>2959.26</v>
      </c>
    </row>
    <row r="4147" spans="1:2" ht="16.149999999999999" customHeight="1">
      <c r="A4147" s="877">
        <v>37707</v>
      </c>
      <c r="B4147" s="878">
        <v>2959.84</v>
      </c>
    </row>
    <row r="4148" spans="1:2" ht="16.149999999999999" customHeight="1">
      <c r="A4148" s="877">
        <v>37708</v>
      </c>
      <c r="B4148" s="880">
        <v>2958.73</v>
      </c>
    </row>
    <row r="4149" spans="1:2" ht="16.149999999999999" customHeight="1">
      <c r="A4149" s="877">
        <v>37709</v>
      </c>
      <c r="B4149" s="878">
        <v>2958.25</v>
      </c>
    </row>
    <row r="4150" spans="1:2" ht="16.149999999999999" customHeight="1">
      <c r="A4150" s="877">
        <v>37710</v>
      </c>
      <c r="B4150" s="880">
        <v>2958.25</v>
      </c>
    </row>
    <row r="4151" spans="1:2" ht="16.149999999999999" customHeight="1">
      <c r="A4151" s="877">
        <v>37711</v>
      </c>
      <c r="B4151" s="878">
        <v>2958.25</v>
      </c>
    </row>
    <row r="4152" spans="1:2" ht="16.149999999999999" customHeight="1">
      <c r="A4152" s="877">
        <v>37712</v>
      </c>
      <c r="B4152" s="880">
        <v>2958.15</v>
      </c>
    </row>
    <row r="4153" spans="1:2" ht="16.149999999999999" customHeight="1">
      <c r="A4153" s="877">
        <v>37713</v>
      </c>
      <c r="B4153" s="878">
        <v>2958.56</v>
      </c>
    </row>
    <row r="4154" spans="1:2" ht="16.149999999999999" customHeight="1">
      <c r="A4154" s="877">
        <v>37714</v>
      </c>
      <c r="B4154" s="880">
        <v>2956.5</v>
      </c>
    </row>
    <row r="4155" spans="1:2" ht="16.149999999999999" customHeight="1">
      <c r="A4155" s="877">
        <v>37715</v>
      </c>
      <c r="B4155" s="878">
        <v>2951.14</v>
      </c>
    </row>
    <row r="4156" spans="1:2" ht="16.149999999999999" customHeight="1">
      <c r="A4156" s="877">
        <v>37716</v>
      </c>
      <c r="B4156" s="880">
        <v>2946.79</v>
      </c>
    </row>
    <row r="4157" spans="1:2" ht="16.149999999999999" customHeight="1">
      <c r="A4157" s="877">
        <v>37717</v>
      </c>
      <c r="B4157" s="878">
        <v>2946.79</v>
      </c>
    </row>
    <row r="4158" spans="1:2" ht="16.149999999999999" customHeight="1">
      <c r="A4158" s="877">
        <v>37718</v>
      </c>
      <c r="B4158" s="880">
        <v>2946.79</v>
      </c>
    </row>
    <row r="4159" spans="1:2" ht="16.149999999999999" customHeight="1">
      <c r="A4159" s="877">
        <v>37719</v>
      </c>
      <c r="B4159" s="878">
        <v>2942.41</v>
      </c>
    </row>
    <row r="4160" spans="1:2" ht="16.149999999999999" customHeight="1">
      <c r="A4160" s="877">
        <v>37720</v>
      </c>
      <c r="B4160" s="880">
        <v>2938.32</v>
      </c>
    </row>
    <row r="4161" spans="1:2" ht="16.149999999999999" customHeight="1">
      <c r="A4161" s="877">
        <v>37721</v>
      </c>
      <c r="B4161" s="878">
        <v>2920.4</v>
      </c>
    </row>
    <row r="4162" spans="1:2" ht="16.149999999999999" customHeight="1">
      <c r="A4162" s="877">
        <v>37722</v>
      </c>
      <c r="B4162" s="880">
        <v>2911.74</v>
      </c>
    </row>
    <row r="4163" spans="1:2" ht="16.149999999999999" customHeight="1">
      <c r="A4163" s="877">
        <v>37723</v>
      </c>
      <c r="B4163" s="878">
        <v>2923.07</v>
      </c>
    </row>
    <row r="4164" spans="1:2" ht="16.149999999999999" customHeight="1">
      <c r="A4164" s="877">
        <v>37724</v>
      </c>
      <c r="B4164" s="880">
        <v>2923.07</v>
      </c>
    </row>
    <row r="4165" spans="1:2" ht="16.149999999999999" customHeight="1">
      <c r="A4165" s="877">
        <v>37725</v>
      </c>
      <c r="B4165" s="878">
        <v>2923.07</v>
      </c>
    </row>
    <row r="4166" spans="1:2" ht="16.149999999999999" customHeight="1">
      <c r="A4166" s="877">
        <v>37726</v>
      </c>
      <c r="B4166" s="880">
        <v>2931.69</v>
      </c>
    </row>
    <row r="4167" spans="1:2" ht="16.149999999999999" customHeight="1">
      <c r="A4167" s="877">
        <v>37727</v>
      </c>
      <c r="B4167" s="878">
        <v>2919.58</v>
      </c>
    </row>
    <row r="4168" spans="1:2" ht="16.149999999999999" customHeight="1">
      <c r="A4168" s="877">
        <v>37728</v>
      </c>
      <c r="B4168" s="880">
        <v>2918.01</v>
      </c>
    </row>
    <row r="4169" spans="1:2" ht="16.149999999999999" customHeight="1">
      <c r="A4169" s="877">
        <v>37729</v>
      </c>
      <c r="B4169" s="878">
        <v>2918.01</v>
      </c>
    </row>
    <row r="4170" spans="1:2" ht="16.149999999999999" customHeight="1">
      <c r="A4170" s="877">
        <v>37730</v>
      </c>
      <c r="B4170" s="880">
        <v>2918.01</v>
      </c>
    </row>
    <row r="4171" spans="1:2" ht="16.149999999999999" customHeight="1">
      <c r="A4171" s="877">
        <v>37731</v>
      </c>
      <c r="B4171" s="878">
        <v>2918.01</v>
      </c>
    </row>
    <row r="4172" spans="1:2" ht="16.149999999999999" customHeight="1">
      <c r="A4172" s="877">
        <v>37732</v>
      </c>
      <c r="B4172" s="880">
        <v>2918.01</v>
      </c>
    </row>
    <row r="4173" spans="1:2" ht="16.149999999999999" customHeight="1">
      <c r="A4173" s="877">
        <v>37733</v>
      </c>
      <c r="B4173" s="878">
        <v>2920.04</v>
      </c>
    </row>
    <row r="4174" spans="1:2" ht="16.149999999999999" customHeight="1">
      <c r="A4174" s="877">
        <v>37734</v>
      </c>
      <c r="B4174" s="880">
        <v>2916.03</v>
      </c>
    </row>
    <row r="4175" spans="1:2" ht="16.149999999999999" customHeight="1">
      <c r="A4175" s="877">
        <v>37735</v>
      </c>
      <c r="B4175" s="878">
        <v>2911</v>
      </c>
    </row>
    <row r="4176" spans="1:2" ht="16.149999999999999" customHeight="1">
      <c r="A4176" s="877">
        <v>37736</v>
      </c>
      <c r="B4176" s="880">
        <v>2908.25</v>
      </c>
    </row>
    <row r="4177" spans="1:2" ht="16.149999999999999" customHeight="1">
      <c r="A4177" s="877">
        <v>37737</v>
      </c>
      <c r="B4177" s="878">
        <v>2912.83</v>
      </c>
    </row>
    <row r="4178" spans="1:2" ht="16.149999999999999" customHeight="1">
      <c r="A4178" s="877">
        <v>37738</v>
      </c>
      <c r="B4178" s="880">
        <v>2912.83</v>
      </c>
    </row>
    <row r="4179" spans="1:2" ht="16.149999999999999" customHeight="1">
      <c r="A4179" s="877">
        <v>37739</v>
      </c>
      <c r="B4179" s="878">
        <v>2912.83</v>
      </c>
    </row>
    <row r="4180" spans="1:2" ht="16.149999999999999" customHeight="1">
      <c r="A4180" s="877">
        <v>37740</v>
      </c>
      <c r="B4180" s="880">
        <v>2900</v>
      </c>
    </row>
    <row r="4181" spans="1:2" ht="16.149999999999999" customHeight="1">
      <c r="A4181" s="877">
        <v>37741</v>
      </c>
      <c r="B4181" s="878">
        <v>2887.82</v>
      </c>
    </row>
    <row r="4182" spans="1:2" ht="16.149999999999999" customHeight="1">
      <c r="A4182" s="877">
        <v>37742</v>
      </c>
      <c r="B4182" s="880">
        <v>2868.43</v>
      </c>
    </row>
    <row r="4183" spans="1:2" ht="16.149999999999999" customHeight="1">
      <c r="A4183" s="877">
        <v>37743</v>
      </c>
      <c r="B4183" s="878">
        <v>2868.43</v>
      </c>
    </row>
    <row r="4184" spans="1:2" ht="16.149999999999999" customHeight="1">
      <c r="A4184" s="877">
        <v>37744</v>
      </c>
      <c r="B4184" s="880">
        <v>2865.94</v>
      </c>
    </row>
    <row r="4185" spans="1:2" ht="16.149999999999999" customHeight="1">
      <c r="A4185" s="877">
        <v>37745</v>
      </c>
      <c r="B4185" s="878">
        <v>2865.94</v>
      </c>
    </row>
    <row r="4186" spans="1:2" ht="16.149999999999999" customHeight="1">
      <c r="A4186" s="877">
        <v>37746</v>
      </c>
      <c r="B4186" s="880">
        <v>2865.94</v>
      </c>
    </row>
    <row r="4187" spans="1:2" ht="16.149999999999999" customHeight="1">
      <c r="A4187" s="877">
        <v>37747</v>
      </c>
      <c r="B4187" s="878">
        <v>2858.37</v>
      </c>
    </row>
    <row r="4188" spans="1:2" ht="16.149999999999999" customHeight="1">
      <c r="A4188" s="877">
        <v>37748</v>
      </c>
      <c r="B4188" s="880">
        <v>2856.98</v>
      </c>
    </row>
    <row r="4189" spans="1:2" ht="16.149999999999999" customHeight="1">
      <c r="A4189" s="877">
        <v>37749</v>
      </c>
      <c r="B4189" s="878">
        <v>2866.06</v>
      </c>
    </row>
    <row r="4190" spans="1:2" ht="16.149999999999999" customHeight="1">
      <c r="A4190" s="877">
        <v>37750</v>
      </c>
      <c r="B4190" s="880">
        <v>2848.41</v>
      </c>
    </row>
    <row r="4191" spans="1:2" ht="16.149999999999999" customHeight="1">
      <c r="A4191" s="877">
        <v>37751</v>
      </c>
      <c r="B4191" s="878">
        <v>2840.04</v>
      </c>
    </row>
    <row r="4192" spans="1:2" ht="16.149999999999999" customHeight="1">
      <c r="A4192" s="877">
        <v>37752</v>
      </c>
      <c r="B4192" s="880">
        <v>2840.04</v>
      </c>
    </row>
    <row r="4193" spans="1:2" ht="16.149999999999999" customHeight="1">
      <c r="A4193" s="877">
        <v>37753</v>
      </c>
      <c r="B4193" s="878">
        <v>2840.04</v>
      </c>
    </row>
    <row r="4194" spans="1:2" ht="16.149999999999999" customHeight="1">
      <c r="A4194" s="877">
        <v>37754</v>
      </c>
      <c r="B4194" s="880">
        <v>2833.86</v>
      </c>
    </row>
    <row r="4195" spans="1:2" ht="16.149999999999999" customHeight="1">
      <c r="A4195" s="877">
        <v>37755</v>
      </c>
      <c r="B4195" s="878">
        <v>2813.6</v>
      </c>
    </row>
    <row r="4196" spans="1:2" ht="16.149999999999999" customHeight="1">
      <c r="A4196" s="877">
        <v>37756</v>
      </c>
      <c r="B4196" s="880">
        <v>2821.08</v>
      </c>
    </row>
    <row r="4197" spans="1:2" ht="16.149999999999999" customHeight="1">
      <c r="A4197" s="877">
        <v>37757</v>
      </c>
      <c r="B4197" s="878">
        <v>2827.99</v>
      </c>
    </row>
    <row r="4198" spans="1:2" ht="16.149999999999999" customHeight="1">
      <c r="A4198" s="877">
        <v>37758</v>
      </c>
      <c r="B4198" s="880">
        <v>2816.46</v>
      </c>
    </row>
    <row r="4199" spans="1:2" ht="16.149999999999999" customHeight="1">
      <c r="A4199" s="877">
        <v>37759</v>
      </c>
      <c r="B4199" s="878">
        <v>2816.46</v>
      </c>
    </row>
    <row r="4200" spans="1:2" ht="16.149999999999999" customHeight="1">
      <c r="A4200" s="877">
        <v>37760</v>
      </c>
      <c r="B4200" s="880">
        <v>2816.46</v>
      </c>
    </row>
    <row r="4201" spans="1:2" ht="16.149999999999999" customHeight="1">
      <c r="A4201" s="877">
        <v>37761</v>
      </c>
      <c r="B4201" s="878">
        <v>2874.77</v>
      </c>
    </row>
    <row r="4202" spans="1:2" ht="16.149999999999999" customHeight="1">
      <c r="A4202" s="877">
        <v>37762</v>
      </c>
      <c r="B4202" s="880">
        <v>2909.83</v>
      </c>
    </row>
    <row r="4203" spans="1:2" ht="16.149999999999999" customHeight="1">
      <c r="A4203" s="877">
        <v>37763</v>
      </c>
      <c r="B4203" s="878">
        <v>2912.46</v>
      </c>
    </row>
    <row r="4204" spans="1:2" ht="16.149999999999999" customHeight="1">
      <c r="A4204" s="877">
        <v>37764</v>
      </c>
      <c r="B4204" s="880">
        <v>2905.91</v>
      </c>
    </row>
    <row r="4205" spans="1:2" ht="16.149999999999999" customHeight="1">
      <c r="A4205" s="877">
        <v>37765</v>
      </c>
      <c r="B4205" s="878">
        <v>2868.37</v>
      </c>
    </row>
    <row r="4206" spans="1:2" ht="16.149999999999999" customHeight="1">
      <c r="A4206" s="877">
        <v>37766</v>
      </c>
      <c r="B4206" s="880">
        <v>2868.37</v>
      </c>
    </row>
    <row r="4207" spans="1:2" ht="16.149999999999999" customHeight="1">
      <c r="A4207" s="877">
        <v>37767</v>
      </c>
      <c r="B4207" s="878">
        <v>2868.37</v>
      </c>
    </row>
    <row r="4208" spans="1:2" ht="16.149999999999999" customHeight="1">
      <c r="A4208" s="877">
        <v>37768</v>
      </c>
      <c r="B4208" s="880">
        <v>2868.37</v>
      </c>
    </row>
    <row r="4209" spans="1:2" ht="16.149999999999999" customHeight="1">
      <c r="A4209" s="877">
        <v>37769</v>
      </c>
      <c r="B4209" s="878">
        <v>2850.03</v>
      </c>
    </row>
    <row r="4210" spans="1:2" ht="16.149999999999999" customHeight="1">
      <c r="A4210" s="877">
        <v>37770</v>
      </c>
      <c r="B4210" s="880">
        <v>2874.91</v>
      </c>
    </row>
    <row r="4211" spans="1:2" ht="16.149999999999999" customHeight="1">
      <c r="A4211" s="877">
        <v>37771</v>
      </c>
      <c r="B4211" s="878">
        <v>2855.88</v>
      </c>
    </row>
    <row r="4212" spans="1:2" ht="16.149999999999999" customHeight="1">
      <c r="A4212" s="877">
        <v>37772</v>
      </c>
      <c r="B4212" s="880">
        <v>2853.33</v>
      </c>
    </row>
    <row r="4213" spans="1:2" ht="16.149999999999999" customHeight="1">
      <c r="A4213" s="877">
        <v>37773</v>
      </c>
      <c r="B4213" s="878">
        <v>2853.33</v>
      </c>
    </row>
    <row r="4214" spans="1:2" ht="16.149999999999999" customHeight="1">
      <c r="A4214" s="877">
        <v>37774</v>
      </c>
      <c r="B4214" s="880">
        <v>2853.33</v>
      </c>
    </row>
    <row r="4215" spans="1:2" ht="16.149999999999999" customHeight="1">
      <c r="A4215" s="877">
        <v>37775</v>
      </c>
      <c r="B4215" s="878">
        <v>2853.33</v>
      </c>
    </row>
    <row r="4216" spans="1:2" ht="16.149999999999999" customHeight="1">
      <c r="A4216" s="877">
        <v>37776</v>
      </c>
      <c r="B4216" s="880">
        <v>2846.16</v>
      </c>
    </row>
    <row r="4217" spans="1:2" ht="16.149999999999999" customHeight="1">
      <c r="A4217" s="877">
        <v>37777</v>
      </c>
      <c r="B4217" s="878">
        <v>2849.71</v>
      </c>
    </row>
    <row r="4218" spans="1:2" ht="16.149999999999999" customHeight="1">
      <c r="A4218" s="877">
        <v>37778</v>
      </c>
      <c r="B4218" s="880">
        <v>2839.21</v>
      </c>
    </row>
    <row r="4219" spans="1:2" ht="16.149999999999999" customHeight="1">
      <c r="A4219" s="877">
        <v>37779</v>
      </c>
      <c r="B4219" s="878">
        <v>2828.2</v>
      </c>
    </row>
    <row r="4220" spans="1:2" ht="16.149999999999999" customHeight="1">
      <c r="A4220" s="877">
        <v>37780</v>
      </c>
      <c r="B4220" s="880">
        <v>2828.2</v>
      </c>
    </row>
    <row r="4221" spans="1:2" ht="16.149999999999999" customHeight="1">
      <c r="A4221" s="877">
        <v>37781</v>
      </c>
      <c r="B4221" s="878">
        <v>2828.2</v>
      </c>
    </row>
    <row r="4222" spans="1:2" ht="16.149999999999999" customHeight="1">
      <c r="A4222" s="877">
        <v>37782</v>
      </c>
      <c r="B4222" s="880">
        <v>2818.5</v>
      </c>
    </row>
    <row r="4223" spans="1:2" ht="16.149999999999999" customHeight="1">
      <c r="A4223" s="877">
        <v>37783</v>
      </c>
      <c r="B4223" s="878">
        <v>2809.63</v>
      </c>
    </row>
    <row r="4224" spans="1:2" ht="16.149999999999999" customHeight="1">
      <c r="A4224" s="877">
        <v>37784</v>
      </c>
      <c r="B4224" s="880">
        <v>2821.27</v>
      </c>
    </row>
    <row r="4225" spans="1:2" ht="16.149999999999999" customHeight="1">
      <c r="A4225" s="877">
        <v>37785</v>
      </c>
      <c r="B4225" s="878">
        <v>2832.2</v>
      </c>
    </row>
    <row r="4226" spans="1:2" ht="16.149999999999999" customHeight="1">
      <c r="A4226" s="877">
        <v>37786</v>
      </c>
      <c r="B4226" s="880">
        <v>2821.61</v>
      </c>
    </row>
    <row r="4227" spans="1:2" ht="16.149999999999999" customHeight="1">
      <c r="A4227" s="877">
        <v>37787</v>
      </c>
      <c r="B4227" s="878">
        <v>2821.61</v>
      </c>
    </row>
    <row r="4228" spans="1:2" ht="16.149999999999999" customHeight="1">
      <c r="A4228" s="877">
        <v>37788</v>
      </c>
      <c r="B4228" s="880">
        <v>2821.61</v>
      </c>
    </row>
    <row r="4229" spans="1:2" ht="16.149999999999999" customHeight="1">
      <c r="A4229" s="877">
        <v>37789</v>
      </c>
      <c r="B4229" s="878">
        <v>2818.62</v>
      </c>
    </row>
    <row r="4230" spans="1:2" ht="16.149999999999999" customHeight="1">
      <c r="A4230" s="877">
        <v>37790</v>
      </c>
      <c r="B4230" s="880">
        <v>2828.96</v>
      </c>
    </row>
    <row r="4231" spans="1:2" ht="16.149999999999999" customHeight="1">
      <c r="A4231" s="877">
        <v>37791</v>
      </c>
      <c r="B4231" s="878">
        <v>2829.42</v>
      </c>
    </row>
    <row r="4232" spans="1:2" ht="16.149999999999999" customHeight="1">
      <c r="A4232" s="877">
        <v>37792</v>
      </c>
      <c r="B4232" s="880">
        <v>2827.4</v>
      </c>
    </row>
    <row r="4233" spans="1:2" ht="16.149999999999999" customHeight="1">
      <c r="A4233" s="877">
        <v>37793</v>
      </c>
      <c r="B4233" s="878">
        <v>2826.36</v>
      </c>
    </row>
    <row r="4234" spans="1:2" ht="16.149999999999999" customHeight="1">
      <c r="A4234" s="877">
        <v>37794</v>
      </c>
      <c r="B4234" s="880">
        <v>2826.36</v>
      </c>
    </row>
    <row r="4235" spans="1:2" ht="16.149999999999999" customHeight="1">
      <c r="A4235" s="877">
        <v>37795</v>
      </c>
      <c r="B4235" s="878">
        <v>2826.36</v>
      </c>
    </row>
    <row r="4236" spans="1:2" ht="16.149999999999999" customHeight="1">
      <c r="A4236" s="877">
        <v>37796</v>
      </c>
      <c r="B4236" s="880">
        <v>2826.36</v>
      </c>
    </row>
    <row r="4237" spans="1:2" ht="16.149999999999999" customHeight="1">
      <c r="A4237" s="877">
        <v>37797</v>
      </c>
      <c r="B4237" s="878">
        <v>2815.26</v>
      </c>
    </row>
    <row r="4238" spans="1:2" ht="16.149999999999999" customHeight="1">
      <c r="A4238" s="877">
        <v>37798</v>
      </c>
      <c r="B4238" s="880">
        <v>2806.96</v>
      </c>
    </row>
    <row r="4239" spans="1:2" ht="16.149999999999999" customHeight="1">
      <c r="A4239" s="877">
        <v>37799</v>
      </c>
      <c r="B4239" s="878">
        <v>2812.28</v>
      </c>
    </row>
    <row r="4240" spans="1:2" ht="16.149999999999999" customHeight="1">
      <c r="A4240" s="877">
        <v>37800</v>
      </c>
      <c r="B4240" s="880">
        <v>2817.32</v>
      </c>
    </row>
    <row r="4241" spans="1:2" ht="16.149999999999999" customHeight="1">
      <c r="A4241" s="877">
        <v>37801</v>
      </c>
      <c r="B4241" s="878">
        <v>2817.32</v>
      </c>
    </row>
    <row r="4242" spans="1:2" ht="16.149999999999999" customHeight="1">
      <c r="A4242" s="877">
        <v>37802</v>
      </c>
      <c r="B4242" s="880">
        <v>2817.32</v>
      </c>
    </row>
    <row r="4243" spans="1:2" ht="16.149999999999999" customHeight="1">
      <c r="A4243" s="877">
        <v>37803</v>
      </c>
      <c r="B4243" s="878">
        <v>2817.32</v>
      </c>
    </row>
    <row r="4244" spans="1:2" ht="16.149999999999999" customHeight="1">
      <c r="A4244" s="877">
        <v>37804</v>
      </c>
      <c r="B4244" s="880">
        <v>2817.63</v>
      </c>
    </row>
    <row r="4245" spans="1:2" ht="16.149999999999999" customHeight="1">
      <c r="A4245" s="877">
        <v>37805</v>
      </c>
      <c r="B4245" s="878">
        <v>2812.4</v>
      </c>
    </row>
    <row r="4246" spans="1:2" ht="16.149999999999999" customHeight="1">
      <c r="A4246" s="877">
        <v>37806</v>
      </c>
      <c r="B4246" s="880">
        <v>2815.14</v>
      </c>
    </row>
    <row r="4247" spans="1:2" ht="16.149999999999999" customHeight="1">
      <c r="A4247" s="877">
        <v>37807</v>
      </c>
      <c r="B4247" s="878">
        <v>2815.14</v>
      </c>
    </row>
    <row r="4248" spans="1:2" ht="16.149999999999999" customHeight="1">
      <c r="A4248" s="877">
        <v>37808</v>
      </c>
      <c r="B4248" s="880">
        <v>2815.14</v>
      </c>
    </row>
    <row r="4249" spans="1:2" ht="16.149999999999999" customHeight="1">
      <c r="A4249" s="877">
        <v>37809</v>
      </c>
      <c r="B4249" s="878">
        <v>2815.14</v>
      </c>
    </row>
    <row r="4250" spans="1:2" ht="16.149999999999999" customHeight="1">
      <c r="A4250" s="877">
        <v>37810</v>
      </c>
      <c r="B4250" s="880">
        <v>2820.85</v>
      </c>
    </row>
    <row r="4251" spans="1:2" ht="16.149999999999999" customHeight="1">
      <c r="A4251" s="877">
        <v>37811</v>
      </c>
      <c r="B4251" s="878">
        <v>2838.88</v>
      </c>
    </row>
    <row r="4252" spans="1:2" ht="16.149999999999999" customHeight="1">
      <c r="A4252" s="877">
        <v>37812</v>
      </c>
      <c r="B4252" s="880">
        <v>2846.89</v>
      </c>
    </row>
    <row r="4253" spans="1:2" ht="16.149999999999999" customHeight="1">
      <c r="A4253" s="877">
        <v>37813</v>
      </c>
      <c r="B4253" s="878">
        <v>2855.41</v>
      </c>
    </row>
    <row r="4254" spans="1:2" ht="16.149999999999999" customHeight="1">
      <c r="A4254" s="877">
        <v>37814</v>
      </c>
      <c r="B4254" s="880">
        <v>2856.96</v>
      </c>
    </row>
    <row r="4255" spans="1:2" ht="16.149999999999999" customHeight="1">
      <c r="A4255" s="877">
        <v>37815</v>
      </c>
      <c r="B4255" s="878">
        <v>2856.96</v>
      </c>
    </row>
    <row r="4256" spans="1:2" ht="16.149999999999999" customHeight="1">
      <c r="A4256" s="877">
        <v>37816</v>
      </c>
      <c r="B4256" s="880">
        <v>2856.96</v>
      </c>
    </row>
    <row r="4257" spans="1:2" ht="16.149999999999999" customHeight="1">
      <c r="A4257" s="877">
        <v>37817</v>
      </c>
      <c r="B4257" s="878">
        <v>2871.88</v>
      </c>
    </row>
    <row r="4258" spans="1:2" ht="16.149999999999999" customHeight="1">
      <c r="A4258" s="877">
        <v>37818</v>
      </c>
      <c r="B4258" s="880">
        <v>2879.37</v>
      </c>
    </row>
    <row r="4259" spans="1:2" ht="16.149999999999999" customHeight="1">
      <c r="A4259" s="877">
        <v>37819</v>
      </c>
      <c r="B4259" s="878">
        <v>2888.57</v>
      </c>
    </row>
    <row r="4260" spans="1:2" ht="16.149999999999999" customHeight="1">
      <c r="A4260" s="877">
        <v>37820</v>
      </c>
      <c r="B4260" s="880">
        <v>2883.9</v>
      </c>
    </row>
    <row r="4261" spans="1:2" ht="16.149999999999999" customHeight="1">
      <c r="A4261" s="877">
        <v>37821</v>
      </c>
      <c r="B4261" s="878">
        <v>2880.69</v>
      </c>
    </row>
    <row r="4262" spans="1:2" ht="16.149999999999999" customHeight="1">
      <c r="A4262" s="877">
        <v>37822</v>
      </c>
      <c r="B4262" s="880">
        <v>2880.69</v>
      </c>
    </row>
    <row r="4263" spans="1:2" ht="16.149999999999999" customHeight="1">
      <c r="A4263" s="877">
        <v>37823</v>
      </c>
      <c r="B4263" s="878">
        <v>2880.69</v>
      </c>
    </row>
    <row r="4264" spans="1:2" ht="16.149999999999999" customHeight="1">
      <c r="A4264" s="877">
        <v>37824</v>
      </c>
      <c r="B4264" s="880">
        <v>2878.33</v>
      </c>
    </row>
    <row r="4265" spans="1:2" ht="16.149999999999999" customHeight="1">
      <c r="A4265" s="877">
        <v>37825</v>
      </c>
      <c r="B4265" s="878">
        <v>2878.56</v>
      </c>
    </row>
    <row r="4266" spans="1:2" ht="16.149999999999999" customHeight="1">
      <c r="A4266" s="877">
        <v>37826</v>
      </c>
      <c r="B4266" s="880">
        <v>2882.7</v>
      </c>
    </row>
    <row r="4267" spans="1:2" ht="16.149999999999999" customHeight="1">
      <c r="A4267" s="877">
        <v>37827</v>
      </c>
      <c r="B4267" s="878">
        <v>2887.31</v>
      </c>
    </row>
    <row r="4268" spans="1:2" ht="16.149999999999999" customHeight="1">
      <c r="A4268" s="877">
        <v>37828</v>
      </c>
      <c r="B4268" s="880">
        <v>2888.32</v>
      </c>
    </row>
    <row r="4269" spans="1:2" ht="16.149999999999999" customHeight="1">
      <c r="A4269" s="877">
        <v>37829</v>
      </c>
      <c r="B4269" s="878">
        <v>2888.32</v>
      </c>
    </row>
    <row r="4270" spans="1:2" ht="16.149999999999999" customHeight="1">
      <c r="A4270" s="877">
        <v>37830</v>
      </c>
      <c r="B4270" s="880">
        <v>2888.32</v>
      </c>
    </row>
    <row r="4271" spans="1:2" ht="16.149999999999999" customHeight="1">
      <c r="A4271" s="877">
        <v>37831</v>
      </c>
      <c r="B4271" s="878">
        <v>2883.15</v>
      </c>
    </row>
    <row r="4272" spans="1:2" ht="16.149999999999999" customHeight="1">
      <c r="A4272" s="877">
        <v>37832</v>
      </c>
      <c r="B4272" s="880">
        <v>2873.17</v>
      </c>
    </row>
    <row r="4273" spans="1:2" ht="16.149999999999999" customHeight="1">
      <c r="A4273" s="877">
        <v>37833</v>
      </c>
      <c r="B4273" s="878">
        <v>2880.4</v>
      </c>
    </row>
    <row r="4274" spans="1:2" ht="16.149999999999999" customHeight="1">
      <c r="A4274" s="877">
        <v>37834</v>
      </c>
      <c r="B4274" s="880">
        <v>2879.6</v>
      </c>
    </row>
    <row r="4275" spans="1:2" ht="16.149999999999999" customHeight="1">
      <c r="A4275" s="877">
        <v>37835</v>
      </c>
      <c r="B4275" s="878">
        <v>2886.87</v>
      </c>
    </row>
    <row r="4276" spans="1:2" ht="16.149999999999999" customHeight="1">
      <c r="A4276" s="877">
        <v>37836</v>
      </c>
      <c r="B4276" s="880">
        <v>2886.87</v>
      </c>
    </row>
    <row r="4277" spans="1:2" ht="16.149999999999999" customHeight="1">
      <c r="A4277" s="877">
        <v>37837</v>
      </c>
      <c r="B4277" s="878">
        <v>2886.87</v>
      </c>
    </row>
    <row r="4278" spans="1:2" ht="16.149999999999999" customHeight="1">
      <c r="A4278" s="877">
        <v>37838</v>
      </c>
      <c r="B4278" s="880">
        <v>2894.58</v>
      </c>
    </row>
    <row r="4279" spans="1:2" ht="16.149999999999999" customHeight="1">
      <c r="A4279" s="877">
        <v>37839</v>
      </c>
      <c r="B4279" s="878">
        <v>2901.09</v>
      </c>
    </row>
    <row r="4280" spans="1:2" ht="16.149999999999999" customHeight="1">
      <c r="A4280" s="877">
        <v>37840</v>
      </c>
      <c r="B4280" s="880">
        <v>2887.05</v>
      </c>
    </row>
    <row r="4281" spans="1:2" ht="16.149999999999999" customHeight="1">
      <c r="A4281" s="877">
        <v>37841</v>
      </c>
      <c r="B4281" s="878">
        <v>2887.05</v>
      </c>
    </row>
    <row r="4282" spans="1:2" ht="16.149999999999999" customHeight="1">
      <c r="A4282" s="877">
        <v>37842</v>
      </c>
      <c r="B4282" s="880">
        <v>2875.18</v>
      </c>
    </row>
    <row r="4283" spans="1:2" ht="16.149999999999999" customHeight="1">
      <c r="A4283" s="877">
        <v>37843</v>
      </c>
      <c r="B4283" s="878">
        <v>2875.18</v>
      </c>
    </row>
    <row r="4284" spans="1:2" ht="16.149999999999999" customHeight="1">
      <c r="A4284" s="877">
        <v>37844</v>
      </c>
      <c r="B4284" s="880">
        <v>2875.18</v>
      </c>
    </row>
    <row r="4285" spans="1:2" ht="16.149999999999999" customHeight="1">
      <c r="A4285" s="877">
        <v>37845</v>
      </c>
      <c r="B4285" s="878">
        <v>2873.51</v>
      </c>
    </row>
    <row r="4286" spans="1:2" ht="16.149999999999999" customHeight="1">
      <c r="A4286" s="877">
        <v>37846</v>
      </c>
      <c r="B4286" s="880">
        <v>2868.5</v>
      </c>
    </row>
    <row r="4287" spans="1:2" ht="16.149999999999999" customHeight="1">
      <c r="A4287" s="877">
        <v>37847</v>
      </c>
      <c r="B4287" s="878">
        <v>2870.67</v>
      </c>
    </row>
    <row r="4288" spans="1:2" ht="16.149999999999999" customHeight="1">
      <c r="A4288" s="877">
        <v>37848</v>
      </c>
      <c r="B4288" s="880">
        <v>2864.81</v>
      </c>
    </row>
    <row r="4289" spans="1:2" ht="16.149999999999999" customHeight="1">
      <c r="A4289" s="877">
        <v>37849</v>
      </c>
      <c r="B4289" s="878">
        <v>2861.34</v>
      </c>
    </row>
    <row r="4290" spans="1:2" ht="16.149999999999999" customHeight="1">
      <c r="A4290" s="877">
        <v>37850</v>
      </c>
      <c r="B4290" s="880">
        <v>2861.34</v>
      </c>
    </row>
    <row r="4291" spans="1:2" ht="16.149999999999999" customHeight="1">
      <c r="A4291" s="877">
        <v>37851</v>
      </c>
      <c r="B4291" s="878">
        <v>2861.34</v>
      </c>
    </row>
    <row r="4292" spans="1:2" ht="16.149999999999999" customHeight="1">
      <c r="A4292" s="877">
        <v>37852</v>
      </c>
      <c r="B4292" s="880">
        <v>2861.34</v>
      </c>
    </row>
    <row r="4293" spans="1:2" ht="16.149999999999999" customHeight="1">
      <c r="A4293" s="877">
        <v>37853</v>
      </c>
      <c r="B4293" s="878">
        <v>2869.29</v>
      </c>
    </row>
    <row r="4294" spans="1:2" ht="16.149999999999999" customHeight="1">
      <c r="A4294" s="877">
        <v>37854</v>
      </c>
      <c r="B4294" s="880">
        <v>2861.63</v>
      </c>
    </row>
    <row r="4295" spans="1:2" ht="16.149999999999999" customHeight="1">
      <c r="A4295" s="877">
        <v>37855</v>
      </c>
      <c r="B4295" s="878">
        <v>2853.56</v>
      </c>
    </row>
    <row r="4296" spans="1:2" ht="16.149999999999999" customHeight="1">
      <c r="A4296" s="877">
        <v>37856</v>
      </c>
      <c r="B4296" s="880">
        <v>2841.25</v>
      </c>
    </row>
    <row r="4297" spans="1:2" ht="16.149999999999999" customHeight="1">
      <c r="A4297" s="877">
        <v>37857</v>
      </c>
      <c r="B4297" s="878">
        <v>2841.25</v>
      </c>
    </row>
    <row r="4298" spans="1:2" ht="16.149999999999999" customHeight="1">
      <c r="A4298" s="877">
        <v>37858</v>
      </c>
      <c r="B4298" s="880">
        <v>2841.25</v>
      </c>
    </row>
    <row r="4299" spans="1:2" ht="16.149999999999999" customHeight="1">
      <c r="A4299" s="877">
        <v>37859</v>
      </c>
      <c r="B4299" s="878">
        <v>2843.66</v>
      </c>
    </row>
    <row r="4300" spans="1:2" ht="16.149999999999999" customHeight="1">
      <c r="A4300" s="877">
        <v>37860</v>
      </c>
      <c r="B4300" s="880">
        <v>2848.86</v>
      </c>
    </row>
    <row r="4301" spans="1:2" ht="16.149999999999999" customHeight="1">
      <c r="A4301" s="877">
        <v>37861</v>
      </c>
      <c r="B4301" s="878">
        <v>2850.89</v>
      </c>
    </row>
    <row r="4302" spans="1:2" ht="16.149999999999999" customHeight="1">
      <c r="A4302" s="877">
        <v>37862</v>
      </c>
      <c r="B4302" s="880">
        <v>2846.26</v>
      </c>
    </row>
    <row r="4303" spans="1:2" ht="16.149999999999999" customHeight="1">
      <c r="A4303" s="877">
        <v>37863</v>
      </c>
      <c r="B4303" s="878">
        <v>2832.94</v>
      </c>
    </row>
    <row r="4304" spans="1:2" ht="16.149999999999999" customHeight="1">
      <c r="A4304" s="877">
        <v>37864</v>
      </c>
      <c r="B4304" s="880">
        <v>2832.94</v>
      </c>
    </row>
    <row r="4305" spans="1:2" ht="16.149999999999999" customHeight="1">
      <c r="A4305" s="877">
        <v>37865</v>
      </c>
      <c r="B4305" s="878">
        <v>2832.94</v>
      </c>
    </row>
    <row r="4306" spans="1:2" ht="16.149999999999999" customHeight="1">
      <c r="A4306" s="877">
        <v>37866</v>
      </c>
      <c r="B4306" s="880">
        <v>2832.94</v>
      </c>
    </row>
    <row r="4307" spans="1:2" ht="16.149999999999999" customHeight="1">
      <c r="A4307" s="877">
        <v>37867</v>
      </c>
      <c r="B4307" s="878">
        <v>2841.02</v>
      </c>
    </row>
    <row r="4308" spans="1:2" ht="16.149999999999999" customHeight="1">
      <c r="A4308" s="877">
        <v>37868</v>
      </c>
      <c r="B4308" s="880">
        <v>2826.46</v>
      </c>
    </row>
    <row r="4309" spans="1:2" ht="16.149999999999999" customHeight="1">
      <c r="A4309" s="877">
        <v>37869</v>
      </c>
      <c r="B4309" s="878">
        <v>2816.74</v>
      </c>
    </row>
    <row r="4310" spans="1:2" ht="16.149999999999999" customHeight="1">
      <c r="A4310" s="877">
        <v>37870</v>
      </c>
      <c r="B4310" s="880">
        <v>2820.46</v>
      </c>
    </row>
    <row r="4311" spans="1:2" ht="16.149999999999999" customHeight="1">
      <c r="A4311" s="877">
        <v>37871</v>
      </c>
      <c r="B4311" s="878">
        <v>2820.46</v>
      </c>
    </row>
    <row r="4312" spans="1:2" ht="16.149999999999999" customHeight="1">
      <c r="A4312" s="877">
        <v>37872</v>
      </c>
      <c r="B4312" s="880">
        <v>2820.46</v>
      </c>
    </row>
    <row r="4313" spans="1:2" ht="16.149999999999999" customHeight="1">
      <c r="A4313" s="877">
        <v>37873</v>
      </c>
      <c r="B4313" s="878">
        <v>2822.85</v>
      </c>
    </row>
    <row r="4314" spans="1:2" ht="16.149999999999999" customHeight="1">
      <c r="A4314" s="877">
        <v>37874</v>
      </c>
      <c r="B4314" s="880">
        <v>2820.2</v>
      </c>
    </row>
    <row r="4315" spans="1:2" ht="16.149999999999999" customHeight="1">
      <c r="A4315" s="877">
        <v>37875</v>
      </c>
      <c r="B4315" s="878">
        <v>2825.28</v>
      </c>
    </row>
    <row r="4316" spans="1:2" ht="16.149999999999999" customHeight="1">
      <c r="A4316" s="877">
        <v>37876</v>
      </c>
      <c r="B4316" s="880">
        <v>2829.82</v>
      </c>
    </row>
    <row r="4317" spans="1:2" ht="16.149999999999999" customHeight="1">
      <c r="A4317" s="877">
        <v>37877</v>
      </c>
      <c r="B4317" s="878">
        <v>2824.88</v>
      </c>
    </row>
    <row r="4318" spans="1:2" ht="16.149999999999999" customHeight="1">
      <c r="A4318" s="877">
        <v>37878</v>
      </c>
      <c r="B4318" s="880">
        <v>2824.88</v>
      </c>
    </row>
    <row r="4319" spans="1:2" ht="16.149999999999999" customHeight="1">
      <c r="A4319" s="877">
        <v>37879</v>
      </c>
      <c r="B4319" s="878">
        <v>2824.88</v>
      </c>
    </row>
    <row r="4320" spans="1:2" ht="16.149999999999999" customHeight="1">
      <c r="A4320" s="877">
        <v>37880</v>
      </c>
      <c r="B4320" s="880">
        <v>2824.53</v>
      </c>
    </row>
    <row r="4321" spans="1:2" ht="16.149999999999999" customHeight="1">
      <c r="A4321" s="877">
        <v>37881</v>
      </c>
      <c r="B4321" s="878">
        <v>2823.79</v>
      </c>
    </row>
    <row r="4322" spans="1:2" ht="16.149999999999999" customHeight="1">
      <c r="A4322" s="877">
        <v>37882</v>
      </c>
      <c r="B4322" s="880">
        <v>2823.28</v>
      </c>
    </row>
    <row r="4323" spans="1:2" ht="16.149999999999999" customHeight="1">
      <c r="A4323" s="877">
        <v>37883</v>
      </c>
      <c r="B4323" s="878">
        <v>2833.64</v>
      </c>
    </row>
    <row r="4324" spans="1:2" ht="16.149999999999999" customHeight="1">
      <c r="A4324" s="877">
        <v>37884</v>
      </c>
      <c r="B4324" s="880">
        <v>2844.64</v>
      </c>
    </row>
    <row r="4325" spans="1:2" ht="16.149999999999999" customHeight="1">
      <c r="A4325" s="877">
        <v>37885</v>
      </c>
      <c r="B4325" s="878">
        <v>2844.64</v>
      </c>
    </row>
    <row r="4326" spans="1:2" ht="16.149999999999999" customHeight="1">
      <c r="A4326" s="877">
        <v>37886</v>
      </c>
      <c r="B4326" s="880">
        <v>2844.64</v>
      </c>
    </row>
    <row r="4327" spans="1:2" ht="16.149999999999999" customHeight="1">
      <c r="A4327" s="877">
        <v>37887</v>
      </c>
      <c r="B4327" s="878">
        <v>2859.37</v>
      </c>
    </row>
    <row r="4328" spans="1:2" ht="16.149999999999999" customHeight="1">
      <c r="A4328" s="877">
        <v>37888</v>
      </c>
      <c r="B4328" s="880">
        <v>2866.42</v>
      </c>
    </row>
    <row r="4329" spans="1:2" ht="16.149999999999999" customHeight="1">
      <c r="A4329" s="877">
        <v>37889</v>
      </c>
      <c r="B4329" s="878">
        <v>2872.3</v>
      </c>
    </row>
    <row r="4330" spans="1:2" ht="16.149999999999999" customHeight="1">
      <c r="A4330" s="877">
        <v>37890</v>
      </c>
      <c r="B4330" s="880">
        <v>2871.39</v>
      </c>
    </row>
    <row r="4331" spans="1:2" ht="16.149999999999999" customHeight="1">
      <c r="A4331" s="877">
        <v>37891</v>
      </c>
      <c r="B4331" s="878">
        <v>2879.32</v>
      </c>
    </row>
    <row r="4332" spans="1:2" ht="16.149999999999999" customHeight="1">
      <c r="A4332" s="877">
        <v>37892</v>
      </c>
      <c r="B4332" s="880">
        <v>2879.32</v>
      </c>
    </row>
    <row r="4333" spans="1:2" ht="16.149999999999999" customHeight="1">
      <c r="A4333" s="877">
        <v>37893</v>
      </c>
      <c r="B4333" s="878">
        <v>2879.32</v>
      </c>
    </row>
    <row r="4334" spans="1:2" ht="16.149999999999999" customHeight="1">
      <c r="A4334" s="877">
        <v>37894</v>
      </c>
      <c r="B4334" s="880">
        <v>2889.39</v>
      </c>
    </row>
    <row r="4335" spans="1:2" ht="16.149999999999999" customHeight="1">
      <c r="A4335" s="877">
        <v>37895</v>
      </c>
      <c r="B4335" s="878">
        <v>2888.21</v>
      </c>
    </row>
    <row r="4336" spans="1:2" ht="16.149999999999999" customHeight="1">
      <c r="A4336" s="877">
        <v>37896</v>
      </c>
      <c r="B4336" s="880">
        <v>2907.41</v>
      </c>
    </row>
    <row r="4337" spans="1:2" ht="16.149999999999999" customHeight="1">
      <c r="A4337" s="877">
        <v>37897</v>
      </c>
      <c r="B4337" s="878">
        <v>2905.12</v>
      </c>
    </row>
    <row r="4338" spans="1:2" ht="16.149999999999999" customHeight="1">
      <c r="A4338" s="877">
        <v>37898</v>
      </c>
      <c r="B4338" s="880">
        <v>2881.88</v>
      </c>
    </row>
    <row r="4339" spans="1:2" ht="16.149999999999999" customHeight="1">
      <c r="A4339" s="877">
        <v>37899</v>
      </c>
      <c r="B4339" s="878">
        <v>2881.88</v>
      </c>
    </row>
    <row r="4340" spans="1:2" ht="16.149999999999999" customHeight="1">
      <c r="A4340" s="877">
        <v>37900</v>
      </c>
      <c r="B4340" s="880">
        <v>2881.88</v>
      </c>
    </row>
    <row r="4341" spans="1:2" ht="16.149999999999999" customHeight="1">
      <c r="A4341" s="877">
        <v>37901</v>
      </c>
      <c r="B4341" s="878">
        <v>2872.7</v>
      </c>
    </row>
    <row r="4342" spans="1:2" ht="16.149999999999999" customHeight="1">
      <c r="A4342" s="877">
        <v>37902</v>
      </c>
      <c r="B4342" s="880">
        <v>2868.91</v>
      </c>
    </row>
    <row r="4343" spans="1:2" ht="16.149999999999999" customHeight="1">
      <c r="A4343" s="877">
        <v>37903</v>
      </c>
      <c r="B4343" s="878">
        <v>2887.59</v>
      </c>
    </row>
    <row r="4344" spans="1:2" ht="16.149999999999999" customHeight="1">
      <c r="A4344" s="877">
        <v>37904</v>
      </c>
      <c r="B4344" s="880">
        <v>2878.39</v>
      </c>
    </row>
    <row r="4345" spans="1:2" ht="16.149999999999999" customHeight="1">
      <c r="A4345" s="877">
        <v>37905</v>
      </c>
      <c r="B4345" s="878">
        <v>2868.85</v>
      </c>
    </row>
    <row r="4346" spans="1:2" ht="16.149999999999999" customHeight="1">
      <c r="A4346" s="877">
        <v>37906</v>
      </c>
      <c r="B4346" s="880">
        <v>2868.85</v>
      </c>
    </row>
    <row r="4347" spans="1:2" ht="16.149999999999999" customHeight="1">
      <c r="A4347" s="877">
        <v>37907</v>
      </c>
      <c r="B4347" s="878">
        <v>2868.85</v>
      </c>
    </row>
    <row r="4348" spans="1:2" ht="16.149999999999999" customHeight="1">
      <c r="A4348" s="877">
        <v>37908</v>
      </c>
      <c r="B4348" s="880">
        <v>2868.85</v>
      </c>
    </row>
    <row r="4349" spans="1:2" ht="16.149999999999999" customHeight="1">
      <c r="A4349" s="877">
        <v>37909</v>
      </c>
      <c r="B4349" s="878">
        <v>2865.32</v>
      </c>
    </row>
    <row r="4350" spans="1:2" ht="16.149999999999999" customHeight="1">
      <c r="A4350" s="877">
        <v>37910</v>
      </c>
      <c r="B4350" s="880">
        <v>2873.7</v>
      </c>
    </row>
    <row r="4351" spans="1:2" ht="16.149999999999999" customHeight="1">
      <c r="A4351" s="877">
        <v>37911</v>
      </c>
      <c r="B4351" s="878">
        <v>2867.75</v>
      </c>
    </row>
    <row r="4352" spans="1:2" ht="16.149999999999999" customHeight="1">
      <c r="A4352" s="877">
        <v>37912</v>
      </c>
      <c r="B4352" s="880">
        <v>2865.04</v>
      </c>
    </row>
    <row r="4353" spans="1:2" ht="16.149999999999999" customHeight="1">
      <c r="A4353" s="877">
        <v>37913</v>
      </c>
      <c r="B4353" s="878">
        <v>2865.04</v>
      </c>
    </row>
    <row r="4354" spans="1:2" ht="16.149999999999999" customHeight="1">
      <c r="A4354" s="877">
        <v>37914</v>
      </c>
      <c r="B4354" s="880">
        <v>2865.04</v>
      </c>
    </row>
    <row r="4355" spans="1:2" ht="16.149999999999999" customHeight="1">
      <c r="A4355" s="877">
        <v>37915</v>
      </c>
      <c r="B4355" s="878">
        <v>2864.34</v>
      </c>
    </row>
    <row r="4356" spans="1:2" ht="16.149999999999999" customHeight="1">
      <c r="A4356" s="877">
        <v>37916</v>
      </c>
      <c r="B4356" s="880">
        <v>2864.25</v>
      </c>
    </row>
    <row r="4357" spans="1:2" ht="16.149999999999999" customHeight="1">
      <c r="A4357" s="877">
        <v>37917</v>
      </c>
      <c r="B4357" s="878">
        <v>2870.01</v>
      </c>
    </row>
    <row r="4358" spans="1:2" ht="16.149999999999999" customHeight="1">
      <c r="A4358" s="877">
        <v>37918</v>
      </c>
      <c r="B4358" s="880">
        <v>2872.55</v>
      </c>
    </row>
    <row r="4359" spans="1:2" ht="16.149999999999999" customHeight="1">
      <c r="A4359" s="877">
        <v>37919</v>
      </c>
      <c r="B4359" s="878">
        <v>2857.88</v>
      </c>
    </row>
    <row r="4360" spans="1:2" ht="16.149999999999999" customHeight="1">
      <c r="A4360" s="877">
        <v>37920</v>
      </c>
      <c r="B4360" s="880">
        <v>2857.88</v>
      </c>
    </row>
    <row r="4361" spans="1:2" ht="16.149999999999999" customHeight="1">
      <c r="A4361" s="877">
        <v>37921</v>
      </c>
      <c r="B4361" s="878">
        <v>2857.88</v>
      </c>
    </row>
    <row r="4362" spans="1:2" ht="16.149999999999999" customHeight="1">
      <c r="A4362" s="877">
        <v>37922</v>
      </c>
      <c r="B4362" s="880">
        <v>2882.77</v>
      </c>
    </row>
    <row r="4363" spans="1:2" ht="16.149999999999999" customHeight="1">
      <c r="A4363" s="877">
        <v>37923</v>
      </c>
      <c r="B4363" s="878">
        <v>2879.34</v>
      </c>
    </row>
    <row r="4364" spans="1:2" ht="16.149999999999999" customHeight="1">
      <c r="A4364" s="877">
        <v>37924</v>
      </c>
      <c r="B4364" s="880">
        <v>2870.11</v>
      </c>
    </row>
    <row r="4365" spans="1:2" ht="16.149999999999999" customHeight="1">
      <c r="A4365" s="877">
        <v>37925</v>
      </c>
      <c r="B4365" s="878">
        <v>2884.17</v>
      </c>
    </row>
    <row r="4366" spans="1:2" ht="16.149999999999999" customHeight="1">
      <c r="A4366" s="877">
        <v>37926</v>
      </c>
      <c r="B4366" s="880">
        <v>2878.05</v>
      </c>
    </row>
    <row r="4367" spans="1:2" ht="16.149999999999999" customHeight="1">
      <c r="A4367" s="877">
        <v>37927</v>
      </c>
      <c r="B4367" s="878">
        <v>2878.05</v>
      </c>
    </row>
    <row r="4368" spans="1:2" ht="16.149999999999999" customHeight="1">
      <c r="A4368" s="877">
        <v>37928</v>
      </c>
      <c r="B4368" s="880">
        <v>2878.05</v>
      </c>
    </row>
    <row r="4369" spans="1:2" ht="16.149999999999999" customHeight="1">
      <c r="A4369" s="877">
        <v>37929</v>
      </c>
      <c r="B4369" s="878">
        <v>2878.05</v>
      </c>
    </row>
    <row r="4370" spans="1:2" ht="16.149999999999999" customHeight="1">
      <c r="A4370" s="877">
        <v>37930</v>
      </c>
      <c r="B4370" s="880">
        <v>2869.46</v>
      </c>
    </row>
    <row r="4371" spans="1:2" ht="16.149999999999999" customHeight="1">
      <c r="A4371" s="877">
        <v>37931</v>
      </c>
      <c r="B4371" s="878">
        <v>2856.34</v>
      </c>
    </row>
    <row r="4372" spans="1:2" ht="16.149999999999999" customHeight="1">
      <c r="A4372" s="877">
        <v>37932</v>
      </c>
      <c r="B4372" s="880">
        <v>2854.17</v>
      </c>
    </row>
    <row r="4373" spans="1:2" ht="16.149999999999999" customHeight="1">
      <c r="A4373" s="877">
        <v>37933</v>
      </c>
      <c r="B4373" s="878">
        <v>2843.82</v>
      </c>
    </row>
    <row r="4374" spans="1:2" ht="16.149999999999999" customHeight="1">
      <c r="A4374" s="877">
        <v>37934</v>
      </c>
      <c r="B4374" s="880">
        <v>2843.82</v>
      </c>
    </row>
    <row r="4375" spans="1:2" ht="16.149999999999999" customHeight="1">
      <c r="A4375" s="877">
        <v>37935</v>
      </c>
      <c r="B4375" s="878">
        <v>2843.82</v>
      </c>
    </row>
    <row r="4376" spans="1:2" ht="16.149999999999999" customHeight="1">
      <c r="A4376" s="877">
        <v>37936</v>
      </c>
      <c r="B4376" s="880">
        <v>2840.41</v>
      </c>
    </row>
    <row r="4377" spans="1:2" ht="16.149999999999999" customHeight="1">
      <c r="A4377" s="877">
        <v>37937</v>
      </c>
      <c r="B4377" s="878">
        <v>2840.41</v>
      </c>
    </row>
    <row r="4378" spans="1:2" ht="16.149999999999999" customHeight="1">
      <c r="A4378" s="877">
        <v>37938</v>
      </c>
      <c r="B4378" s="880">
        <v>2845.69</v>
      </c>
    </row>
    <row r="4379" spans="1:2" ht="16.149999999999999" customHeight="1">
      <c r="A4379" s="877">
        <v>37939</v>
      </c>
      <c r="B4379" s="878">
        <v>2850.24</v>
      </c>
    </row>
    <row r="4380" spans="1:2" ht="16.149999999999999" customHeight="1">
      <c r="A4380" s="877">
        <v>37940</v>
      </c>
      <c r="B4380" s="880">
        <v>2842.53</v>
      </c>
    </row>
    <row r="4381" spans="1:2" ht="16.149999999999999" customHeight="1">
      <c r="A4381" s="877">
        <v>37941</v>
      </c>
      <c r="B4381" s="878">
        <v>2842.53</v>
      </c>
    </row>
    <row r="4382" spans="1:2" ht="16.149999999999999" customHeight="1">
      <c r="A4382" s="877">
        <v>37942</v>
      </c>
      <c r="B4382" s="880">
        <v>2842.53</v>
      </c>
    </row>
    <row r="4383" spans="1:2" ht="16.149999999999999" customHeight="1">
      <c r="A4383" s="877">
        <v>37943</v>
      </c>
      <c r="B4383" s="878">
        <v>2842.53</v>
      </c>
    </row>
    <row r="4384" spans="1:2" ht="16.149999999999999" customHeight="1">
      <c r="A4384" s="877">
        <v>37944</v>
      </c>
      <c r="B4384" s="880">
        <v>2831.97</v>
      </c>
    </row>
    <row r="4385" spans="1:2" ht="16.149999999999999" customHeight="1">
      <c r="A4385" s="877">
        <v>37945</v>
      </c>
      <c r="B4385" s="878">
        <v>2826.6</v>
      </c>
    </row>
    <row r="4386" spans="1:2" ht="16.149999999999999" customHeight="1">
      <c r="A4386" s="877">
        <v>37946</v>
      </c>
      <c r="B4386" s="880">
        <v>2831.1</v>
      </c>
    </row>
    <row r="4387" spans="1:2" ht="16.149999999999999" customHeight="1">
      <c r="A4387" s="877">
        <v>37947</v>
      </c>
      <c r="B4387" s="878">
        <v>2836.45</v>
      </c>
    </row>
    <row r="4388" spans="1:2" ht="16.149999999999999" customHeight="1">
      <c r="A4388" s="877">
        <v>37948</v>
      </c>
      <c r="B4388" s="880">
        <v>2836.45</v>
      </c>
    </row>
    <row r="4389" spans="1:2" ht="16.149999999999999" customHeight="1">
      <c r="A4389" s="877">
        <v>37949</v>
      </c>
      <c r="B4389" s="878">
        <v>2836.45</v>
      </c>
    </row>
    <row r="4390" spans="1:2" ht="16.149999999999999" customHeight="1">
      <c r="A4390" s="877">
        <v>37950</v>
      </c>
      <c r="B4390" s="880">
        <v>2838.02</v>
      </c>
    </row>
    <row r="4391" spans="1:2" ht="16.149999999999999" customHeight="1">
      <c r="A4391" s="877">
        <v>37951</v>
      </c>
      <c r="B4391" s="878">
        <v>2839.2</v>
      </c>
    </row>
    <row r="4392" spans="1:2" ht="16.149999999999999" customHeight="1">
      <c r="A4392" s="877">
        <v>37952</v>
      </c>
      <c r="B4392" s="880">
        <v>2838.7</v>
      </c>
    </row>
    <row r="4393" spans="1:2" ht="16.149999999999999" customHeight="1">
      <c r="A4393" s="877">
        <v>37953</v>
      </c>
      <c r="B4393" s="878">
        <v>2838.7</v>
      </c>
    </row>
    <row r="4394" spans="1:2" ht="16.149999999999999" customHeight="1">
      <c r="A4394" s="877">
        <v>37954</v>
      </c>
      <c r="B4394" s="880">
        <v>2836.05</v>
      </c>
    </row>
    <row r="4395" spans="1:2" ht="16.149999999999999" customHeight="1">
      <c r="A4395" s="877">
        <v>37955</v>
      </c>
      <c r="B4395" s="878">
        <v>2836.05</v>
      </c>
    </row>
    <row r="4396" spans="1:2" ht="16.149999999999999" customHeight="1">
      <c r="A4396" s="877">
        <v>37956</v>
      </c>
      <c r="B4396" s="880">
        <v>2836.05</v>
      </c>
    </row>
    <row r="4397" spans="1:2" ht="16.149999999999999" customHeight="1">
      <c r="A4397" s="877">
        <v>37957</v>
      </c>
      <c r="B4397" s="878">
        <v>2829.08</v>
      </c>
    </row>
    <row r="4398" spans="1:2" ht="16.149999999999999" customHeight="1">
      <c r="A4398" s="877">
        <v>37958</v>
      </c>
      <c r="B4398" s="880">
        <v>2817.14</v>
      </c>
    </row>
    <row r="4399" spans="1:2" ht="16.149999999999999" customHeight="1">
      <c r="A4399" s="877">
        <v>37959</v>
      </c>
      <c r="B4399" s="878">
        <v>2815.19</v>
      </c>
    </row>
    <row r="4400" spans="1:2" ht="16.149999999999999" customHeight="1">
      <c r="A4400" s="877">
        <v>37960</v>
      </c>
      <c r="B4400" s="880">
        <v>2815.33</v>
      </c>
    </row>
    <row r="4401" spans="1:2" ht="16.149999999999999" customHeight="1">
      <c r="A4401" s="877">
        <v>37961</v>
      </c>
      <c r="B4401" s="878">
        <v>2808.42</v>
      </c>
    </row>
    <row r="4402" spans="1:2" ht="16.149999999999999" customHeight="1">
      <c r="A4402" s="877">
        <v>37962</v>
      </c>
      <c r="B4402" s="880">
        <v>2808.42</v>
      </c>
    </row>
    <row r="4403" spans="1:2" ht="16.149999999999999" customHeight="1">
      <c r="A4403" s="877">
        <v>37963</v>
      </c>
      <c r="B4403" s="878">
        <v>2808.42</v>
      </c>
    </row>
    <row r="4404" spans="1:2" ht="16.149999999999999" customHeight="1">
      <c r="A4404" s="877">
        <v>37964</v>
      </c>
      <c r="B4404" s="880">
        <v>2808.42</v>
      </c>
    </row>
    <row r="4405" spans="1:2" ht="16.149999999999999" customHeight="1">
      <c r="A4405" s="877">
        <v>37965</v>
      </c>
      <c r="B4405" s="878">
        <v>2822.78</v>
      </c>
    </row>
    <row r="4406" spans="1:2" ht="16.149999999999999" customHeight="1">
      <c r="A4406" s="877">
        <v>37966</v>
      </c>
      <c r="B4406" s="880">
        <v>2815.45</v>
      </c>
    </row>
    <row r="4407" spans="1:2" ht="16.149999999999999" customHeight="1">
      <c r="A4407" s="877">
        <v>37967</v>
      </c>
      <c r="B4407" s="878">
        <v>2808.31</v>
      </c>
    </row>
    <row r="4408" spans="1:2" ht="16.149999999999999" customHeight="1">
      <c r="A4408" s="877">
        <v>37968</v>
      </c>
      <c r="B4408" s="880">
        <v>2812.81</v>
      </c>
    </row>
    <row r="4409" spans="1:2" ht="16.149999999999999" customHeight="1">
      <c r="A4409" s="877">
        <v>37969</v>
      </c>
      <c r="B4409" s="878">
        <v>2812.81</v>
      </c>
    </row>
    <row r="4410" spans="1:2" ht="16.149999999999999" customHeight="1">
      <c r="A4410" s="877">
        <v>37970</v>
      </c>
      <c r="B4410" s="880">
        <v>2812.81</v>
      </c>
    </row>
    <row r="4411" spans="1:2" ht="16.149999999999999" customHeight="1">
      <c r="A4411" s="877">
        <v>37971</v>
      </c>
      <c r="B4411" s="878">
        <v>2807.25</v>
      </c>
    </row>
    <row r="4412" spans="1:2" ht="16.149999999999999" customHeight="1">
      <c r="A4412" s="877">
        <v>37972</v>
      </c>
      <c r="B4412" s="880">
        <v>2793.06</v>
      </c>
    </row>
    <row r="4413" spans="1:2" ht="16.149999999999999" customHeight="1">
      <c r="A4413" s="877">
        <v>37973</v>
      </c>
      <c r="B4413" s="878">
        <v>2795.21</v>
      </c>
    </row>
    <row r="4414" spans="1:2" ht="16.149999999999999" customHeight="1">
      <c r="A4414" s="877">
        <v>37974</v>
      </c>
      <c r="B4414" s="880">
        <v>2801.67</v>
      </c>
    </row>
    <row r="4415" spans="1:2" ht="16.149999999999999" customHeight="1">
      <c r="A4415" s="877">
        <v>37975</v>
      </c>
      <c r="B4415" s="878">
        <v>2806.89</v>
      </c>
    </row>
    <row r="4416" spans="1:2" ht="16.149999999999999" customHeight="1">
      <c r="A4416" s="877">
        <v>37976</v>
      </c>
      <c r="B4416" s="880">
        <v>2806.89</v>
      </c>
    </row>
    <row r="4417" spans="1:2" ht="16.149999999999999" customHeight="1">
      <c r="A4417" s="877">
        <v>37977</v>
      </c>
      <c r="B4417" s="878">
        <v>2806.89</v>
      </c>
    </row>
    <row r="4418" spans="1:2" ht="16.149999999999999" customHeight="1">
      <c r="A4418" s="877">
        <v>37978</v>
      </c>
      <c r="B4418" s="880">
        <v>2809.09</v>
      </c>
    </row>
    <row r="4419" spans="1:2" ht="16.149999999999999" customHeight="1">
      <c r="A4419" s="877">
        <v>37979</v>
      </c>
      <c r="B4419" s="878">
        <v>2806.33</v>
      </c>
    </row>
    <row r="4420" spans="1:2" ht="16.149999999999999" customHeight="1">
      <c r="A4420" s="877">
        <v>37980</v>
      </c>
      <c r="B4420" s="880">
        <v>2796.89</v>
      </c>
    </row>
    <row r="4421" spans="1:2" ht="16.149999999999999" customHeight="1">
      <c r="A4421" s="877">
        <v>37981</v>
      </c>
      <c r="B4421" s="878">
        <v>2796.89</v>
      </c>
    </row>
    <row r="4422" spans="1:2" ht="16.149999999999999" customHeight="1">
      <c r="A4422" s="877">
        <v>37982</v>
      </c>
      <c r="B4422" s="880">
        <v>2795.21</v>
      </c>
    </row>
    <row r="4423" spans="1:2" ht="16.149999999999999" customHeight="1">
      <c r="A4423" s="877">
        <v>37983</v>
      </c>
      <c r="B4423" s="878">
        <v>2795.21</v>
      </c>
    </row>
    <row r="4424" spans="1:2" ht="16.149999999999999" customHeight="1">
      <c r="A4424" s="877">
        <v>37984</v>
      </c>
      <c r="B4424" s="880">
        <v>2795.21</v>
      </c>
    </row>
    <row r="4425" spans="1:2" ht="16.149999999999999" customHeight="1">
      <c r="A4425" s="877">
        <v>37985</v>
      </c>
      <c r="B4425" s="878">
        <v>2780.82</v>
      </c>
    </row>
    <row r="4426" spans="1:2" ht="16.149999999999999" customHeight="1">
      <c r="A4426" s="877">
        <v>37986</v>
      </c>
      <c r="B4426" s="880">
        <v>2778.21</v>
      </c>
    </row>
    <row r="4427" spans="1:2" ht="16.149999999999999" customHeight="1">
      <c r="A4427" s="877">
        <v>37987</v>
      </c>
      <c r="B4427" s="878">
        <v>2778.21</v>
      </c>
    </row>
    <row r="4428" spans="1:2" ht="16.149999999999999" customHeight="1">
      <c r="A4428" s="877">
        <v>37988</v>
      </c>
      <c r="B4428" s="880">
        <v>2778.21</v>
      </c>
    </row>
    <row r="4429" spans="1:2" ht="16.149999999999999" customHeight="1">
      <c r="A4429" s="877">
        <v>37989</v>
      </c>
      <c r="B4429" s="878">
        <v>2777.96</v>
      </c>
    </row>
    <row r="4430" spans="1:2" ht="16.149999999999999" customHeight="1">
      <c r="A4430" s="877">
        <v>37990</v>
      </c>
      <c r="B4430" s="880">
        <v>2777.96</v>
      </c>
    </row>
    <row r="4431" spans="1:2" ht="16.149999999999999" customHeight="1">
      <c r="A4431" s="877">
        <v>37991</v>
      </c>
      <c r="B4431" s="878">
        <v>2777.96</v>
      </c>
    </row>
    <row r="4432" spans="1:2" ht="16.149999999999999" customHeight="1">
      <c r="A4432" s="877">
        <v>37992</v>
      </c>
      <c r="B4432" s="880">
        <v>2778.92</v>
      </c>
    </row>
    <row r="4433" spans="1:2" ht="16.149999999999999" customHeight="1">
      <c r="A4433" s="877">
        <v>37993</v>
      </c>
      <c r="B4433" s="878">
        <v>2765.76</v>
      </c>
    </row>
    <row r="4434" spans="1:2" ht="16.149999999999999" customHeight="1">
      <c r="A4434" s="877">
        <v>37994</v>
      </c>
      <c r="B4434" s="880">
        <v>2758.83</v>
      </c>
    </row>
    <row r="4435" spans="1:2" ht="16.149999999999999" customHeight="1">
      <c r="A4435" s="877">
        <v>37995</v>
      </c>
      <c r="B4435" s="878">
        <v>2750.89</v>
      </c>
    </row>
    <row r="4436" spans="1:2" ht="16.149999999999999" customHeight="1">
      <c r="A4436" s="877">
        <v>37996</v>
      </c>
      <c r="B4436" s="880">
        <v>2754.33</v>
      </c>
    </row>
    <row r="4437" spans="1:2" ht="16.149999999999999" customHeight="1">
      <c r="A4437" s="877">
        <v>37997</v>
      </c>
      <c r="B4437" s="878">
        <v>2754.33</v>
      </c>
    </row>
    <row r="4438" spans="1:2" ht="16.149999999999999" customHeight="1">
      <c r="A4438" s="877">
        <v>37998</v>
      </c>
      <c r="B4438" s="880">
        <v>2754.33</v>
      </c>
    </row>
    <row r="4439" spans="1:2" ht="16.149999999999999" customHeight="1">
      <c r="A4439" s="877">
        <v>37999</v>
      </c>
      <c r="B4439" s="878">
        <v>2754.33</v>
      </c>
    </row>
    <row r="4440" spans="1:2" ht="16.149999999999999" customHeight="1">
      <c r="A4440" s="877">
        <v>38000</v>
      </c>
      <c r="B4440" s="880">
        <v>2762.31</v>
      </c>
    </row>
    <row r="4441" spans="1:2" ht="16.149999999999999" customHeight="1">
      <c r="A4441" s="877">
        <v>38001</v>
      </c>
      <c r="B4441" s="878">
        <v>2747.06</v>
      </c>
    </row>
    <row r="4442" spans="1:2" ht="16.149999999999999" customHeight="1">
      <c r="A4442" s="877">
        <v>38002</v>
      </c>
      <c r="B4442" s="880">
        <v>2723.83</v>
      </c>
    </row>
    <row r="4443" spans="1:2" ht="16.149999999999999" customHeight="1">
      <c r="A4443" s="877">
        <v>38003</v>
      </c>
      <c r="B4443" s="878">
        <v>2728.7</v>
      </c>
    </row>
    <row r="4444" spans="1:2" ht="16.149999999999999" customHeight="1">
      <c r="A4444" s="877">
        <v>38004</v>
      </c>
      <c r="B4444" s="880">
        <v>2728.7</v>
      </c>
    </row>
    <row r="4445" spans="1:2" ht="16.149999999999999" customHeight="1">
      <c r="A4445" s="877">
        <v>38005</v>
      </c>
      <c r="B4445" s="878">
        <v>2728.7</v>
      </c>
    </row>
    <row r="4446" spans="1:2" ht="16.149999999999999" customHeight="1">
      <c r="A4446" s="877">
        <v>38006</v>
      </c>
      <c r="B4446" s="880">
        <v>2728.7</v>
      </c>
    </row>
    <row r="4447" spans="1:2" ht="16.149999999999999" customHeight="1">
      <c r="A4447" s="877">
        <v>38007</v>
      </c>
      <c r="B4447" s="878">
        <v>2730.75</v>
      </c>
    </row>
    <row r="4448" spans="1:2" ht="16.149999999999999" customHeight="1">
      <c r="A4448" s="877">
        <v>38008</v>
      </c>
      <c r="B4448" s="880">
        <v>2740.76</v>
      </c>
    </row>
    <row r="4449" spans="1:2" ht="16.149999999999999" customHeight="1">
      <c r="A4449" s="877">
        <v>38009</v>
      </c>
      <c r="B4449" s="878">
        <v>2742.88</v>
      </c>
    </row>
    <row r="4450" spans="1:2" ht="16.149999999999999" customHeight="1">
      <c r="A4450" s="877">
        <v>38010</v>
      </c>
      <c r="B4450" s="880">
        <v>2747.72</v>
      </c>
    </row>
    <row r="4451" spans="1:2" ht="16.149999999999999" customHeight="1">
      <c r="A4451" s="877">
        <v>38011</v>
      </c>
      <c r="B4451" s="878">
        <v>2747.72</v>
      </c>
    </row>
    <row r="4452" spans="1:2" ht="16.149999999999999" customHeight="1">
      <c r="A4452" s="877">
        <v>38012</v>
      </c>
      <c r="B4452" s="880">
        <v>2747.72</v>
      </c>
    </row>
    <row r="4453" spans="1:2" ht="16.149999999999999" customHeight="1">
      <c r="A4453" s="877">
        <v>38013</v>
      </c>
      <c r="B4453" s="878">
        <v>2766.89</v>
      </c>
    </row>
    <row r="4454" spans="1:2" ht="16.149999999999999" customHeight="1">
      <c r="A4454" s="877">
        <v>38014</v>
      </c>
      <c r="B4454" s="880">
        <v>2736.28</v>
      </c>
    </row>
    <row r="4455" spans="1:2" ht="16.149999999999999" customHeight="1">
      <c r="A4455" s="877">
        <v>38015</v>
      </c>
      <c r="B4455" s="878">
        <v>2721.56</v>
      </c>
    </row>
    <row r="4456" spans="1:2" ht="16.149999999999999" customHeight="1">
      <c r="A4456" s="877">
        <v>38016</v>
      </c>
      <c r="B4456" s="880">
        <v>2740.55</v>
      </c>
    </row>
    <row r="4457" spans="1:2" ht="16.149999999999999" customHeight="1">
      <c r="A4457" s="877">
        <v>38017</v>
      </c>
      <c r="B4457" s="878">
        <v>2742.47</v>
      </c>
    </row>
    <row r="4458" spans="1:2" ht="16.149999999999999" customHeight="1">
      <c r="A4458" s="877">
        <v>38018</v>
      </c>
      <c r="B4458" s="880">
        <v>2742.47</v>
      </c>
    </row>
    <row r="4459" spans="1:2" ht="16.149999999999999" customHeight="1">
      <c r="A4459" s="877">
        <v>38019</v>
      </c>
      <c r="B4459" s="878">
        <v>2742.47</v>
      </c>
    </row>
    <row r="4460" spans="1:2" ht="16.149999999999999" customHeight="1">
      <c r="A4460" s="877">
        <v>38020</v>
      </c>
      <c r="B4460" s="880">
        <v>2738.15</v>
      </c>
    </row>
    <row r="4461" spans="1:2" ht="16.149999999999999" customHeight="1">
      <c r="A4461" s="877">
        <v>38021</v>
      </c>
      <c r="B4461" s="878">
        <v>2747.28</v>
      </c>
    </row>
    <row r="4462" spans="1:2" ht="16.149999999999999" customHeight="1">
      <c r="A4462" s="877">
        <v>38022</v>
      </c>
      <c r="B4462" s="880">
        <v>2750.67</v>
      </c>
    </row>
    <row r="4463" spans="1:2" ht="16.149999999999999" customHeight="1">
      <c r="A4463" s="877">
        <v>38023</v>
      </c>
      <c r="B4463" s="878">
        <v>2748.9</v>
      </c>
    </row>
    <row r="4464" spans="1:2" ht="16.149999999999999" customHeight="1">
      <c r="A4464" s="877">
        <v>38024</v>
      </c>
      <c r="B4464" s="880">
        <v>2757.14</v>
      </c>
    </row>
    <row r="4465" spans="1:2" ht="16.149999999999999" customHeight="1">
      <c r="A4465" s="877">
        <v>38025</v>
      </c>
      <c r="B4465" s="878">
        <v>2757.14</v>
      </c>
    </row>
    <row r="4466" spans="1:2" ht="16.149999999999999" customHeight="1">
      <c r="A4466" s="877">
        <v>38026</v>
      </c>
      <c r="B4466" s="880">
        <v>2757.14</v>
      </c>
    </row>
    <row r="4467" spans="1:2" ht="16.149999999999999" customHeight="1">
      <c r="A4467" s="877">
        <v>38027</v>
      </c>
      <c r="B4467" s="878">
        <v>2741.17</v>
      </c>
    </row>
    <row r="4468" spans="1:2" ht="16.149999999999999" customHeight="1">
      <c r="A4468" s="877">
        <v>38028</v>
      </c>
      <c r="B4468" s="880">
        <v>2735.5</v>
      </c>
    </row>
    <row r="4469" spans="1:2" ht="16.149999999999999" customHeight="1">
      <c r="A4469" s="877">
        <v>38029</v>
      </c>
      <c r="B4469" s="878">
        <v>2736.94</v>
      </c>
    </row>
    <row r="4470" spans="1:2" ht="16.149999999999999" customHeight="1">
      <c r="A4470" s="877">
        <v>38030</v>
      </c>
      <c r="B4470" s="880">
        <v>2736.42</v>
      </c>
    </row>
    <row r="4471" spans="1:2" ht="16.149999999999999" customHeight="1">
      <c r="A4471" s="877">
        <v>38031</v>
      </c>
      <c r="B4471" s="878">
        <v>2724.36</v>
      </c>
    </row>
    <row r="4472" spans="1:2" ht="16.149999999999999" customHeight="1">
      <c r="A4472" s="877">
        <v>38032</v>
      </c>
      <c r="B4472" s="880">
        <v>2724.36</v>
      </c>
    </row>
    <row r="4473" spans="1:2" ht="16.149999999999999" customHeight="1">
      <c r="A4473" s="877">
        <v>38033</v>
      </c>
      <c r="B4473" s="878">
        <v>2724.36</v>
      </c>
    </row>
    <row r="4474" spans="1:2" ht="16.149999999999999" customHeight="1">
      <c r="A4474" s="877">
        <v>38034</v>
      </c>
      <c r="B4474" s="880">
        <v>2724.36</v>
      </c>
    </row>
    <row r="4475" spans="1:2" ht="16.149999999999999" customHeight="1">
      <c r="A4475" s="877">
        <v>38035</v>
      </c>
      <c r="B4475" s="878">
        <v>2715.2</v>
      </c>
    </row>
    <row r="4476" spans="1:2" ht="16.149999999999999" customHeight="1">
      <c r="A4476" s="877">
        <v>38036</v>
      </c>
      <c r="B4476" s="880">
        <v>2697.66</v>
      </c>
    </row>
    <row r="4477" spans="1:2" ht="16.149999999999999" customHeight="1">
      <c r="A4477" s="877">
        <v>38037</v>
      </c>
      <c r="B4477" s="878">
        <v>2693.84</v>
      </c>
    </row>
    <row r="4478" spans="1:2" ht="16.149999999999999" customHeight="1">
      <c r="A4478" s="877">
        <v>38038</v>
      </c>
      <c r="B4478" s="880">
        <v>2700.19</v>
      </c>
    </row>
    <row r="4479" spans="1:2" ht="16.149999999999999" customHeight="1">
      <c r="A4479" s="877">
        <v>38039</v>
      </c>
      <c r="B4479" s="878">
        <v>2700.19</v>
      </c>
    </row>
    <row r="4480" spans="1:2" ht="16.149999999999999" customHeight="1">
      <c r="A4480" s="877">
        <v>38040</v>
      </c>
      <c r="B4480" s="880">
        <v>2700.19</v>
      </c>
    </row>
    <row r="4481" spans="1:2" ht="16.149999999999999" customHeight="1">
      <c r="A4481" s="877">
        <v>38041</v>
      </c>
      <c r="B4481" s="878">
        <v>2665.83</v>
      </c>
    </row>
    <row r="4482" spans="1:2" ht="16.149999999999999" customHeight="1">
      <c r="A4482" s="877">
        <v>38042</v>
      </c>
      <c r="B4482" s="880">
        <v>2651.94</v>
      </c>
    </row>
    <row r="4483" spans="1:2" ht="16.149999999999999" customHeight="1">
      <c r="A4483" s="877">
        <v>38043</v>
      </c>
      <c r="B4483" s="878">
        <v>2664.3</v>
      </c>
    </row>
    <row r="4484" spans="1:2" ht="16.149999999999999" customHeight="1">
      <c r="A4484" s="877">
        <v>38044</v>
      </c>
      <c r="B4484" s="880">
        <v>2686.54</v>
      </c>
    </row>
    <row r="4485" spans="1:2" ht="16.149999999999999" customHeight="1">
      <c r="A4485" s="877">
        <v>38045</v>
      </c>
      <c r="B4485" s="878">
        <v>2682.34</v>
      </c>
    </row>
    <row r="4486" spans="1:2" ht="16.149999999999999" customHeight="1">
      <c r="A4486" s="877">
        <v>38046</v>
      </c>
      <c r="B4486" s="880">
        <v>2682.34</v>
      </c>
    </row>
    <row r="4487" spans="1:2" ht="16.149999999999999" customHeight="1">
      <c r="A4487" s="877">
        <v>38047</v>
      </c>
      <c r="B4487" s="878">
        <v>2682.34</v>
      </c>
    </row>
    <row r="4488" spans="1:2" ht="16.149999999999999" customHeight="1">
      <c r="A4488" s="877">
        <v>38048</v>
      </c>
      <c r="B4488" s="880">
        <v>2662.81</v>
      </c>
    </row>
    <row r="4489" spans="1:2" ht="16.149999999999999" customHeight="1">
      <c r="A4489" s="877">
        <v>38049</v>
      </c>
      <c r="B4489" s="878">
        <v>2660.42</v>
      </c>
    </row>
    <row r="4490" spans="1:2" ht="16.149999999999999" customHeight="1">
      <c r="A4490" s="877">
        <v>38050</v>
      </c>
      <c r="B4490" s="880">
        <v>2670.97</v>
      </c>
    </row>
    <row r="4491" spans="1:2" ht="16.149999999999999" customHeight="1">
      <c r="A4491" s="877">
        <v>38051</v>
      </c>
      <c r="B4491" s="878">
        <v>2676.41</v>
      </c>
    </row>
    <row r="4492" spans="1:2" ht="16.149999999999999" customHeight="1">
      <c r="A4492" s="877">
        <v>38052</v>
      </c>
      <c r="B4492" s="880">
        <v>2673.29</v>
      </c>
    </row>
    <row r="4493" spans="1:2" ht="16.149999999999999" customHeight="1">
      <c r="A4493" s="877">
        <v>38053</v>
      </c>
      <c r="B4493" s="878">
        <v>2673.29</v>
      </c>
    </row>
    <row r="4494" spans="1:2" ht="16.149999999999999" customHeight="1">
      <c r="A4494" s="877">
        <v>38054</v>
      </c>
      <c r="B4494" s="880">
        <v>2673.29</v>
      </c>
    </row>
    <row r="4495" spans="1:2" ht="16.149999999999999" customHeight="1">
      <c r="A4495" s="877">
        <v>38055</v>
      </c>
      <c r="B4495" s="878">
        <v>2675.65</v>
      </c>
    </row>
    <row r="4496" spans="1:2" ht="16.149999999999999" customHeight="1">
      <c r="A4496" s="877">
        <v>38056</v>
      </c>
      <c r="B4496" s="880">
        <v>2679.22</v>
      </c>
    </row>
    <row r="4497" spans="1:2" ht="16.149999999999999" customHeight="1">
      <c r="A4497" s="877">
        <v>38057</v>
      </c>
      <c r="B4497" s="878">
        <v>2685.17</v>
      </c>
    </row>
    <row r="4498" spans="1:2" ht="16.149999999999999" customHeight="1">
      <c r="A4498" s="877">
        <v>38058</v>
      </c>
      <c r="B4498" s="880">
        <v>2683.08</v>
      </c>
    </row>
    <row r="4499" spans="1:2" ht="16.149999999999999" customHeight="1">
      <c r="A4499" s="877">
        <v>38059</v>
      </c>
      <c r="B4499" s="878">
        <v>2669.48</v>
      </c>
    </row>
    <row r="4500" spans="1:2" ht="16.149999999999999" customHeight="1">
      <c r="A4500" s="877">
        <v>38060</v>
      </c>
      <c r="B4500" s="880">
        <v>2669.48</v>
      </c>
    </row>
    <row r="4501" spans="1:2" ht="16.149999999999999" customHeight="1">
      <c r="A4501" s="877">
        <v>38061</v>
      </c>
      <c r="B4501" s="878">
        <v>2669.48</v>
      </c>
    </row>
    <row r="4502" spans="1:2" ht="16.149999999999999" customHeight="1">
      <c r="A4502" s="877">
        <v>38062</v>
      </c>
      <c r="B4502" s="880">
        <v>2661.45</v>
      </c>
    </row>
    <row r="4503" spans="1:2" ht="16.149999999999999" customHeight="1">
      <c r="A4503" s="877">
        <v>38063</v>
      </c>
      <c r="B4503" s="878">
        <v>2648.97</v>
      </c>
    </row>
    <row r="4504" spans="1:2" ht="16.149999999999999" customHeight="1">
      <c r="A4504" s="877">
        <v>38064</v>
      </c>
      <c r="B4504" s="880">
        <v>2650.21</v>
      </c>
    </row>
    <row r="4505" spans="1:2" ht="16.149999999999999" customHeight="1">
      <c r="A4505" s="877">
        <v>38065</v>
      </c>
      <c r="B4505" s="878">
        <v>2669.07</v>
      </c>
    </row>
    <row r="4506" spans="1:2" ht="16.149999999999999" customHeight="1">
      <c r="A4506" s="877">
        <v>38066</v>
      </c>
      <c r="B4506" s="880">
        <v>2669.39</v>
      </c>
    </row>
    <row r="4507" spans="1:2" ht="16.149999999999999" customHeight="1">
      <c r="A4507" s="877">
        <v>38067</v>
      </c>
      <c r="B4507" s="878">
        <v>2669.39</v>
      </c>
    </row>
    <row r="4508" spans="1:2" ht="16.149999999999999" customHeight="1">
      <c r="A4508" s="877">
        <v>38068</v>
      </c>
      <c r="B4508" s="880">
        <v>2669.39</v>
      </c>
    </row>
    <row r="4509" spans="1:2" ht="16.149999999999999" customHeight="1">
      <c r="A4509" s="877">
        <v>38069</v>
      </c>
      <c r="B4509" s="878">
        <v>2669.39</v>
      </c>
    </row>
    <row r="4510" spans="1:2" ht="16.149999999999999" customHeight="1">
      <c r="A4510" s="877">
        <v>38070</v>
      </c>
      <c r="B4510" s="880">
        <v>2664.5</v>
      </c>
    </row>
    <row r="4511" spans="1:2" ht="16.149999999999999" customHeight="1">
      <c r="A4511" s="877">
        <v>38071</v>
      </c>
      <c r="B4511" s="878">
        <v>2667.05</v>
      </c>
    </row>
    <row r="4512" spans="1:2" ht="16.149999999999999" customHeight="1">
      <c r="A4512" s="877">
        <v>38072</v>
      </c>
      <c r="B4512" s="880">
        <v>2679.33</v>
      </c>
    </row>
    <row r="4513" spans="1:2" ht="16.149999999999999" customHeight="1">
      <c r="A4513" s="877">
        <v>38073</v>
      </c>
      <c r="B4513" s="878">
        <v>2673.68</v>
      </c>
    </row>
    <row r="4514" spans="1:2" ht="16.149999999999999" customHeight="1">
      <c r="A4514" s="877">
        <v>38074</v>
      </c>
      <c r="B4514" s="880">
        <v>2673.68</v>
      </c>
    </row>
    <row r="4515" spans="1:2" ht="16.149999999999999" customHeight="1">
      <c r="A4515" s="877">
        <v>38075</v>
      </c>
      <c r="B4515" s="878">
        <v>2673.68</v>
      </c>
    </row>
    <row r="4516" spans="1:2" ht="16.149999999999999" customHeight="1">
      <c r="A4516" s="877">
        <v>38076</v>
      </c>
      <c r="B4516" s="880">
        <v>2676.93</v>
      </c>
    </row>
    <row r="4517" spans="1:2" ht="16.149999999999999" customHeight="1">
      <c r="A4517" s="877">
        <v>38077</v>
      </c>
      <c r="B4517" s="878">
        <v>2678.16</v>
      </c>
    </row>
    <row r="4518" spans="1:2" ht="16.149999999999999" customHeight="1">
      <c r="A4518" s="877">
        <v>38078</v>
      </c>
      <c r="B4518" s="880">
        <v>2682.09</v>
      </c>
    </row>
    <row r="4519" spans="1:2" ht="16.149999999999999" customHeight="1">
      <c r="A4519" s="877">
        <v>38079</v>
      </c>
      <c r="B4519" s="878">
        <v>2671.01</v>
      </c>
    </row>
    <row r="4520" spans="1:2" ht="16.149999999999999" customHeight="1">
      <c r="A4520" s="877">
        <v>38080</v>
      </c>
      <c r="B4520" s="880">
        <v>2666.55</v>
      </c>
    </row>
    <row r="4521" spans="1:2" ht="16.149999999999999" customHeight="1">
      <c r="A4521" s="877">
        <v>38081</v>
      </c>
      <c r="B4521" s="878">
        <v>2666.55</v>
      </c>
    </row>
    <row r="4522" spans="1:2" ht="16.149999999999999" customHeight="1">
      <c r="A4522" s="877">
        <v>38082</v>
      </c>
      <c r="B4522" s="880">
        <v>2666.55</v>
      </c>
    </row>
    <row r="4523" spans="1:2" ht="16.149999999999999" customHeight="1">
      <c r="A4523" s="877">
        <v>38083</v>
      </c>
      <c r="B4523" s="878">
        <v>2667.06</v>
      </c>
    </row>
    <row r="4524" spans="1:2" ht="16.149999999999999" customHeight="1">
      <c r="A4524" s="877">
        <v>38084</v>
      </c>
      <c r="B4524" s="880">
        <v>2663.05</v>
      </c>
    </row>
    <row r="4525" spans="1:2" ht="16.149999999999999" customHeight="1">
      <c r="A4525" s="877">
        <v>38085</v>
      </c>
      <c r="B4525" s="878">
        <v>2659.05</v>
      </c>
    </row>
    <row r="4526" spans="1:2" ht="16.149999999999999" customHeight="1">
      <c r="A4526" s="877">
        <v>38086</v>
      </c>
      <c r="B4526" s="880">
        <v>2659.05</v>
      </c>
    </row>
    <row r="4527" spans="1:2" ht="16.149999999999999" customHeight="1">
      <c r="A4527" s="877">
        <v>38087</v>
      </c>
      <c r="B4527" s="878">
        <v>2659.05</v>
      </c>
    </row>
    <row r="4528" spans="1:2" ht="16.149999999999999" customHeight="1">
      <c r="A4528" s="877">
        <v>38088</v>
      </c>
      <c r="B4528" s="880">
        <v>2659.05</v>
      </c>
    </row>
    <row r="4529" spans="1:2" ht="16.149999999999999" customHeight="1">
      <c r="A4529" s="877">
        <v>38089</v>
      </c>
      <c r="B4529" s="878">
        <v>2659.05</v>
      </c>
    </row>
    <row r="4530" spans="1:2" ht="16.149999999999999" customHeight="1">
      <c r="A4530" s="877">
        <v>38090</v>
      </c>
      <c r="B4530" s="880">
        <v>2648.8</v>
      </c>
    </row>
    <row r="4531" spans="1:2" ht="16.149999999999999" customHeight="1">
      <c r="A4531" s="877">
        <v>38091</v>
      </c>
      <c r="B4531" s="878">
        <v>2642.55</v>
      </c>
    </row>
    <row r="4532" spans="1:2" ht="16.149999999999999" customHeight="1">
      <c r="A4532" s="877">
        <v>38092</v>
      </c>
      <c r="B4532" s="880">
        <v>2631.72</v>
      </c>
    </row>
    <row r="4533" spans="1:2" ht="16.149999999999999" customHeight="1">
      <c r="A4533" s="877">
        <v>38093</v>
      </c>
      <c r="B4533" s="878">
        <v>2619.59</v>
      </c>
    </row>
    <row r="4534" spans="1:2" ht="16.149999999999999" customHeight="1">
      <c r="A4534" s="877">
        <v>38094</v>
      </c>
      <c r="B4534" s="880">
        <v>2620.19</v>
      </c>
    </row>
    <row r="4535" spans="1:2" ht="16.149999999999999" customHeight="1">
      <c r="A4535" s="877">
        <v>38095</v>
      </c>
      <c r="B4535" s="878">
        <v>2620.19</v>
      </c>
    </row>
    <row r="4536" spans="1:2" ht="16.149999999999999" customHeight="1">
      <c r="A4536" s="877">
        <v>38096</v>
      </c>
      <c r="B4536" s="880">
        <v>2620.19</v>
      </c>
    </row>
    <row r="4537" spans="1:2" ht="16.149999999999999" customHeight="1">
      <c r="A4537" s="877">
        <v>38097</v>
      </c>
      <c r="B4537" s="878">
        <v>2612.3000000000002</v>
      </c>
    </row>
    <row r="4538" spans="1:2" ht="16.149999999999999" customHeight="1">
      <c r="A4538" s="877">
        <v>38098</v>
      </c>
      <c r="B4538" s="880">
        <v>2620.94</v>
      </c>
    </row>
    <row r="4539" spans="1:2" ht="16.149999999999999" customHeight="1">
      <c r="A4539" s="877">
        <v>38099</v>
      </c>
      <c r="B4539" s="878">
        <v>2628.19</v>
      </c>
    </row>
    <row r="4540" spans="1:2" ht="16.149999999999999" customHeight="1">
      <c r="A4540" s="877">
        <v>38100</v>
      </c>
      <c r="B4540" s="880">
        <v>2618.21</v>
      </c>
    </row>
    <row r="4541" spans="1:2" ht="16.149999999999999" customHeight="1">
      <c r="A4541" s="877">
        <v>38101</v>
      </c>
      <c r="B4541" s="878">
        <v>2622.74</v>
      </c>
    </row>
    <row r="4542" spans="1:2" ht="16.149999999999999" customHeight="1">
      <c r="A4542" s="877">
        <v>38102</v>
      </c>
      <c r="B4542" s="880">
        <v>2622.74</v>
      </c>
    </row>
    <row r="4543" spans="1:2" ht="16.149999999999999" customHeight="1">
      <c r="A4543" s="877">
        <v>38103</v>
      </c>
      <c r="B4543" s="878">
        <v>2622.74</v>
      </c>
    </row>
    <row r="4544" spans="1:2" ht="16.149999999999999" customHeight="1">
      <c r="A4544" s="877">
        <v>38104</v>
      </c>
      <c r="B4544" s="880">
        <v>2613.94</v>
      </c>
    </row>
    <row r="4545" spans="1:2" ht="16.149999999999999" customHeight="1">
      <c r="A4545" s="877">
        <v>38105</v>
      </c>
      <c r="B4545" s="878">
        <v>2620.9699999999998</v>
      </c>
    </row>
    <row r="4546" spans="1:2" ht="16.149999999999999" customHeight="1">
      <c r="A4546" s="877">
        <v>38106</v>
      </c>
      <c r="B4546" s="880">
        <v>2635.96</v>
      </c>
    </row>
    <row r="4547" spans="1:2" ht="16.149999999999999" customHeight="1">
      <c r="A4547" s="877">
        <v>38107</v>
      </c>
      <c r="B4547" s="878">
        <v>2646.99</v>
      </c>
    </row>
    <row r="4548" spans="1:2" ht="16.149999999999999" customHeight="1">
      <c r="A4548" s="877">
        <v>38108</v>
      </c>
      <c r="B4548" s="880">
        <v>2655.18</v>
      </c>
    </row>
    <row r="4549" spans="1:2" ht="16.149999999999999" customHeight="1">
      <c r="A4549" s="877">
        <v>38109</v>
      </c>
      <c r="B4549" s="878">
        <v>2655.18</v>
      </c>
    </row>
    <row r="4550" spans="1:2" ht="16.149999999999999" customHeight="1">
      <c r="A4550" s="877">
        <v>38110</v>
      </c>
      <c r="B4550" s="880">
        <v>2655.18</v>
      </c>
    </row>
    <row r="4551" spans="1:2" ht="16.149999999999999" customHeight="1">
      <c r="A4551" s="877">
        <v>38111</v>
      </c>
      <c r="B4551" s="878">
        <v>2670.92</v>
      </c>
    </row>
    <row r="4552" spans="1:2" ht="16.149999999999999" customHeight="1">
      <c r="A4552" s="877">
        <v>38112</v>
      </c>
      <c r="B4552" s="880">
        <v>2664.79</v>
      </c>
    </row>
    <row r="4553" spans="1:2" ht="16.149999999999999" customHeight="1">
      <c r="A4553" s="877">
        <v>38113</v>
      </c>
      <c r="B4553" s="878">
        <v>2658.43</v>
      </c>
    </row>
    <row r="4554" spans="1:2" ht="16.149999999999999" customHeight="1">
      <c r="A4554" s="877">
        <v>38114</v>
      </c>
      <c r="B4554" s="880">
        <v>2690.68</v>
      </c>
    </row>
    <row r="4555" spans="1:2" ht="16.149999999999999" customHeight="1">
      <c r="A4555" s="877">
        <v>38115</v>
      </c>
      <c r="B4555" s="878">
        <v>2708.02</v>
      </c>
    </row>
    <row r="4556" spans="1:2" ht="16.149999999999999" customHeight="1">
      <c r="A4556" s="877">
        <v>38116</v>
      </c>
      <c r="B4556" s="880">
        <v>2708.02</v>
      </c>
    </row>
    <row r="4557" spans="1:2" ht="16.149999999999999" customHeight="1">
      <c r="A4557" s="877">
        <v>38117</v>
      </c>
      <c r="B4557" s="878">
        <v>2708.02</v>
      </c>
    </row>
    <row r="4558" spans="1:2" ht="16.149999999999999" customHeight="1">
      <c r="A4558" s="877">
        <v>38118</v>
      </c>
      <c r="B4558" s="880">
        <v>2731.79</v>
      </c>
    </row>
    <row r="4559" spans="1:2" ht="16.149999999999999" customHeight="1">
      <c r="A4559" s="877">
        <v>38119</v>
      </c>
      <c r="B4559" s="878">
        <v>2729.54</v>
      </c>
    </row>
    <row r="4560" spans="1:2" ht="16.149999999999999" customHeight="1">
      <c r="A4560" s="877">
        <v>38120</v>
      </c>
      <c r="B4560" s="880">
        <v>2729.01</v>
      </c>
    </row>
    <row r="4561" spans="1:2" ht="16.149999999999999" customHeight="1">
      <c r="A4561" s="877">
        <v>38121</v>
      </c>
      <c r="B4561" s="878">
        <v>2741.66</v>
      </c>
    </row>
    <row r="4562" spans="1:2" ht="16.149999999999999" customHeight="1">
      <c r="A4562" s="877">
        <v>38122</v>
      </c>
      <c r="B4562" s="880">
        <v>2719.89</v>
      </c>
    </row>
    <row r="4563" spans="1:2" ht="16.149999999999999" customHeight="1">
      <c r="A4563" s="877">
        <v>38123</v>
      </c>
      <c r="B4563" s="878">
        <v>2719.89</v>
      </c>
    </row>
    <row r="4564" spans="1:2" ht="16.149999999999999" customHeight="1">
      <c r="A4564" s="877">
        <v>38124</v>
      </c>
      <c r="B4564" s="880">
        <v>2719.89</v>
      </c>
    </row>
    <row r="4565" spans="1:2" ht="16.149999999999999" customHeight="1">
      <c r="A4565" s="877">
        <v>38125</v>
      </c>
      <c r="B4565" s="878">
        <v>2713.3</v>
      </c>
    </row>
    <row r="4566" spans="1:2" ht="16.149999999999999" customHeight="1">
      <c r="A4566" s="877">
        <v>38126</v>
      </c>
      <c r="B4566" s="880">
        <v>2725.45</v>
      </c>
    </row>
    <row r="4567" spans="1:2" ht="16.149999999999999" customHeight="1">
      <c r="A4567" s="877">
        <v>38127</v>
      </c>
      <c r="B4567" s="878">
        <v>2737.55</v>
      </c>
    </row>
    <row r="4568" spans="1:2" ht="16.149999999999999" customHeight="1">
      <c r="A4568" s="877">
        <v>38128</v>
      </c>
      <c r="B4568" s="880">
        <v>2759.79</v>
      </c>
    </row>
    <row r="4569" spans="1:2" ht="16.149999999999999" customHeight="1">
      <c r="A4569" s="877">
        <v>38129</v>
      </c>
      <c r="B4569" s="878">
        <v>2766.83</v>
      </c>
    </row>
    <row r="4570" spans="1:2" ht="16.149999999999999" customHeight="1">
      <c r="A4570" s="877">
        <v>38130</v>
      </c>
      <c r="B4570" s="880">
        <v>2766.83</v>
      </c>
    </row>
    <row r="4571" spans="1:2" ht="16.149999999999999" customHeight="1">
      <c r="A4571" s="877">
        <v>38131</v>
      </c>
      <c r="B4571" s="878">
        <v>2766.83</v>
      </c>
    </row>
    <row r="4572" spans="1:2" ht="16.149999999999999" customHeight="1">
      <c r="A4572" s="877">
        <v>38132</v>
      </c>
      <c r="B4572" s="880">
        <v>2766.83</v>
      </c>
    </row>
    <row r="4573" spans="1:2" ht="16.149999999999999" customHeight="1">
      <c r="A4573" s="877">
        <v>38133</v>
      </c>
      <c r="B4573" s="878">
        <v>2760.06</v>
      </c>
    </row>
    <row r="4574" spans="1:2" ht="16.149999999999999" customHeight="1">
      <c r="A4574" s="877">
        <v>38134</v>
      </c>
      <c r="B4574" s="880">
        <v>2754.83</v>
      </c>
    </row>
    <row r="4575" spans="1:2" ht="16.149999999999999" customHeight="1">
      <c r="A4575" s="877">
        <v>38135</v>
      </c>
      <c r="B4575" s="878">
        <v>2745.91</v>
      </c>
    </row>
    <row r="4576" spans="1:2" ht="16.149999999999999" customHeight="1">
      <c r="A4576" s="877">
        <v>38136</v>
      </c>
      <c r="B4576" s="880">
        <v>2724.92</v>
      </c>
    </row>
    <row r="4577" spans="1:2" ht="16.149999999999999" customHeight="1">
      <c r="A4577" s="877">
        <v>38137</v>
      </c>
      <c r="B4577" s="878">
        <v>2724.92</v>
      </c>
    </row>
    <row r="4578" spans="1:2" ht="16.149999999999999" customHeight="1">
      <c r="A4578" s="877">
        <v>38138</v>
      </c>
      <c r="B4578" s="880">
        <v>2724.92</v>
      </c>
    </row>
    <row r="4579" spans="1:2" ht="16.149999999999999" customHeight="1">
      <c r="A4579" s="877">
        <v>38139</v>
      </c>
      <c r="B4579" s="878">
        <v>2724.92</v>
      </c>
    </row>
    <row r="4580" spans="1:2" ht="16.149999999999999" customHeight="1">
      <c r="A4580" s="877">
        <v>38140</v>
      </c>
      <c r="B4580" s="880">
        <v>2736.39</v>
      </c>
    </row>
    <row r="4581" spans="1:2" ht="16.149999999999999" customHeight="1">
      <c r="A4581" s="877">
        <v>38141</v>
      </c>
      <c r="B4581" s="878">
        <v>2727.68</v>
      </c>
    </row>
    <row r="4582" spans="1:2" ht="16.149999999999999" customHeight="1">
      <c r="A4582" s="877">
        <v>38142</v>
      </c>
      <c r="B4582" s="880">
        <v>2722.69</v>
      </c>
    </row>
    <row r="4583" spans="1:2" ht="16.149999999999999" customHeight="1">
      <c r="A4583" s="877">
        <v>38143</v>
      </c>
      <c r="B4583" s="878">
        <v>2715.37</v>
      </c>
    </row>
    <row r="4584" spans="1:2" ht="16.149999999999999" customHeight="1">
      <c r="A4584" s="877">
        <v>38144</v>
      </c>
      <c r="B4584" s="880">
        <v>2715.37</v>
      </c>
    </row>
    <row r="4585" spans="1:2" ht="16.149999999999999" customHeight="1">
      <c r="A4585" s="877">
        <v>38145</v>
      </c>
      <c r="B4585" s="878">
        <v>2715.37</v>
      </c>
    </row>
    <row r="4586" spans="1:2" ht="16.149999999999999" customHeight="1">
      <c r="A4586" s="877">
        <v>38146</v>
      </c>
      <c r="B4586" s="880">
        <v>2707.33</v>
      </c>
    </row>
    <row r="4587" spans="1:2" ht="16.149999999999999" customHeight="1">
      <c r="A4587" s="877">
        <v>38147</v>
      </c>
      <c r="B4587" s="878">
        <v>2705.97</v>
      </c>
    </row>
    <row r="4588" spans="1:2" ht="16.149999999999999" customHeight="1">
      <c r="A4588" s="877">
        <v>38148</v>
      </c>
      <c r="B4588" s="880">
        <v>2719.34</v>
      </c>
    </row>
    <row r="4589" spans="1:2" ht="16.149999999999999" customHeight="1">
      <c r="A4589" s="877">
        <v>38149</v>
      </c>
      <c r="B4589" s="878">
        <v>2732.4</v>
      </c>
    </row>
    <row r="4590" spans="1:2" ht="16.149999999999999" customHeight="1">
      <c r="A4590" s="877">
        <v>38150</v>
      </c>
      <c r="B4590" s="880">
        <v>2734.94</v>
      </c>
    </row>
    <row r="4591" spans="1:2" ht="16.149999999999999" customHeight="1">
      <c r="A4591" s="877">
        <v>38151</v>
      </c>
      <c r="B4591" s="878">
        <v>2734.94</v>
      </c>
    </row>
    <row r="4592" spans="1:2" ht="16.149999999999999" customHeight="1">
      <c r="A4592" s="877">
        <v>38152</v>
      </c>
      <c r="B4592" s="880">
        <v>2734.94</v>
      </c>
    </row>
    <row r="4593" spans="1:2" ht="16.149999999999999" customHeight="1">
      <c r="A4593" s="877">
        <v>38153</v>
      </c>
      <c r="B4593" s="878">
        <v>2734.94</v>
      </c>
    </row>
    <row r="4594" spans="1:2" ht="16.149999999999999" customHeight="1">
      <c r="A4594" s="877">
        <v>38154</v>
      </c>
      <c r="B4594" s="880">
        <v>2735.05</v>
      </c>
    </row>
    <row r="4595" spans="1:2" ht="16.149999999999999" customHeight="1">
      <c r="A4595" s="877">
        <v>38155</v>
      </c>
      <c r="B4595" s="878">
        <v>2725.87</v>
      </c>
    </row>
    <row r="4596" spans="1:2" ht="16.149999999999999" customHeight="1">
      <c r="A4596" s="877">
        <v>38156</v>
      </c>
      <c r="B4596" s="880">
        <v>2713.07</v>
      </c>
    </row>
    <row r="4597" spans="1:2" ht="16.149999999999999" customHeight="1">
      <c r="A4597" s="877">
        <v>38157</v>
      </c>
      <c r="B4597" s="878">
        <v>2710.99</v>
      </c>
    </row>
    <row r="4598" spans="1:2" ht="16.149999999999999" customHeight="1">
      <c r="A4598" s="877">
        <v>38158</v>
      </c>
      <c r="B4598" s="880">
        <v>2710.99</v>
      </c>
    </row>
    <row r="4599" spans="1:2" ht="16.149999999999999" customHeight="1">
      <c r="A4599" s="877">
        <v>38159</v>
      </c>
      <c r="B4599" s="878">
        <v>2710.99</v>
      </c>
    </row>
    <row r="4600" spans="1:2" ht="16.149999999999999" customHeight="1">
      <c r="A4600" s="877">
        <v>38160</v>
      </c>
      <c r="B4600" s="880">
        <v>2710.99</v>
      </c>
    </row>
    <row r="4601" spans="1:2" ht="16.149999999999999" customHeight="1">
      <c r="A4601" s="877">
        <v>38161</v>
      </c>
      <c r="B4601" s="878">
        <v>2709.3</v>
      </c>
    </row>
    <row r="4602" spans="1:2" ht="16.149999999999999" customHeight="1">
      <c r="A4602" s="877">
        <v>38162</v>
      </c>
      <c r="B4602" s="880">
        <v>2715.53</v>
      </c>
    </row>
    <row r="4603" spans="1:2" ht="16.149999999999999" customHeight="1">
      <c r="A4603" s="877">
        <v>38163</v>
      </c>
      <c r="B4603" s="878">
        <v>2702.6</v>
      </c>
    </row>
    <row r="4604" spans="1:2" ht="16.149999999999999" customHeight="1">
      <c r="A4604" s="877">
        <v>38164</v>
      </c>
      <c r="B4604" s="880">
        <v>2697.08</v>
      </c>
    </row>
    <row r="4605" spans="1:2" ht="16.149999999999999" customHeight="1">
      <c r="A4605" s="877">
        <v>38165</v>
      </c>
      <c r="B4605" s="878">
        <v>2697.08</v>
      </c>
    </row>
    <row r="4606" spans="1:2" ht="16.149999999999999" customHeight="1">
      <c r="A4606" s="877">
        <v>38166</v>
      </c>
      <c r="B4606" s="880">
        <v>2697.08</v>
      </c>
    </row>
    <row r="4607" spans="1:2" ht="16.149999999999999" customHeight="1">
      <c r="A4607" s="877">
        <v>38167</v>
      </c>
      <c r="B4607" s="878">
        <v>2695.02</v>
      </c>
    </row>
    <row r="4608" spans="1:2" ht="16.149999999999999" customHeight="1">
      <c r="A4608" s="877">
        <v>38168</v>
      </c>
      <c r="B4608" s="880">
        <v>2699.58</v>
      </c>
    </row>
    <row r="4609" spans="1:2" ht="16.149999999999999" customHeight="1">
      <c r="A4609" s="877">
        <v>38169</v>
      </c>
      <c r="B4609" s="878">
        <v>2694.09</v>
      </c>
    </row>
    <row r="4610" spans="1:2" ht="16.149999999999999" customHeight="1">
      <c r="A4610" s="877">
        <v>38170</v>
      </c>
      <c r="B4610" s="880">
        <v>2682.25</v>
      </c>
    </row>
    <row r="4611" spans="1:2" ht="16.149999999999999" customHeight="1">
      <c r="A4611" s="877">
        <v>38171</v>
      </c>
      <c r="B4611" s="878">
        <v>2674.1</v>
      </c>
    </row>
    <row r="4612" spans="1:2" ht="16.149999999999999" customHeight="1">
      <c r="A4612" s="877">
        <v>38172</v>
      </c>
      <c r="B4612" s="880">
        <v>2674.1</v>
      </c>
    </row>
    <row r="4613" spans="1:2" ht="16.149999999999999" customHeight="1">
      <c r="A4613" s="877">
        <v>38173</v>
      </c>
      <c r="B4613" s="878">
        <v>2674.1</v>
      </c>
    </row>
    <row r="4614" spans="1:2" ht="16.149999999999999" customHeight="1">
      <c r="A4614" s="877">
        <v>38174</v>
      </c>
      <c r="B4614" s="880">
        <v>2674.1</v>
      </c>
    </row>
    <row r="4615" spans="1:2" ht="16.149999999999999" customHeight="1">
      <c r="A4615" s="877">
        <v>38175</v>
      </c>
      <c r="B4615" s="878">
        <v>2672.95</v>
      </c>
    </row>
    <row r="4616" spans="1:2" ht="16.149999999999999" customHeight="1">
      <c r="A4616" s="877">
        <v>38176</v>
      </c>
      <c r="B4616" s="880">
        <v>2675.05</v>
      </c>
    </row>
    <row r="4617" spans="1:2" ht="16.149999999999999" customHeight="1">
      <c r="A4617" s="877">
        <v>38177</v>
      </c>
      <c r="B4617" s="878">
        <v>2677.42</v>
      </c>
    </row>
    <row r="4618" spans="1:2" ht="16.149999999999999" customHeight="1">
      <c r="A4618" s="877">
        <v>38178</v>
      </c>
      <c r="B4618" s="880">
        <v>2668.83</v>
      </c>
    </row>
    <row r="4619" spans="1:2" ht="16.149999999999999" customHeight="1">
      <c r="A4619" s="877">
        <v>38179</v>
      </c>
      <c r="B4619" s="878">
        <v>2668.83</v>
      </c>
    </row>
    <row r="4620" spans="1:2" ht="16.149999999999999" customHeight="1">
      <c r="A4620" s="877">
        <v>38180</v>
      </c>
      <c r="B4620" s="880">
        <v>2668.83</v>
      </c>
    </row>
    <row r="4621" spans="1:2" ht="16.149999999999999" customHeight="1">
      <c r="A4621" s="877">
        <v>38181</v>
      </c>
      <c r="B4621" s="878">
        <v>2670.01</v>
      </c>
    </row>
    <row r="4622" spans="1:2" ht="16.149999999999999" customHeight="1">
      <c r="A4622" s="877">
        <v>38182</v>
      </c>
      <c r="B4622" s="880">
        <v>2674.41</v>
      </c>
    </row>
    <row r="4623" spans="1:2" ht="16.149999999999999" customHeight="1">
      <c r="A4623" s="877">
        <v>38183</v>
      </c>
      <c r="B4623" s="878">
        <v>2662.19</v>
      </c>
    </row>
    <row r="4624" spans="1:2" ht="16.149999999999999" customHeight="1">
      <c r="A4624" s="877">
        <v>38184</v>
      </c>
      <c r="B4624" s="880">
        <v>2642.78</v>
      </c>
    </row>
    <row r="4625" spans="1:2" ht="16.149999999999999" customHeight="1">
      <c r="A4625" s="877">
        <v>38185</v>
      </c>
      <c r="B4625" s="878">
        <v>2628.3</v>
      </c>
    </row>
    <row r="4626" spans="1:2" ht="16.149999999999999" customHeight="1">
      <c r="A4626" s="877">
        <v>38186</v>
      </c>
      <c r="B4626" s="880">
        <v>2628.3</v>
      </c>
    </row>
    <row r="4627" spans="1:2" ht="16.149999999999999" customHeight="1">
      <c r="A4627" s="877">
        <v>38187</v>
      </c>
      <c r="B4627" s="878">
        <v>2628.3</v>
      </c>
    </row>
    <row r="4628" spans="1:2" ht="16.149999999999999" customHeight="1">
      <c r="A4628" s="877">
        <v>38188</v>
      </c>
      <c r="B4628" s="880">
        <v>2632.64</v>
      </c>
    </row>
    <row r="4629" spans="1:2" ht="16.149999999999999" customHeight="1">
      <c r="A4629" s="877">
        <v>38189</v>
      </c>
      <c r="B4629" s="878">
        <v>2632.64</v>
      </c>
    </row>
    <row r="4630" spans="1:2" ht="16.149999999999999" customHeight="1">
      <c r="A4630" s="877">
        <v>38190</v>
      </c>
      <c r="B4630" s="880">
        <v>2633.14</v>
      </c>
    </row>
    <row r="4631" spans="1:2" ht="16.149999999999999" customHeight="1">
      <c r="A4631" s="877">
        <v>38191</v>
      </c>
      <c r="B4631" s="878">
        <v>2619.84</v>
      </c>
    </row>
    <row r="4632" spans="1:2" ht="16.149999999999999" customHeight="1">
      <c r="A4632" s="877">
        <v>38192</v>
      </c>
      <c r="B4632" s="880">
        <v>2628.46</v>
      </c>
    </row>
    <row r="4633" spans="1:2" ht="16.149999999999999" customHeight="1">
      <c r="A4633" s="877">
        <v>38193</v>
      </c>
      <c r="B4633" s="878">
        <v>2628.46</v>
      </c>
    </row>
    <row r="4634" spans="1:2" ht="16.149999999999999" customHeight="1">
      <c r="A4634" s="877">
        <v>38194</v>
      </c>
      <c r="B4634" s="880">
        <v>2628.46</v>
      </c>
    </row>
    <row r="4635" spans="1:2" ht="16.149999999999999" customHeight="1">
      <c r="A4635" s="877">
        <v>38195</v>
      </c>
      <c r="B4635" s="878">
        <v>2636.32</v>
      </c>
    </row>
    <row r="4636" spans="1:2" ht="16.149999999999999" customHeight="1">
      <c r="A4636" s="877">
        <v>38196</v>
      </c>
      <c r="B4636" s="880">
        <v>2639.72</v>
      </c>
    </row>
    <row r="4637" spans="1:2" ht="16.149999999999999" customHeight="1">
      <c r="A4637" s="877">
        <v>38197</v>
      </c>
      <c r="B4637" s="878">
        <v>2634.44</v>
      </c>
    </row>
    <row r="4638" spans="1:2" ht="16.149999999999999" customHeight="1">
      <c r="A4638" s="877">
        <v>38198</v>
      </c>
      <c r="B4638" s="880">
        <v>2619.5500000000002</v>
      </c>
    </row>
    <row r="4639" spans="1:2" ht="16.149999999999999" customHeight="1">
      <c r="A4639" s="877">
        <v>38199</v>
      </c>
      <c r="B4639" s="878">
        <v>2612.44</v>
      </c>
    </row>
    <row r="4640" spans="1:2" ht="16.149999999999999" customHeight="1">
      <c r="A4640" s="877">
        <v>38200</v>
      </c>
      <c r="B4640" s="880">
        <v>2612.44</v>
      </c>
    </row>
    <row r="4641" spans="1:2" ht="16.149999999999999" customHeight="1">
      <c r="A4641" s="877">
        <v>38201</v>
      </c>
      <c r="B4641" s="878">
        <v>2612.44</v>
      </c>
    </row>
    <row r="4642" spans="1:2" ht="16.149999999999999" customHeight="1">
      <c r="A4642" s="877">
        <v>38202</v>
      </c>
      <c r="B4642" s="880">
        <v>2613.58</v>
      </c>
    </row>
    <row r="4643" spans="1:2" ht="16.149999999999999" customHeight="1">
      <c r="A4643" s="877">
        <v>38203</v>
      </c>
      <c r="B4643" s="878">
        <v>2605.85</v>
      </c>
    </row>
    <row r="4644" spans="1:2" ht="16.149999999999999" customHeight="1">
      <c r="A4644" s="877">
        <v>38204</v>
      </c>
      <c r="B4644" s="880">
        <v>2609.39</v>
      </c>
    </row>
    <row r="4645" spans="1:2" ht="16.149999999999999" customHeight="1">
      <c r="A4645" s="877">
        <v>38205</v>
      </c>
      <c r="B4645" s="878">
        <v>2609.61</v>
      </c>
    </row>
    <row r="4646" spans="1:2" ht="16.149999999999999" customHeight="1">
      <c r="A4646" s="877">
        <v>38206</v>
      </c>
      <c r="B4646" s="880">
        <v>2602.91</v>
      </c>
    </row>
    <row r="4647" spans="1:2" ht="16.149999999999999" customHeight="1">
      <c r="A4647" s="877">
        <v>38207</v>
      </c>
      <c r="B4647" s="878">
        <v>2602.91</v>
      </c>
    </row>
    <row r="4648" spans="1:2" ht="16.149999999999999" customHeight="1">
      <c r="A4648" s="877">
        <v>38208</v>
      </c>
      <c r="B4648" s="880">
        <v>2602.91</v>
      </c>
    </row>
    <row r="4649" spans="1:2" ht="16.149999999999999" customHeight="1">
      <c r="A4649" s="877">
        <v>38209</v>
      </c>
      <c r="B4649" s="878">
        <v>2597.71</v>
      </c>
    </row>
    <row r="4650" spans="1:2" ht="16.149999999999999" customHeight="1">
      <c r="A4650" s="877">
        <v>38210</v>
      </c>
      <c r="B4650" s="880">
        <v>2598.98</v>
      </c>
    </row>
    <row r="4651" spans="1:2" ht="16.149999999999999" customHeight="1">
      <c r="A4651" s="877">
        <v>38211</v>
      </c>
      <c r="B4651" s="878">
        <v>2606.9299999999998</v>
      </c>
    </row>
    <row r="4652" spans="1:2" ht="16.149999999999999" customHeight="1">
      <c r="A4652" s="877">
        <v>38212</v>
      </c>
      <c r="B4652" s="880">
        <v>2614.9699999999998</v>
      </c>
    </row>
    <row r="4653" spans="1:2" ht="16.149999999999999" customHeight="1">
      <c r="A4653" s="877">
        <v>38213</v>
      </c>
      <c r="B4653" s="878">
        <v>2609.92</v>
      </c>
    </row>
    <row r="4654" spans="1:2" ht="16.149999999999999" customHeight="1">
      <c r="A4654" s="877">
        <v>38214</v>
      </c>
      <c r="B4654" s="880">
        <v>2609.92</v>
      </c>
    </row>
    <row r="4655" spans="1:2" ht="16.149999999999999" customHeight="1">
      <c r="A4655" s="877">
        <v>38215</v>
      </c>
      <c r="B4655" s="878">
        <v>2609.92</v>
      </c>
    </row>
    <row r="4656" spans="1:2" ht="16.149999999999999" customHeight="1">
      <c r="A4656" s="877">
        <v>38216</v>
      </c>
      <c r="B4656" s="880">
        <v>2609.92</v>
      </c>
    </row>
    <row r="4657" spans="1:2" ht="16.149999999999999" customHeight="1">
      <c r="A4657" s="877">
        <v>38217</v>
      </c>
      <c r="B4657" s="878">
        <v>2608.88</v>
      </c>
    </row>
    <row r="4658" spans="1:2" ht="16.149999999999999" customHeight="1">
      <c r="A4658" s="877">
        <v>38218</v>
      </c>
      <c r="B4658" s="880">
        <v>2609.88</v>
      </c>
    </row>
    <row r="4659" spans="1:2" ht="16.149999999999999" customHeight="1">
      <c r="A4659" s="877">
        <v>38219</v>
      </c>
      <c r="B4659" s="878">
        <v>2607.62</v>
      </c>
    </row>
    <row r="4660" spans="1:2" ht="16.149999999999999" customHeight="1">
      <c r="A4660" s="877">
        <v>38220</v>
      </c>
      <c r="B4660" s="880">
        <v>2606.5700000000002</v>
      </c>
    </row>
    <row r="4661" spans="1:2" ht="16.149999999999999" customHeight="1">
      <c r="A4661" s="877">
        <v>38221</v>
      </c>
      <c r="B4661" s="878">
        <v>2606.5700000000002</v>
      </c>
    </row>
    <row r="4662" spans="1:2" ht="16.149999999999999" customHeight="1">
      <c r="A4662" s="877">
        <v>38222</v>
      </c>
      <c r="B4662" s="880">
        <v>2606.5700000000002</v>
      </c>
    </row>
    <row r="4663" spans="1:2" ht="16.149999999999999" customHeight="1">
      <c r="A4663" s="877">
        <v>38223</v>
      </c>
      <c r="B4663" s="878">
        <v>2595.75</v>
      </c>
    </row>
    <row r="4664" spans="1:2" ht="16.149999999999999" customHeight="1">
      <c r="A4664" s="877">
        <v>38224</v>
      </c>
      <c r="B4664" s="880">
        <v>2589.25</v>
      </c>
    </row>
    <row r="4665" spans="1:2" ht="16.149999999999999" customHeight="1">
      <c r="A4665" s="877">
        <v>38225</v>
      </c>
      <c r="B4665" s="878">
        <v>2575.5100000000002</v>
      </c>
    </row>
    <row r="4666" spans="1:2" ht="16.149999999999999" customHeight="1">
      <c r="A4666" s="877">
        <v>38226</v>
      </c>
      <c r="B4666" s="880">
        <v>2568.6799999999998</v>
      </c>
    </row>
    <row r="4667" spans="1:2" ht="16.149999999999999" customHeight="1">
      <c r="A4667" s="877">
        <v>38227</v>
      </c>
      <c r="B4667" s="878">
        <v>2574.4899999999998</v>
      </c>
    </row>
    <row r="4668" spans="1:2" ht="16.149999999999999" customHeight="1">
      <c r="A4668" s="877">
        <v>38228</v>
      </c>
      <c r="B4668" s="880">
        <v>2574.4899999999998</v>
      </c>
    </row>
    <row r="4669" spans="1:2" ht="16.149999999999999" customHeight="1">
      <c r="A4669" s="877">
        <v>38229</v>
      </c>
      <c r="B4669" s="878">
        <v>2574.4899999999998</v>
      </c>
    </row>
    <row r="4670" spans="1:2" ht="16.149999999999999" customHeight="1">
      <c r="A4670" s="877">
        <v>38230</v>
      </c>
      <c r="B4670" s="880">
        <v>2551.4299999999998</v>
      </c>
    </row>
    <row r="4671" spans="1:2" ht="16.149999999999999" customHeight="1">
      <c r="A4671" s="877">
        <v>38231</v>
      </c>
      <c r="B4671" s="878">
        <v>2536.5100000000002</v>
      </c>
    </row>
    <row r="4672" spans="1:2" ht="16.149999999999999" customHeight="1">
      <c r="A4672" s="877">
        <v>38232</v>
      </c>
      <c r="B4672" s="880">
        <v>2538.59</v>
      </c>
    </row>
    <row r="4673" spans="1:2" ht="16.149999999999999" customHeight="1">
      <c r="A4673" s="877">
        <v>38233</v>
      </c>
      <c r="B4673" s="878">
        <v>2552.7800000000002</v>
      </c>
    </row>
    <row r="4674" spans="1:2" ht="16.149999999999999" customHeight="1">
      <c r="A4674" s="877">
        <v>38234</v>
      </c>
      <c r="B4674" s="880">
        <v>2564.89</v>
      </c>
    </row>
    <row r="4675" spans="1:2" ht="16.149999999999999" customHeight="1">
      <c r="A4675" s="877">
        <v>38235</v>
      </c>
      <c r="B4675" s="878">
        <v>2564.89</v>
      </c>
    </row>
    <row r="4676" spans="1:2" ht="16.149999999999999" customHeight="1">
      <c r="A4676" s="877">
        <v>38236</v>
      </c>
      <c r="B4676" s="880">
        <v>2564.89</v>
      </c>
    </row>
    <row r="4677" spans="1:2" ht="16.149999999999999" customHeight="1">
      <c r="A4677" s="877">
        <v>38237</v>
      </c>
      <c r="B4677" s="878">
        <v>2564.89</v>
      </c>
    </row>
    <row r="4678" spans="1:2" ht="16.149999999999999" customHeight="1">
      <c r="A4678" s="877">
        <v>38238</v>
      </c>
      <c r="B4678" s="880">
        <v>2552.7399999999998</v>
      </c>
    </row>
    <row r="4679" spans="1:2" ht="16.149999999999999" customHeight="1">
      <c r="A4679" s="877">
        <v>38239</v>
      </c>
      <c r="B4679" s="878">
        <v>2536</v>
      </c>
    </row>
    <row r="4680" spans="1:2" ht="16.149999999999999" customHeight="1">
      <c r="A4680" s="877">
        <v>38240</v>
      </c>
      <c r="B4680" s="880">
        <v>2523.08</v>
      </c>
    </row>
    <row r="4681" spans="1:2" ht="16.149999999999999" customHeight="1">
      <c r="A4681" s="877">
        <v>38241</v>
      </c>
      <c r="B4681" s="878">
        <v>2535.29</v>
      </c>
    </row>
    <row r="4682" spans="1:2" ht="16.149999999999999" customHeight="1">
      <c r="A4682" s="877">
        <v>38242</v>
      </c>
      <c r="B4682" s="880">
        <v>2535.29</v>
      </c>
    </row>
    <row r="4683" spans="1:2" ht="16.149999999999999" customHeight="1">
      <c r="A4683" s="877">
        <v>38243</v>
      </c>
      <c r="B4683" s="878">
        <v>2535.29</v>
      </c>
    </row>
    <row r="4684" spans="1:2" ht="16.149999999999999" customHeight="1">
      <c r="A4684" s="877">
        <v>38244</v>
      </c>
      <c r="B4684" s="880">
        <v>2525.12</v>
      </c>
    </row>
    <row r="4685" spans="1:2" ht="16.149999999999999" customHeight="1">
      <c r="A4685" s="877">
        <v>38245</v>
      </c>
      <c r="B4685" s="878">
        <v>2521.77</v>
      </c>
    </row>
    <row r="4686" spans="1:2" ht="16.149999999999999" customHeight="1">
      <c r="A4686" s="877">
        <v>38246</v>
      </c>
      <c r="B4686" s="880">
        <v>2536.4</v>
      </c>
    </row>
    <row r="4687" spans="1:2" ht="16.149999999999999" customHeight="1">
      <c r="A4687" s="877">
        <v>38247</v>
      </c>
      <c r="B4687" s="878">
        <v>2522.5700000000002</v>
      </c>
    </row>
    <row r="4688" spans="1:2" ht="16.149999999999999" customHeight="1">
      <c r="A4688" s="877">
        <v>38248</v>
      </c>
      <c r="B4688" s="880">
        <v>2518.3000000000002</v>
      </c>
    </row>
    <row r="4689" spans="1:2" ht="16.149999999999999" customHeight="1">
      <c r="A4689" s="877">
        <v>38249</v>
      </c>
      <c r="B4689" s="878">
        <v>2518.3000000000002</v>
      </c>
    </row>
    <row r="4690" spans="1:2" ht="16.149999999999999" customHeight="1">
      <c r="A4690" s="877">
        <v>38250</v>
      </c>
      <c r="B4690" s="880">
        <v>2518.3000000000002</v>
      </c>
    </row>
    <row r="4691" spans="1:2" ht="16.149999999999999" customHeight="1">
      <c r="A4691" s="877">
        <v>38251</v>
      </c>
      <c r="B4691" s="878">
        <v>2548.1999999999998</v>
      </c>
    </row>
    <row r="4692" spans="1:2" ht="16.149999999999999" customHeight="1">
      <c r="A4692" s="877">
        <v>38252</v>
      </c>
      <c r="B4692" s="880">
        <v>2561.1999999999998</v>
      </c>
    </row>
    <row r="4693" spans="1:2" ht="16.149999999999999" customHeight="1">
      <c r="A4693" s="877">
        <v>38253</v>
      </c>
      <c r="B4693" s="878">
        <v>2560.66</v>
      </c>
    </row>
    <row r="4694" spans="1:2" ht="16.149999999999999" customHeight="1">
      <c r="A4694" s="877">
        <v>38254</v>
      </c>
      <c r="B4694" s="880">
        <v>2567.83</v>
      </c>
    </row>
    <row r="4695" spans="1:2" ht="16.149999999999999" customHeight="1">
      <c r="A4695" s="877">
        <v>38255</v>
      </c>
      <c r="B4695" s="878">
        <v>2602.1999999999998</v>
      </c>
    </row>
    <row r="4696" spans="1:2" ht="16.149999999999999" customHeight="1">
      <c r="A4696" s="877">
        <v>38256</v>
      </c>
      <c r="B4696" s="880">
        <v>2602.1999999999998</v>
      </c>
    </row>
    <row r="4697" spans="1:2" ht="16.149999999999999" customHeight="1">
      <c r="A4697" s="877">
        <v>38257</v>
      </c>
      <c r="B4697" s="878">
        <v>2602.1999999999998</v>
      </c>
    </row>
    <row r="4698" spans="1:2" ht="16.149999999999999" customHeight="1">
      <c r="A4698" s="877">
        <v>38258</v>
      </c>
      <c r="B4698" s="880">
        <v>2600.64</v>
      </c>
    </row>
    <row r="4699" spans="1:2" ht="16.149999999999999" customHeight="1">
      <c r="A4699" s="877">
        <v>38259</v>
      </c>
      <c r="B4699" s="878">
        <v>2596.2800000000002</v>
      </c>
    </row>
    <row r="4700" spans="1:2" ht="16.149999999999999" customHeight="1">
      <c r="A4700" s="877">
        <v>38260</v>
      </c>
      <c r="B4700" s="880">
        <v>2595.17</v>
      </c>
    </row>
    <row r="4701" spans="1:2" ht="16.149999999999999" customHeight="1">
      <c r="A4701" s="877">
        <v>38261</v>
      </c>
      <c r="B4701" s="878">
        <v>2608.3000000000002</v>
      </c>
    </row>
    <row r="4702" spans="1:2" ht="16.149999999999999" customHeight="1">
      <c r="A4702" s="877">
        <v>38262</v>
      </c>
      <c r="B4702" s="880">
        <v>2630.81</v>
      </c>
    </row>
    <row r="4703" spans="1:2" ht="16.149999999999999" customHeight="1">
      <c r="A4703" s="877">
        <v>38263</v>
      </c>
      <c r="B4703" s="878">
        <v>2630.81</v>
      </c>
    </row>
    <row r="4704" spans="1:2" ht="16.149999999999999" customHeight="1">
      <c r="A4704" s="877">
        <v>38264</v>
      </c>
      <c r="B4704" s="880">
        <v>2630.81</v>
      </c>
    </row>
    <row r="4705" spans="1:2" ht="16.149999999999999" customHeight="1">
      <c r="A4705" s="877">
        <v>38265</v>
      </c>
      <c r="B4705" s="878">
        <v>2629.65</v>
      </c>
    </row>
    <row r="4706" spans="1:2" ht="16.149999999999999" customHeight="1">
      <c r="A4706" s="877">
        <v>38266</v>
      </c>
      <c r="B4706" s="880">
        <v>2608.36</v>
      </c>
    </row>
    <row r="4707" spans="1:2" ht="16.149999999999999" customHeight="1">
      <c r="A4707" s="877">
        <v>38267</v>
      </c>
      <c r="B4707" s="878">
        <v>2603.34</v>
      </c>
    </row>
    <row r="4708" spans="1:2" ht="16.149999999999999" customHeight="1">
      <c r="A4708" s="877">
        <v>38268</v>
      </c>
      <c r="B4708" s="880">
        <v>2601.6999999999998</v>
      </c>
    </row>
    <row r="4709" spans="1:2" ht="16.149999999999999" customHeight="1">
      <c r="A4709" s="877">
        <v>38269</v>
      </c>
      <c r="B4709" s="878">
        <v>2583.7399999999998</v>
      </c>
    </row>
    <row r="4710" spans="1:2" ht="16.149999999999999" customHeight="1">
      <c r="A4710" s="877">
        <v>38270</v>
      </c>
      <c r="B4710" s="880">
        <v>2583.7399999999998</v>
      </c>
    </row>
    <row r="4711" spans="1:2" ht="16.149999999999999" customHeight="1">
      <c r="A4711" s="877">
        <v>38271</v>
      </c>
      <c r="B4711" s="878">
        <v>2583.7399999999998</v>
      </c>
    </row>
    <row r="4712" spans="1:2" ht="16.149999999999999" customHeight="1">
      <c r="A4712" s="877">
        <v>38272</v>
      </c>
      <c r="B4712" s="880">
        <v>2583.7399999999998</v>
      </c>
    </row>
    <row r="4713" spans="1:2" ht="16.149999999999999" customHeight="1">
      <c r="A4713" s="877">
        <v>38273</v>
      </c>
      <c r="B4713" s="878">
        <v>2558.04</v>
      </c>
    </row>
    <row r="4714" spans="1:2" ht="16.149999999999999" customHeight="1">
      <c r="A4714" s="877">
        <v>38274</v>
      </c>
      <c r="B4714" s="880">
        <v>2553.0700000000002</v>
      </c>
    </row>
    <row r="4715" spans="1:2" ht="16.149999999999999" customHeight="1">
      <c r="A4715" s="877">
        <v>38275</v>
      </c>
      <c r="B4715" s="878">
        <v>2549.1</v>
      </c>
    </row>
    <row r="4716" spans="1:2" ht="16.149999999999999" customHeight="1">
      <c r="A4716" s="877">
        <v>38276</v>
      </c>
      <c r="B4716" s="880">
        <v>2562.56</v>
      </c>
    </row>
    <row r="4717" spans="1:2" ht="16.149999999999999" customHeight="1">
      <c r="A4717" s="877">
        <v>38277</v>
      </c>
      <c r="B4717" s="878">
        <v>2562.56</v>
      </c>
    </row>
    <row r="4718" spans="1:2" ht="16.149999999999999" customHeight="1">
      <c r="A4718" s="877">
        <v>38278</v>
      </c>
      <c r="B4718" s="880">
        <v>2562.56</v>
      </c>
    </row>
    <row r="4719" spans="1:2" ht="16.149999999999999" customHeight="1">
      <c r="A4719" s="877">
        <v>38279</v>
      </c>
      <c r="B4719" s="878">
        <v>2562.56</v>
      </c>
    </row>
    <row r="4720" spans="1:2" ht="16.149999999999999" customHeight="1">
      <c r="A4720" s="877">
        <v>38280</v>
      </c>
      <c r="B4720" s="880">
        <v>2556.1799999999998</v>
      </c>
    </row>
    <row r="4721" spans="1:2" ht="16.149999999999999" customHeight="1">
      <c r="A4721" s="877">
        <v>38281</v>
      </c>
      <c r="B4721" s="878">
        <v>2561.33</v>
      </c>
    </row>
    <row r="4722" spans="1:2" ht="16.149999999999999" customHeight="1">
      <c r="A4722" s="877">
        <v>38282</v>
      </c>
      <c r="B4722" s="880">
        <v>2555.2600000000002</v>
      </c>
    </row>
    <row r="4723" spans="1:2" ht="16.149999999999999" customHeight="1">
      <c r="A4723" s="877">
        <v>38283</v>
      </c>
      <c r="B4723" s="878">
        <v>2553.02</v>
      </c>
    </row>
    <row r="4724" spans="1:2" ht="16.149999999999999" customHeight="1">
      <c r="A4724" s="877">
        <v>38284</v>
      </c>
      <c r="B4724" s="880">
        <v>2553.02</v>
      </c>
    </row>
    <row r="4725" spans="1:2" ht="16.149999999999999" customHeight="1">
      <c r="A4725" s="877">
        <v>38285</v>
      </c>
      <c r="B4725" s="878">
        <v>2553.02</v>
      </c>
    </row>
    <row r="4726" spans="1:2" ht="16.149999999999999" customHeight="1">
      <c r="A4726" s="877">
        <v>38286</v>
      </c>
      <c r="B4726" s="880">
        <v>2568.11</v>
      </c>
    </row>
    <row r="4727" spans="1:2" ht="16.149999999999999" customHeight="1">
      <c r="A4727" s="877">
        <v>38287</v>
      </c>
      <c r="B4727" s="878">
        <v>2582.39</v>
      </c>
    </row>
    <row r="4728" spans="1:2" ht="16.149999999999999" customHeight="1">
      <c r="A4728" s="877">
        <v>38288</v>
      </c>
      <c r="B4728" s="880">
        <v>2579.59</v>
      </c>
    </row>
    <row r="4729" spans="1:2" ht="16.149999999999999" customHeight="1">
      <c r="A4729" s="877">
        <v>38289</v>
      </c>
      <c r="B4729" s="878">
        <v>2585.8000000000002</v>
      </c>
    </row>
    <row r="4730" spans="1:2" ht="16.149999999999999" customHeight="1">
      <c r="A4730" s="877">
        <v>38290</v>
      </c>
      <c r="B4730" s="880">
        <v>2575.19</v>
      </c>
    </row>
    <row r="4731" spans="1:2" ht="16.149999999999999" customHeight="1">
      <c r="A4731" s="877">
        <v>38291</v>
      </c>
      <c r="B4731" s="878">
        <v>2575.19</v>
      </c>
    </row>
    <row r="4732" spans="1:2" ht="16.149999999999999" customHeight="1">
      <c r="A4732" s="877">
        <v>38292</v>
      </c>
      <c r="B4732" s="880">
        <v>2575.19</v>
      </c>
    </row>
    <row r="4733" spans="1:2" ht="16.149999999999999" customHeight="1">
      <c r="A4733" s="877">
        <v>38293</v>
      </c>
      <c r="B4733" s="878">
        <v>2575.19</v>
      </c>
    </row>
    <row r="4734" spans="1:2" ht="16.149999999999999" customHeight="1">
      <c r="A4734" s="877">
        <v>38294</v>
      </c>
      <c r="B4734" s="880">
        <v>2568.08</v>
      </c>
    </row>
    <row r="4735" spans="1:2" ht="16.149999999999999" customHeight="1">
      <c r="A4735" s="877">
        <v>38295</v>
      </c>
      <c r="B4735" s="878">
        <v>2561.2800000000002</v>
      </c>
    </row>
    <row r="4736" spans="1:2" ht="16.149999999999999" customHeight="1">
      <c r="A4736" s="877">
        <v>38296</v>
      </c>
      <c r="B4736" s="880">
        <v>2550.37</v>
      </c>
    </row>
    <row r="4737" spans="1:2" ht="16.149999999999999" customHeight="1">
      <c r="A4737" s="877">
        <v>38297</v>
      </c>
      <c r="B4737" s="878">
        <v>2547.79</v>
      </c>
    </row>
    <row r="4738" spans="1:2" ht="16.149999999999999" customHeight="1">
      <c r="A4738" s="877">
        <v>38298</v>
      </c>
      <c r="B4738" s="880">
        <v>2547.79</v>
      </c>
    </row>
    <row r="4739" spans="1:2" ht="16.149999999999999" customHeight="1">
      <c r="A4739" s="877">
        <v>38299</v>
      </c>
      <c r="B4739" s="878">
        <v>2547.79</v>
      </c>
    </row>
    <row r="4740" spans="1:2" ht="16.149999999999999" customHeight="1">
      <c r="A4740" s="877">
        <v>38300</v>
      </c>
      <c r="B4740" s="880">
        <v>2544.65</v>
      </c>
    </row>
    <row r="4741" spans="1:2" ht="16.149999999999999" customHeight="1">
      <c r="A4741" s="877">
        <v>38301</v>
      </c>
      <c r="B4741" s="878">
        <v>2542.1999999999998</v>
      </c>
    </row>
    <row r="4742" spans="1:2" ht="16.149999999999999" customHeight="1">
      <c r="A4742" s="877">
        <v>38302</v>
      </c>
      <c r="B4742" s="880">
        <v>2540.4699999999998</v>
      </c>
    </row>
    <row r="4743" spans="1:2" ht="16.149999999999999" customHeight="1">
      <c r="A4743" s="877">
        <v>38303</v>
      </c>
      <c r="B4743" s="878">
        <v>2540.4699999999998</v>
      </c>
    </row>
    <row r="4744" spans="1:2" ht="16.149999999999999" customHeight="1">
      <c r="A4744" s="877">
        <v>38304</v>
      </c>
      <c r="B4744" s="880">
        <v>2541.98</v>
      </c>
    </row>
    <row r="4745" spans="1:2" ht="16.149999999999999" customHeight="1">
      <c r="A4745" s="877">
        <v>38305</v>
      </c>
      <c r="B4745" s="878">
        <v>2541.98</v>
      </c>
    </row>
    <row r="4746" spans="1:2" ht="16.149999999999999" customHeight="1">
      <c r="A4746" s="877">
        <v>38306</v>
      </c>
      <c r="B4746" s="880">
        <v>2541.98</v>
      </c>
    </row>
    <row r="4747" spans="1:2" ht="16.149999999999999" customHeight="1">
      <c r="A4747" s="877">
        <v>38307</v>
      </c>
      <c r="B4747" s="878">
        <v>2541.98</v>
      </c>
    </row>
    <row r="4748" spans="1:2" ht="16.149999999999999" customHeight="1">
      <c r="A4748" s="877">
        <v>38308</v>
      </c>
      <c r="B4748" s="880">
        <v>2535.89</v>
      </c>
    </row>
    <row r="4749" spans="1:2" ht="16.149999999999999" customHeight="1">
      <c r="A4749" s="877">
        <v>38309</v>
      </c>
      <c r="B4749" s="878">
        <v>2523.41</v>
      </c>
    </row>
    <row r="4750" spans="1:2" ht="16.149999999999999" customHeight="1">
      <c r="A4750" s="877">
        <v>38310</v>
      </c>
      <c r="B4750" s="880">
        <v>2515.3200000000002</v>
      </c>
    </row>
    <row r="4751" spans="1:2" ht="16.149999999999999" customHeight="1">
      <c r="A4751" s="877">
        <v>38311</v>
      </c>
      <c r="B4751" s="878">
        <v>2517.86</v>
      </c>
    </row>
    <row r="4752" spans="1:2" ht="16.149999999999999" customHeight="1">
      <c r="A4752" s="877">
        <v>38312</v>
      </c>
      <c r="B4752" s="880">
        <v>2517.86</v>
      </c>
    </row>
    <row r="4753" spans="1:2" ht="16.149999999999999" customHeight="1">
      <c r="A4753" s="877">
        <v>38313</v>
      </c>
      <c r="B4753" s="878">
        <v>2517.86</v>
      </c>
    </row>
    <row r="4754" spans="1:2" ht="16.149999999999999" customHeight="1">
      <c r="A4754" s="877">
        <v>38314</v>
      </c>
      <c r="B4754" s="880">
        <v>2521.81</v>
      </c>
    </row>
    <row r="4755" spans="1:2" ht="16.149999999999999" customHeight="1">
      <c r="A4755" s="877">
        <v>38315</v>
      </c>
      <c r="B4755" s="878">
        <v>2509.79</v>
      </c>
    </row>
    <row r="4756" spans="1:2" ht="16.149999999999999" customHeight="1">
      <c r="A4756" s="877">
        <v>38316</v>
      </c>
      <c r="B4756" s="880">
        <v>2501.88</v>
      </c>
    </row>
    <row r="4757" spans="1:2" ht="16.149999999999999" customHeight="1">
      <c r="A4757" s="877">
        <v>38317</v>
      </c>
      <c r="B4757" s="878">
        <v>2501.88</v>
      </c>
    </row>
    <row r="4758" spans="1:2" ht="16.149999999999999" customHeight="1">
      <c r="A4758" s="877">
        <v>38318</v>
      </c>
      <c r="B4758" s="880">
        <v>2484.36</v>
      </c>
    </row>
    <row r="4759" spans="1:2" ht="16.149999999999999" customHeight="1">
      <c r="A4759" s="877">
        <v>38319</v>
      </c>
      <c r="B4759" s="878">
        <v>2484.36</v>
      </c>
    </row>
    <row r="4760" spans="1:2" ht="16.149999999999999" customHeight="1">
      <c r="A4760" s="877">
        <v>38320</v>
      </c>
      <c r="B4760" s="880">
        <v>2484.36</v>
      </c>
    </row>
    <row r="4761" spans="1:2" ht="16.149999999999999" customHeight="1">
      <c r="A4761" s="877">
        <v>38321</v>
      </c>
      <c r="B4761" s="878">
        <v>2479.1</v>
      </c>
    </row>
    <row r="4762" spans="1:2" ht="16.149999999999999" customHeight="1">
      <c r="A4762" s="877">
        <v>38322</v>
      </c>
      <c r="B4762" s="880">
        <v>2479.1799999999998</v>
      </c>
    </row>
    <row r="4763" spans="1:2" ht="16.149999999999999" customHeight="1">
      <c r="A4763" s="877">
        <v>38323</v>
      </c>
      <c r="B4763" s="878">
        <v>2472.12</v>
      </c>
    </row>
    <row r="4764" spans="1:2" ht="16.149999999999999" customHeight="1">
      <c r="A4764" s="877">
        <v>38324</v>
      </c>
      <c r="B4764" s="880">
        <v>2481.9299999999998</v>
      </c>
    </row>
    <row r="4765" spans="1:2" ht="16.149999999999999" customHeight="1">
      <c r="A4765" s="877">
        <v>38325</v>
      </c>
      <c r="B4765" s="878">
        <v>2475.23</v>
      </c>
    </row>
    <row r="4766" spans="1:2" ht="16.149999999999999" customHeight="1">
      <c r="A4766" s="877">
        <v>38326</v>
      </c>
      <c r="B4766" s="880">
        <v>2475.23</v>
      </c>
    </row>
    <row r="4767" spans="1:2" ht="16.149999999999999" customHeight="1">
      <c r="A4767" s="877">
        <v>38327</v>
      </c>
      <c r="B4767" s="878">
        <v>2475.23</v>
      </c>
    </row>
    <row r="4768" spans="1:2" ht="16.149999999999999" customHeight="1">
      <c r="A4768" s="877">
        <v>38328</v>
      </c>
      <c r="B4768" s="880">
        <v>2466.71</v>
      </c>
    </row>
    <row r="4769" spans="1:2" ht="16.149999999999999" customHeight="1">
      <c r="A4769" s="877">
        <v>38329</v>
      </c>
      <c r="B4769" s="878">
        <v>2455.12</v>
      </c>
    </row>
    <row r="4770" spans="1:2" ht="16.149999999999999" customHeight="1">
      <c r="A4770" s="877">
        <v>38330</v>
      </c>
      <c r="B4770" s="880">
        <v>2455.12</v>
      </c>
    </row>
    <row r="4771" spans="1:2" ht="16.149999999999999" customHeight="1">
      <c r="A4771" s="877">
        <v>38331</v>
      </c>
      <c r="B4771" s="878">
        <v>2464.19</v>
      </c>
    </row>
    <row r="4772" spans="1:2" ht="16.149999999999999" customHeight="1">
      <c r="A4772" s="877">
        <v>38332</v>
      </c>
      <c r="B4772" s="880">
        <v>2440.7199999999998</v>
      </c>
    </row>
    <row r="4773" spans="1:2" ht="16.149999999999999" customHeight="1">
      <c r="A4773" s="877">
        <v>38333</v>
      </c>
      <c r="B4773" s="878">
        <v>2440.7199999999998</v>
      </c>
    </row>
    <row r="4774" spans="1:2" ht="16.149999999999999" customHeight="1">
      <c r="A4774" s="877">
        <v>38334</v>
      </c>
      <c r="B4774" s="880">
        <v>2440.7199999999998</v>
      </c>
    </row>
    <row r="4775" spans="1:2" ht="16.149999999999999" customHeight="1">
      <c r="A4775" s="877">
        <v>38335</v>
      </c>
      <c r="B4775" s="878">
        <v>2416.29</v>
      </c>
    </row>
    <row r="4776" spans="1:2" ht="16.149999999999999" customHeight="1">
      <c r="A4776" s="877">
        <v>38336</v>
      </c>
      <c r="B4776" s="880">
        <v>2385.1</v>
      </c>
    </row>
    <row r="4777" spans="1:2" ht="16.149999999999999" customHeight="1">
      <c r="A4777" s="877">
        <v>38337</v>
      </c>
      <c r="B4777" s="878">
        <v>2376.37</v>
      </c>
    </row>
    <row r="4778" spans="1:2" ht="16.149999999999999" customHeight="1">
      <c r="A4778" s="877">
        <v>38338</v>
      </c>
      <c r="B4778" s="880">
        <v>2365.75</v>
      </c>
    </row>
    <row r="4779" spans="1:2" ht="16.149999999999999" customHeight="1">
      <c r="A4779" s="877">
        <v>38339</v>
      </c>
      <c r="B4779" s="878">
        <v>2361.46</v>
      </c>
    </row>
    <row r="4780" spans="1:2" ht="16.149999999999999" customHeight="1">
      <c r="A4780" s="877">
        <v>38340</v>
      </c>
      <c r="B4780" s="880">
        <v>2361.46</v>
      </c>
    </row>
    <row r="4781" spans="1:2" ht="16.149999999999999" customHeight="1">
      <c r="A4781" s="877">
        <v>38341</v>
      </c>
      <c r="B4781" s="878">
        <v>2361.46</v>
      </c>
    </row>
    <row r="4782" spans="1:2" ht="16.149999999999999" customHeight="1">
      <c r="A4782" s="877">
        <v>38342</v>
      </c>
      <c r="B4782" s="880">
        <v>2329.79</v>
      </c>
    </row>
    <row r="4783" spans="1:2" ht="16.149999999999999" customHeight="1">
      <c r="A4783" s="877">
        <v>38343</v>
      </c>
      <c r="B4783" s="878">
        <v>2316.12</v>
      </c>
    </row>
    <row r="4784" spans="1:2" ht="16.149999999999999" customHeight="1">
      <c r="A4784" s="877">
        <v>38344</v>
      </c>
      <c r="B4784" s="880">
        <v>2381.0300000000002</v>
      </c>
    </row>
    <row r="4785" spans="1:2" ht="16.149999999999999" customHeight="1">
      <c r="A4785" s="877">
        <v>38345</v>
      </c>
      <c r="B4785" s="878">
        <v>2404.4</v>
      </c>
    </row>
    <row r="4786" spans="1:2" ht="16.149999999999999" customHeight="1">
      <c r="A4786" s="877">
        <v>38346</v>
      </c>
      <c r="B4786" s="880">
        <v>2375.9899999999998</v>
      </c>
    </row>
    <row r="4787" spans="1:2" ht="16.149999999999999" customHeight="1">
      <c r="A4787" s="877">
        <v>38347</v>
      </c>
      <c r="B4787" s="878">
        <v>2375.9899999999998</v>
      </c>
    </row>
    <row r="4788" spans="1:2" ht="16.149999999999999" customHeight="1">
      <c r="A4788" s="877">
        <v>38348</v>
      </c>
      <c r="B4788" s="880">
        <v>2375.9899999999998</v>
      </c>
    </row>
    <row r="4789" spans="1:2" ht="16.149999999999999" customHeight="1">
      <c r="A4789" s="877">
        <v>38349</v>
      </c>
      <c r="B4789" s="878">
        <v>2385.3200000000002</v>
      </c>
    </row>
    <row r="4790" spans="1:2" ht="16.149999999999999" customHeight="1">
      <c r="A4790" s="877">
        <v>38350</v>
      </c>
      <c r="B4790" s="880">
        <v>2415.37</v>
      </c>
    </row>
    <row r="4791" spans="1:2" ht="16.149999999999999" customHeight="1">
      <c r="A4791" s="877">
        <v>38351</v>
      </c>
      <c r="B4791" s="878">
        <v>2412.1</v>
      </c>
    </row>
    <row r="4792" spans="1:2" ht="16.149999999999999" customHeight="1">
      <c r="A4792" s="877">
        <v>38352</v>
      </c>
      <c r="B4792" s="880">
        <v>2389.75</v>
      </c>
    </row>
    <row r="4793" spans="1:2" ht="16.149999999999999" customHeight="1">
      <c r="A4793" s="877">
        <v>38353</v>
      </c>
      <c r="B4793" s="878">
        <v>2389.75</v>
      </c>
    </row>
    <row r="4794" spans="1:2" ht="16.149999999999999" customHeight="1">
      <c r="A4794" s="877">
        <v>38354</v>
      </c>
      <c r="B4794" s="880">
        <v>2389.75</v>
      </c>
    </row>
    <row r="4795" spans="1:2" ht="16.149999999999999" customHeight="1">
      <c r="A4795" s="877">
        <v>38355</v>
      </c>
      <c r="B4795" s="878">
        <v>2389.75</v>
      </c>
    </row>
    <row r="4796" spans="1:2" ht="16.149999999999999" customHeight="1">
      <c r="A4796" s="877">
        <v>38356</v>
      </c>
      <c r="B4796" s="880">
        <v>2338.84</v>
      </c>
    </row>
    <row r="4797" spans="1:2" ht="16.149999999999999" customHeight="1">
      <c r="A4797" s="877">
        <v>38357</v>
      </c>
      <c r="B4797" s="878">
        <v>2315.4499999999998</v>
      </c>
    </row>
    <row r="4798" spans="1:2" ht="16.149999999999999" customHeight="1">
      <c r="A4798" s="877">
        <v>38358</v>
      </c>
      <c r="B4798" s="880">
        <v>2344.4499999999998</v>
      </c>
    </row>
    <row r="4799" spans="1:2" ht="16.149999999999999" customHeight="1">
      <c r="A4799" s="877">
        <v>38359</v>
      </c>
      <c r="B4799" s="878">
        <v>2386.67</v>
      </c>
    </row>
    <row r="4800" spans="1:2" ht="16.149999999999999" customHeight="1">
      <c r="A4800" s="877">
        <v>38360</v>
      </c>
      <c r="B4800" s="880">
        <v>2358.54</v>
      </c>
    </row>
    <row r="4801" spans="1:2" ht="16.149999999999999" customHeight="1">
      <c r="A4801" s="877">
        <v>38361</v>
      </c>
      <c r="B4801" s="878">
        <v>2358.54</v>
      </c>
    </row>
    <row r="4802" spans="1:2" ht="16.149999999999999" customHeight="1">
      <c r="A4802" s="877">
        <v>38362</v>
      </c>
      <c r="B4802" s="880">
        <v>2358.54</v>
      </c>
    </row>
    <row r="4803" spans="1:2" ht="16.149999999999999" customHeight="1">
      <c r="A4803" s="877">
        <v>38363</v>
      </c>
      <c r="B4803" s="878">
        <v>2358.54</v>
      </c>
    </row>
    <row r="4804" spans="1:2" ht="16.149999999999999" customHeight="1">
      <c r="A4804" s="877">
        <v>38364</v>
      </c>
      <c r="B4804" s="880">
        <v>2380.96</v>
      </c>
    </row>
    <row r="4805" spans="1:2" ht="16.149999999999999" customHeight="1">
      <c r="A4805" s="877">
        <v>38365</v>
      </c>
      <c r="B4805" s="878">
        <v>2358.64</v>
      </c>
    </row>
    <row r="4806" spans="1:2" ht="16.149999999999999" customHeight="1">
      <c r="A4806" s="877">
        <v>38366</v>
      </c>
      <c r="B4806" s="880">
        <v>2340.42</v>
      </c>
    </row>
    <row r="4807" spans="1:2" ht="16.149999999999999" customHeight="1">
      <c r="A4807" s="877">
        <v>38367</v>
      </c>
      <c r="B4807" s="878">
        <v>2351.23</v>
      </c>
    </row>
    <row r="4808" spans="1:2" ht="16.149999999999999" customHeight="1">
      <c r="A4808" s="877">
        <v>38368</v>
      </c>
      <c r="B4808" s="880">
        <v>2351.23</v>
      </c>
    </row>
    <row r="4809" spans="1:2" ht="16.149999999999999" customHeight="1">
      <c r="A4809" s="877">
        <v>38369</v>
      </c>
      <c r="B4809" s="878">
        <v>2351.23</v>
      </c>
    </row>
    <row r="4810" spans="1:2" ht="16.149999999999999" customHeight="1">
      <c r="A4810" s="877">
        <v>38370</v>
      </c>
      <c r="B4810" s="880">
        <v>2351.23</v>
      </c>
    </row>
    <row r="4811" spans="1:2" ht="16.149999999999999" customHeight="1">
      <c r="A4811" s="877">
        <v>38371</v>
      </c>
      <c r="B4811" s="878">
        <v>2371.77</v>
      </c>
    </row>
    <row r="4812" spans="1:2" ht="16.149999999999999" customHeight="1">
      <c r="A4812" s="877">
        <v>38372</v>
      </c>
      <c r="B4812" s="880">
        <v>2363.69</v>
      </c>
    </row>
    <row r="4813" spans="1:2" ht="16.149999999999999" customHeight="1">
      <c r="A4813" s="877">
        <v>38373</v>
      </c>
      <c r="B4813" s="878">
        <v>2381.54</v>
      </c>
    </row>
    <row r="4814" spans="1:2" ht="16.149999999999999" customHeight="1">
      <c r="A4814" s="877">
        <v>38374</v>
      </c>
      <c r="B4814" s="880">
        <v>2373.86</v>
      </c>
    </row>
    <row r="4815" spans="1:2" ht="16.149999999999999" customHeight="1">
      <c r="A4815" s="877">
        <v>38375</v>
      </c>
      <c r="B4815" s="878">
        <v>2373.86</v>
      </c>
    </row>
    <row r="4816" spans="1:2" ht="16.149999999999999" customHeight="1">
      <c r="A4816" s="877">
        <v>38376</v>
      </c>
      <c r="B4816" s="880">
        <v>2373.86</v>
      </c>
    </row>
    <row r="4817" spans="1:2" ht="16.149999999999999" customHeight="1">
      <c r="A4817" s="877">
        <v>38377</v>
      </c>
      <c r="B4817" s="878">
        <v>2370.77</v>
      </c>
    </row>
    <row r="4818" spans="1:2" ht="16.149999999999999" customHeight="1">
      <c r="A4818" s="877">
        <v>38378</v>
      </c>
      <c r="B4818" s="880">
        <v>2370.08</v>
      </c>
    </row>
    <row r="4819" spans="1:2" ht="16.149999999999999" customHeight="1">
      <c r="A4819" s="877">
        <v>38379</v>
      </c>
      <c r="B4819" s="878">
        <v>2370.9499999999998</v>
      </c>
    </row>
    <row r="4820" spans="1:2" ht="16.149999999999999" customHeight="1">
      <c r="A4820" s="877">
        <v>38380</v>
      </c>
      <c r="B4820" s="880">
        <v>2372.63</v>
      </c>
    </row>
    <row r="4821" spans="1:2" ht="16.149999999999999" customHeight="1">
      <c r="A4821" s="877">
        <v>38381</v>
      </c>
      <c r="B4821" s="878">
        <v>2367.7600000000002</v>
      </c>
    </row>
    <row r="4822" spans="1:2" ht="16.149999999999999" customHeight="1">
      <c r="A4822" s="877">
        <v>38382</v>
      </c>
      <c r="B4822" s="880">
        <v>2367.7600000000002</v>
      </c>
    </row>
    <row r="4823" spans="1:2" ht="16.149999999999999" customHeight="1">
      <c r="A4823" s="877">
        <v>38383</v>
      </c>
      <c r="B4823" s="878">
        <v>2367.7600000000002</v>
      </c>
    </row>
    <row r="4824" spans="1:2" ht="16.149999999999999" customHeight="1">
      <c r="A4824" s="877">
        <v>38384</v>
      </c>
      <c r="B4824" s="880">
        <v>2363.75</v>
      </c>
    </row>
    <row r="4825" spans="1:2" ht="16.149999999999999" customHeight="1">
      <c r="A4825" s="877">
        <v>38385</v>
      </c>
      <c r="B4825" s="878">
        <v>2358.16</v>
      </c>
    </row>
    <row r="4826" spans="1:2" ht="16.149999999999999" customHeight="1">
      <c r="A4826" s="877">
        <v>38386</v>
      </c>
      <c r="B4826" s="880">
        <v>2364.13</v>
      </c>
    </row>
    <row r="4827" spans="1:2" ht="16.149999999999999" customHeight="1">
      <c r="A4827" s="877">
        <v>38387</v>
      </c>
      <c r="B4827" s="878">
        <v>2365.08</v>
      </c>
    </row>
    <row r="4828" spans="1:2" ht="16.149999999999999" customHeight="1">
      <c r="A4828" s="877">
        <v>38388</v>
      </c>
      <c r="B4828" s="880">
        <v>2361.92</v>
      </c>
    </row>
    <row r="4829" spans="1:2" ht="16.149999999999999" customHeight="1">
      <c r="A4829" s="877">
        <v>38389</v>
      </c>
      <c r="B4829" s="878">
        <v>2361.92</v>
      </c>
    </row>
    <row r="4830" spans="1:2" ht="16.149999999999999" customHeight="1">
      <c r="A4830" s="877">
        <v>38390</v>
      </c>
      <c r="B4830" s="880">
        <v>2361.92</v>
      </c>
    </row>
    <row r="4831" spans="1:2" ht="16.149999999999999" customHeight="1">
      <c r="A4831" s="877">
        <v>38391</v>
      </c>
      <c r="B4831" s="878">
        <v>2365.79</v>
      </c>
    </row>
    <row r="4832" spans="1:2" ht="16.149999999999999" customHeight="1">
      <c r="A4832" s="877">
        <v>38392</v>
      </c>
      <c r="B4832" s="880">
        <v>2364.16</v>
      </c>
    </row>
    <row r="4833" spans="1:2" ht="16.149999999999999" customHeight="1">
      <c r="A4833" s="877">
        <v>38393</v>
      </c>
      <c r="B4833" s="878">
        <v>2358.61</v>
      </c>
    </row>
    <row r="4834" spans="1:2" ht="16.149999999999999" customHeight="1">
      <c r="A4834" s="877">
        <v>38394</v>
      </c>
      <c r="B4834" s="880">
        <v>2344.94</v>
      </c>
    </row>
    <row r="4835" spans="1:2" ht="16.149999999999999" customHeight="1">
      <c r="A4835" s="877">
        <v>38395</v>
      </c>
      <c r="B4835" s="878">
        <v>2346.04</v>
      </c>
    </row>
    <row r="4836" spans="1:2" ht="16.149999999999999" customHeight="1">
      <c r="A4836" s="877">
        <v>38396</v>
      </c>
      <c r="B4836" s="880">
        <v>2346.04</v>
      </c>
    </row>
    <row r="4837" spans="1:2" ht="16.149999999999999" customHeight="1">
      <c r="A4837" s="877">
        <v>38397</v>
      </c>
      <c r="B4837" s="878">
        <v>2346.04</v>
      </c>
    </row>
    <row r="4838" spans="1:2" ht="16.149999999999999" customHeight="1">
      <c r="A4838" s="877">
        <v>38398</v>
      </c>
      <c r="B4838" s="880">
        <v>2338.27</v>
      </c>
    </row>
    <row r="4839" spans="1:2" ht="16.149999999999999" customHeight="1">
      <c r="A4839" s="877">
        <v>38399</v>
      </c>
      <c r="B4839" s="878">
        <v>2330.62</v>
      </c>
    </row>
    <row r="4840" spans="1:2" ht="16.149999999999999" customHeight="1">
      <c r="A4840" s="877">
        <v>38400</v>
      </c>
      <c r="B4840" s="880">
        <v>2331.6999999999998</v>
      </c>
    </row>
    <row r="4841" spans="1:2" ht="16.149999999999999" customHeight="1">
      <c r="A4841" s="877">
        <v>38401</v>
      </c>
      <c r="B4841" s="878">
        <v>2327.4499999999998</v>
      </c>
    </row>
    <row r="4842" spans="1:2" ht="16.149999999999999" customHeight="1">
      <c r="A4842" s="877">
        <v>38402</v>
      </c>
      <c r="B4842" s="880">
        <v>2318.12</v>
      </c>
    </row>
    <row r="4843" spans="1:2" ht="16.149999999999999" customHeight="1">
      <c r="A4843" s="877">
        <v>38403</v>
      </c>
      <c r="B4843" s="878">
        <v>2318.12</v>
      </c>
    </row>
    <row r="4844" spans="1:2" ht="16.149999999999999" customHeight="1">
      <c r="A4844" s="877">
        <v>38404</v>
      </c>
      <c r="B4844" s="880">
        <v>2318.12</v>
      </c>
    </row>
    <row r="4845" spans="1:2" ht="16.149999999999999" customHeight="1">
      <c r="A4845" s="877">
        <v>38405</v>
      </c>
      <c r="B4845" s="878">
        <v>2318.12</v>
      </c>
    </row>
    <row r="4846" spans="1:2" ht="16.149999999999999" customHeight="1">
      <c r="A4846" s="877">
        <v>38406</v>
      </c>
      <c r="B4846" s="880">
        <v>2311.83</v>
      </c>
    </row>
    <row r="4847" spans="1:2" ht="16.149999999999999" customHeight="1">
      <c r="A4847" s="877">
        <v>38407</v>
      </c>
      <c r="B4847" s="878">
        <v>2308.58</v>
      </c>
    </row>
    <row r="4848" spans="1:2" ht="16.149999999999999" customHeight="1">
      <c r="A4848" s="877">
        <v>38408</v>
      </c>
      <c r="B4848" s="880">
        <v>2308.6999999999998</v>
      </c>
    </row>
    <row r="4849" spans="1:2" ht="16.149999999999999" customHeight="1">
      <c r="A4849" s="877">
        <v>38409</v>
      </c>
      <c r="B4849" s="878">
        <v>2323.77</v>
      </c>
    </row>
    <row r="4850" spans="1:2" ht="16.149999999999999" customHeight="1">
      <c r="A4850" s="877">
        <v>38410</v>
      </c>
      <c r="B4850" s="880">
        <v>2323.77</v>
      </c>
    </row>
    <row r="4851" spans="1:2" ht="16.149999999999999" customHeight="1">
      <c r="A4851" s="877">
        <v>38411</v>
      </c>
      <c r="B4851" s="878">
        <v>2323.77</v>
      </c>
    </row>
    <row r="4852" spans="1:2" ht="16.149999999999999" customHeight="1">
      <c r="A4852" s="877">
        <v>38412</v>
      </c>
      <c r="B4852" s="880">
        <v>2327.98</v>
      </c>
    </row>
    <row r="4853" spans="1:2" ht="16.149999999999999" customHeight="1">
      <c r="A4853" s="877">
        <v>38413</v>
      </c>
      <c r="B4853" s="878">
        <v>2329.67</v>
      </c>
    </row>
    <row r="4854" spans="1:2" ht="16.149999999999999" customHeight="1">
      <c r="A4854" s="877">
        <v>38414</v>
      </c>
      <c r="B4854" s="880">
        <v>2333.65</v>
      </c>
    </row>
    <row r="4855" spans="1:2" ht="16.149999999999999" customHeight="1">
      <c r="A4855" s="877">
        <v>38415</v>
      </c>
      <c r="B4855" s="878">
        <v>2333.6999999999998</v>
      </c>
    </row>
    <row r="4856" spans="1:2" ht="16.149999999999999" customHeight="1">
      <c r="A4856" s="877">
        <v>38416</v>
      </c>
      <c r="B4856" s="880">
        <v>2338.9299999999998</v>
      </c>
    </row>
    <row r="4857" spans="1:2" ht="16.149999999999999" customHeight="1">
      <c r="A4857" s="877">
        <v>38417</v>
      </c>
      <c r="B4857" s="878">
        <v>2338.9299999999998</v>
      </c>
    </row>
    <row r="4858" spans="1:2" ht="16.149999999999999" customHeight="1">
      <c r="A4858" s="877">
        <v>38418</v>
      </c>
      <c r="B4858" s="880">
        <v>2338.9299999999998</v>
      </c>
    </row>
    <row r="4859" spans="1:2" ht="16.149999999999999" customHeight="1">
      <c r="A4859" s="877">
        <v>38419</v>
      </c>
      <c r="B4859" s="878">
        <v>2324.89</v>
      </c>
    </row>
    <row r="4860" spans="1:2" ht="16.149999999999999" customHeight="1">
      <c r="A4860" s="877">
        <v>38420</v>
      </c>
      <c r="B4860" s="880">
        <v>2325.69</v>
      </c>
    </row>
    <row r="4861" spans="1:2" ht="16.149999999999999" customHeight="1">
      <c r="A4861" s="877">
        <v>38421</v>
      </c>
      <c r="B4861" s="878">
        <v>2334.11</v>
      </c>
    </row>
    <row r="4862" spans="1:2" ht="16.149999999999999" customHeight="1">
      <c r="A4862" s="877">
        <v>38422</v>
      </c>
      <c r="B4862" s="880">
        <v>2340.34</v>
      </c>
    </row>
    <row r="4863" spans="1:2" ht="16.149999999999999" customHeight="1">
      <c r="A4863" s="877">
        <v>38423</v>
      </c>
      <c r="B4863" s="878">
        <v>2332.7199999999998</v>
      </c>
    </row>
    <row r="4864" spans="1:2" ht="16.149999999999999" customHeight="1">
      <c r="A4864" s="877">
        <v>38424</v>
      </c>
      <c r="B4864" s="880">
        <v>2332.7199999999998</v>
      </c>
    </row>
    <row r="4865" spans="1:2" ht="16.149999999999999" customHeight="1">
      <c r="A4865" s="877">
        <v>38425</v>
      </c>
      <c r="B4865" s="878">
        <v>2332.7199999999998</v>
      </c>
    </row>
    <row r="4866" spans="1:2" ht="16.149999999999999" customHeight="1">
      <c r="A4866" s="877">
        <v>38426</v>
      </c>
      <c r="B4866" s="880">
        <v>2346.71</v>
      </c>
    </row>
    <row r="4867" spans="1:2" ht="16.149999999999999" customHeight="1">
      <c r="A4867" s="877">
        <v>38427</v>
      </c>
      <c r="B4867" s="878">
        <v>2362.36</v>
      </c>
    </row>
    <row r="4868" spans="1:2" ht="16.149999999999999" customHeight="1">
      <c r="A4868" s="877">
        <v>38428</v>
      </c>
      <c r="B4868" s="880">
        <v>2386.4699999999998</v>
      </c>
    </row>
    <row r="4869" spans="1:2" ht="16.149999999999999" customHeight="1">
      <c r="A4869" s="877">
        <v>38429</v>
      </c>
      <c r="B4869" s="878">
        <v>2374.46</v>
      </c>
    </row>
    <row r="4870" spans="1:2" ht="16.149999999999999" customHeight="1">
      <c r="A4870" s="877">
        <v>38430</v>
      </c>
      <c r="B4870" s="880">
        <v>2371.4299999999998</v>
      </c>
    </row>
    <row r="4871" spans="1:2" ht="16.149999999999999" customHeight="1">
      <c r="A4871" s="877">
        <v>38431</v>
      </c>
      <c r="B4871" s="878">
        <v>2371.4299999999998</v>
      </c>
    </row>
    <row r="4872" spans="1:2" ht="16.149999999999999" customHeight="1">
      <c r="A4872" s="877">
        <v>38432</v>
      </c>
      <c r="B4872" s="880">
        <v>2371.4299999999998</v>
      </c>
    </row>
    <row r="4873" spans="1:2" ht="16.149999999999999" customHeight="1">
      <c r="A4873" s="877">
        <v>38433</v>
      </c>
      <c r="B4873" s="878">
        <v>2371.4299999999998</v>
      </c>
    </row>
    <row r="4874" spans="1:2" ht="16.149999999999999" customHeight="1">
      <c r="A4874" s="877">
        <v>38434</v>
      </c>
      <c r="B4874" s="880">
        <v>2361.7800000000002</v>
      </c>
    </row>
    <row r="4875" spans="1:2" ht="16.149999999999999" customHeight="1">
      <c r="A4875" s="877">
        <v>38435</v>
      </c>
      <c r="B4875" s="878">
        <v>2382.3000000000002</v>
      </c>
    </row>
    <row r="4876" spans="1:2" ht="16.149999999999999" customHeight="1">
      <c r="A4876" s="877">
        <v>38436</v>
      </c>
      <c r="B4876" s="880">
        <v>2382.3000000000002</v>
      </c>
    </row>
    <row r="4877" spans="1:2" ht="16.149999999999999" customHeight="1">
      <c r="A4877" s="877">
        <v>38437</v>
      </c>
      <c r="B4877" s="878">
        <v>2382.3000000000002</v>
      </c>
    </row>
    <row r="4878" spans="1:2" ht="16.149999999999999" customHeight="1">
      <c r="A4878" s="877">
        <v>38438</v>
      </c>
      <c r="B4878" s="880">
        <v>2382.3000000000002</v>
      </c>
    </row>
    <row r="4879" spans="1:2" ht="16.149999999999999" customHeight="1">
      <c r="A4879" s="877">
        <v>38439</v>
      </c>
      <c r="B4879" s="878">
        <v>2382.3000000000002</v>
      </c>
    </row>
    <row r="4880" spans="1:2" ht="16.149999999999999" customHeight="1">
      <c r="A4880" s="877">
        <v>38440</v>
      </c>
      <c r="B4880" s="880">
        <v>2397.25</v>
      </c>
    </row>
    <row r="4881" spans="1:2" ht="16.149999999999999" customHeight="1">
      <c r="A4881" s="877">
        <v>38441</v>
      </c>
      <c r="B4881" s="878">
        <v>2393.3200000000002</v>
      </c>
    </row>
    <row r="4882" spans="1:2" ht="16.149999999999999" customHeight="1">
      <c r="A4882" s="877">
        <v>38442</v>
      </c>
      <c r="B4882" s="880">
        <v>2376.48</v>
      </c>
    </row>
    <row r="4883" spans="1:2" ht="16.149999999999999" customHeight="1">
      <c r="A4883" s="877">
        <v>38443</v>
      </c>
      <c r="B4883" s="878">
        <v>2363.23</v>
      </c>
    </row>
    <row r="4884" spans="1:2" ht="16.149999999999999" customHeight="1">
      <c r="A4884" s="877">
        <v>38444</v>
      </c>
      <c r="B4884" s="880">
        <v>2365.98</v>
      </c>
    </row>
    <row r="4885" spans="1:2" ht="16.149999999999999" customHeight="1">
      <c r="A4885" s="877">
        <v>38445</v>
      </c>
      <c r="B4885" s="878">
        <v>2365.98</v>
      </c>
    </row>
    <row r="4886" spans="1:2" ht="16.149999999999999" customHeight="1">
      <c r="A4886" s="877">
        <v>38446</v>
      </c>
      <c r="B4886" s="880">
        <v>2365.98</v>
      </c>
    </row>
    <row r="4887" spans="1:2" ht="16.149999999999999" customHeight="1">
      <c r="A4887" s="877">
        <v>38447</v>
      </c>
      <c r="B4887" s="878">
        <v>2374.4699999999998</v>
      </c>
    </row>
    <row r="4888" spans="1:2" ht="16.149999999999999" customHeight="1">
      <c r="A4888" s="877">
        <v>38448</v>
      </c>
      <c r="B4888" s="880">
        <v>2369.67</v>
      </c>
    </row>
    <row r="4889" spans="1:2" ht="16.149999999999999" customHeight="1">
      <c r="A4889" s="877">
        <v>38449</v>
      </c>
      <c r="B4889" s="878">
        <v>2362.2800000000002</v>
      </c>
    </row>
    <row r="4890" spans="1:2" ht="16.149999999999999" customHeight="1">
      <c r="A4890" s="877">
        <v>38450</v>
      </c>
      <c r="B4890" s="880">
        <v>2353.16</v>
      </c>
    </row>
    <row r="4891" spans="1:2" ht="16.149999999999999" customHeight="1">
      <c r="A4891" s="877">
        <v>38451</v>
      </c>
      <c r="B4891" s="878">
        <v>2349.8000000000002</v>
      </c>
    </row>
    <row r="4892" spans="1:2" ht="16.149999999999999" customHeight="1">
      <c r="A4892" s="877">
        <v>38452</v>
      </c>
      <c r="B4892" s="880">
        <v>2349.8000000000002</v>
      </c>
    </row>
    <row r="4893" spans="1:2" ht="16.149999999999999" customHeight="1">
      <c r="A4893" s="877">
        <v>38453</v>
      </c>
      <c r="B4893" s="878">
        <v>2349.8000000000002</v>
      </c>
    </row>
    <row r="4894" spans="1:2" ht="16.149999999999999" customHeight="1">
      <c r="A4894" s="877">
        <v>38454</v>
      </c>
      <c r="B4894" s="880">
        <v>2331.9499999999998</v>
      </c>
    </row>
    <row r="4895" spans="1:2" ht="16.149999999999999" customHeight="1">
      <c r="A4895" s="877">
        <v>38455</v>
      </c>
      <c r="B4895" s="878">
        <v>2335.4</v>
      </c>
    </row>
    <row r="4896" spans="1:2" ht="16.149999999999999" customHeight="1">
      <c r="A4896" s="877">
        <v>38456</v>
      </c>
      <c r="B4896" s="880">
        <v>2328.7399999999998</v>
      </c>
    </row>
    <row r="4897" spans="1:2" ht="16.149999999999999" customHeight="1">
      <c r="A4897" s="877">
        <v>38457</v>
      </c>
      <c r="B4897" s="878">
        <v>2346.09</v>
      </c>
    </row>
    <row r="4898" spans="1:2" ht="16.149999999999999" customHeight="1">
      <c r="A4898" s="877">
        <v>38458</v>
      </c>
      <c r="B4898" s="880">
        <v>2363.96</v>
      </c>
    </row>
    <row r="4899" spans="1:2" ht="16.149999999999999" customHeight="1">
      <c r="A4899" s="877">
        <v>38459</v>
      </c>
      <c r="B4899" s="878">
        <v>2363.96</v>
      </c>
    </row>
    <row r="4900" spans="1:2" ht="16.149999999999999" customHeight="1">
      <c r="A4900" s="877">
        <v>38460</v>
      </c>
      <c r="B4900" s="880">
        <v>2363.96</v>
      </c>
    </row>
    <row r="4901" spans="1:2" ht="16.149999999999999" customHeight="1">
      <c r="A4901" s="877">
        <v>38461</v>
      </c>
      <c r="B4901" s="878">
        <v>2363.3000000000002</v>
      </c>
    </row>
    <row r="4902" spans="1:2" ht="16.149999999999999" customHeight="1">
      <c r="A4902" s="877">
        <v>38462</v>
      </c>
      <c r="B4902" s="880">
        <v>2355.64</v>
      </c>
    </row>
    <row r="4903" spans="1:2" ht="16.149999999999999" customHeight="1">
      <c r="A4903" s="877">
        <v>38463</v>
      </c>
      <c r="B4903" s="878">
        <v>2344.4499999999998</v>
      </c>
    </row>
    <row r="4904" spans="1:2" ht="16.149999999999999" customHeight="1">
      <c r="A4904" s="877">
        <v>38464</v>
      </c>
      <c r="B4904" s="880">
        <v>2336.35</v>
      </c>
    </row>
    <row r="4905" spans="1:2" ht="16.149999999999999" customHeight="1">
      <c r="A4905" s="877">
        <v>38465</v>
      </c>
      <c r="B4905" s="878">
        <v>2336.25</v>
      </c>
    </row>
    <row r="4906" spans="1:2" ht="16.149999999999999" customHeight="1">
      <c r="A4906" s="877">
        <v>38466</v>
      </c>
      <c r="B4906" s="880">
        <v>2336.25</v>
      </c>
    </row>
    <row r="4907" spans="1:2" ht="16.149999999999999" customHeight="1">
      <c r="A4907" s="877">
        <v>38467</v>
      </c>
      <c r="B4907" s="878">
        <v>2336.25</v>
      </c>
    </row>
    <row r="4908" spans="1:2" ht="16.149999999999999" customHeight="1">
      <c r="A4908" s="877">
        <v>38468</v>
      </c>
      <c r="B4908" s="880">
        <v>2343.9699999999998</v>
      </c>
    </row>
    <row r="4909" spans="1:2" ht="16.149999999999999" customHeight="1">
      <c r="A4909" s="877">
        <v>38469</v>
      </c>
      <c r="B4909" s="878">
        <v>2342.56</v>
      </c>
    </row>
    <row r="4910" spans="1:2" ht="16.149999999999999" customHeight="1">
      <c r="A4910" s="877">
        <v>38470</v>
      </c>
      <c r="B4910" s="880">
        <v>2338.0700000000002</v>
      </c>
    </row>
    <row r="4911" spans="1:2" ht="16.149999999999999" customHeight="1">
      <c r="A4911" s="877">
        <v>38471</v>
      </c>
      <c r="B4911" s="878">
        <v>2344.87</v>
      </c>
    </row>
    <row r="4912" spans="1:2" ht="16.149999999999999" customHeight="1">
      <c r="A4912" s="877">
        <v>38472</v>
      </c>
      <c r="B4912" s="880">
        <v>2348.3200000000002</v>
      </c>
    </row>
    <row r="4913" spans="1:2" ht="16.149999999999999" customHeight="1">
      <c r="A4913" s="877">
        <v>38473</v>
      </c>
      <c r="B4913" s="878">
        <v>2348.3200000000002</v>
      </c>
    </row>
    <row r="4914" spans="1:2" ht="16.149999999999999" customHeight="1">
      <c r="A4914" s="877">
        <v>38474</v>
      </c>
      <c r="B4914" s="880">
        <v>2348.3200000000002</v>
      </c>
    </row>
    <row r="4915" spans="1:2" ht="16.149999999999999" customHeight="1">
      <c r="A4915" s="877">
        <v>38475</v>
      </c>
      <c r="B4915" s="878">
        <v>2349.59</v>
      </c>
    </row>
    <row r="4916" spans="1:2" ht="16.149999999999999" customHeight="1">
      <c r="A4916" s="877">
        <v>38476</v>
      </c>
      <c r="B4916" s="880">
        <v>2345.4499999999998</v>
      </c>
    </row>
    <row r="4917" spans="1:2" ht="16.149999999999999" customHeight="1">
      <c r="A4917" s="877">
        <v>38477</v>
      </c>
      <c r="B4917" s="878">
        <v>2337.08</v>
      </c>
    </row>
    <row r="4918" spans="1:2" ht="16.149999999999999" customHeight="1">
      <c r="A4918" s="877">
        <v>38478</v>
      </c>
      <c r="B4918" s="880">
        <v>2338.44</v>
      </c>
    </row>
    <row r="4919" spans="1:2" ht="16.149999999999999" customHeight="1">
      <c r="A4919" s="877">
        <v>38479</v>
      </c>
      <c r="B4919" s="878">
        <v>2339.06</v>
      </c>
    </row>
    <row r="4920" spans="1:2" ht="16.149999999999999" customHeight="1">
      <c r="A4920" s="877">
        <v>38480</v>
      </c>
      <c r="B4920" s="880">
        <v>2339.06</v>
      </c>
    </row>
    <row r="4921" spans="1:2" ht="16.149999999999999" customHeight="1">
      <c r="A4921" s="877">
        <v>38481</v>
      </c>
      <c r="B4921" s="878">
        <v>2339.06</v>
      </c>
    </row>
    <row r="4922" spans="1:2" ht="16.149999999999999" customHeight="1">
      <c r="A4922" s="877">
        <v>38482</v>
      </c>
      <c r="B4922" s="880">
        <v>2339.06</v>
      </c>
    </row>
    <row r="4923" spans="1:2" ht="16.149999999999999" customHeight="1">
      <c r="A4923" s="877">
        <v>38483</v>
      </c>
      <c r="B4923" s="878">
        <v>2339.77</v>
      </c>
    </row>
    <row r="4924" spans="1:2" ht="16.149999999999999" customHeight="1">
      <c r="A4924" s="877">
        <v>38484</v>
      </c>
      <c r="B4924" s="880">
        <v>2340.9899999999998</v>
      </c>
    </row>
    <row r="4925" spans="1:2" ht="16.149999999999999" customHeight="1">
      <c r="A4925" s="877">
        <v>38485</v>
      </c>
      <c r="B4925" s="878">
        <v>2344</v>
      </c>
    </row>
    <row r="4926" spans="1:2" ht="16.149999999999999" customHeight="1">
      <c r="A4926" s="877">
        <v>38486</v>
      </c>
      <c r="B4926" s="880">
        <v>2348.69</v>
      </c>
    </row>
    <row r="4927" spans="1:2" ht="16.149999999999999" customHeight="1">
      <c r="A4927" s="877">
        <v>38487</v>
      </c>
      <c r="B4927" s="878">
        <v>2348.69</v>
      </c>
    </row>
    <row r="4928" spans="1:2" ht="16.149999999999999" customHeight="1">
      <c r="A4928" s="877">
        <v>38488</v>
      </c>
      <c r="B4928" s="880">
        <v>2348.69</v>
      </c>
    </row>
    <row r="4929" spans="1:2" ht="16.149999999999999" customHeight="1">
      <c r="A4929" s="877">
        <v>38489</v>
      </c>
      <c r="B4929" s="878">
        <v>2347.25</v>
      </c>
    </row>
    <row r="4930" spans="1:2" ht="16.149999999999999" customHeight="1">
      <c r="A4930" s="877">
        <v>38490</v>
      </c>
      <c r="B4930" s="880">
        <v>2341.7199999999998</v>
      </c>
    </row>
    <row r="4931" spans="1:2" ht="16.149999999999999" customHeight="1">
      <c r="A4931" s="877">
        <v>38491</v>
      </c>
      <c r="B4931" s="878">
        <v>2339.44</v>
      </c>
    </row>
    <row r="4932" spans="1:2" ht="16.149999999999999" customHeight="1">
      <c r="A4932" s="877">
        <v>38492</v>
      </c>
      <c r="B4932" s="880">
        <v>2336.9899999999998</v>
      </c>
    </row>
    <row r="4933" spans="1:2" ht="16.149999999999999" customHeight="1">
      <c r="A4933" s="877">
        <v>38493</v>
      </c>
      <c r="B4933" s="878">
        <v>2337</v>
      </c>
    </row>
    <row r="4934" spans="1:2" ht="16.149999999999999" customHeight="1">
      <c r="A4934" s="877">
        <v>38494</v>
      </c>
      <c r="B4934" s="880">
        <v>2337</v>
      </c>
    </row>
    <row r="4935" spans="1:2" ht="16.149999999999999" customHeight="1">
      <c r="A4935" s="877">
        <v>38495</v>
      </c>
      <c r="B4935" s="878">
        <v>2337</v>
      </c>
    </row>
    <row r="4936" spans="1:2" ht="16.149999999999999" customHeight="1">
      <c r="A4936" s="877">
        <v>38496</v>
      </c>
      <c r="B4936" s="880">
        <v>2329.0500000000002</v>
      </c>
    </row>
    <row r="4937" spans="1:2" ht="16.149999999999999" customHeight="1">
      <c r="A4937" s="877">
        <v>38497</v>
      </c>
      <c r="B4937" s="878">
        <v>2328.69</v>
      </c>
    </row>
    <row r="4938" spans="1:2" ht="16.149999999999999" customHeight="1">
      <c r="A4938" s="877">
        <v>38498</v>
      </c>
      <c r="B4938" s="880">
        <v>2329.35</v>
      </c>
    </row>
    <row r="4939" spans="1:2" ht="16.149999999999999" customHeight="1">
      <c r="A4939" s="877">
        <v>38499</v>
      </c>
      <c r="B4939" s="878">
        <v>2330.79</v>
      </c>
    </row>
    <row r="4940" spans="1:2" ht="16.149999999999999" customHeight="1">
      <c r="A4940" s="877">
        <v>38500</v>
      </c>
      <c r="B4940" s="880">
        <v>2332.79</v>
      </c>
    </row>
    <row r="4941" spans="1:2" ht="16.149999999999999" customHeight="1">
      <c r="A4941" s="877">
        <v>38501</v>
      </c>
      <c r="B4941" s="878">
        <v>2332.79</v>
      </c>
    </row>
    <row r="4942" spans="1:2" ht="16.149999999999999" customHeight="1">
      <c r="A4942" s="877">
        <v>38502</v>
      </c>
      <c r="B4942" s="880">
        <v>2332.79</v>
      </c>
    </row>
    <row r="4943" spans="1:2" ht="16.149999999999999" customHeight="1">
      <c r="A4943" s="877">
        <v>38503</v>
      </c>
      <c r="B4943" s="878">
        <v>2332.79</v>
      </c>
    </row>
    <row r="4944" spans="1:2" ht="16.149999999999999" customHeight="1">
      <c r="A4944" s="877">
        <v>38504</v>
      </c>
      <c r="B4944" s="880">
        <v>2338.89</v>
      </c>
    </row>
    <row r="4945" spans="1:2" ht="16.149999999999999" customHeight="1">
      <c r="A4945" s="877">
        <v>38505</v>
      </c>
      <c r="B4945" s="878">
        <v>2339.67</v>
      </c>
    </row>
    <row r="4946" spans="1:2" ht="16.149999999999999" customHeight="1">
      <c r="A4946" s="877">
        <v>38506</v>
      </c>
      <c r="B4946" s="880">
        <v>2336.65</v>
      </c>
    </row>
    <row r="4947" spans="1:2" ht="16.149999999999999" customHeight="1">
      <c r="A4947" s="877">
        <v>38507</v>
      </c>
      <c r="B4947" s="878">
        <v>2330.9299999999998</v>
      </c>
    </row>
    <row r="4948" spans="1:2" ht="16.149999999999999" customHeight="1">
      <c r="A4948" s="877">
        <v>38508</v>
      </c>
      <c r="B4948" s="880">
        <v>2330.9299999999998</v>
      </c>
    </row>
    <row r="4949" spans="1:2" ht="16.149999999999999" customHeight="1">
      <c r="A4949" s="877">
        <v>38509</v>
      </c>
      <c r="B4949" s="878">
        <v>2330.9299999999998</v>
      </c>
    </row>
    <row r="4950" spans="1:2" ht="16.149999999999999" customHeight="1">
      <c r="A4950" s="877">
        <v>38510</v>
      </c>
      <c r="B4950" s="880">
        <v>2330.9299999999998</v>
      </c>
    </row>
    <row r="4951" spans="1:2" ht="16.149999999999999" customHeight="1">
      <c r="A4951" s="877">
        <v>38511</v>
      </c>
      <c r="B4951" s="878">
        <v>2331.38</v>
      </c>
    </row>
    <row r="4952" spans="1:2" ht="16.149999999999999" customHeight="1">
      <c r="A4952" s="877">
        <v>38512</v>
      </c>
      <c r="B4952" s="880">
        <v>2347.83</v>
      </c>
    </row>
    <row r="4953" spans="1:2" ht="16.149999999999999" customHeight="1">
      <c r="A4953" s="877">
        <v>38513</v>
      </c>
      <c r="B4953" s="878">
        <v>2361.41</v>
      </c>
    </row>
    <row r="4954" spans="1:2" ht="16.149999999999999" customHeight="1">
      <c r="A4954" s="877">
        <v>38514</v>
      </c>
      <c r="B4954" s="880">
        <v>2349.17</v>
      </c>
    </row>
    <row r="4955" spans="1:2" ht="16.149999999999999" customHeight="1">
      <c r="A4955" s="877">
        <v>38515</v>
      </c>
      <c r="B4955" s="878">
        <v>2349.17</v>
      </c>
    </row>
    <row r="4956" spans="1:2" ht="16.149999999999999" customHeight="1">
      <c r="A4956" s="877">
        <v>38516</v>
      </c>
      <c r="B4956" s="880">
        <v>2349.17</v>
      </c>
    </row>
    <row r="4957" spans="1:2" ht="16.149999999999999" customHeight="1">
      <c r="A4957" s="877">
        <v>38517</v>
      </c>
      <c r="B4957" s="878">
        <v>2345.6</v>
      </c>
    </row>
    <row r="4958" spans="1:2" ht="16.149999999999999" customHeight="1">
      <c r="A4958" s="877">
        <v>38518</v>
      </c>
      <c r="B4958" s="880">
        <v>2334.27</v>
      </c>
    </row>
    <row r="4959" spans="1:2" ht="16.149999999999999" customHeight="1">
      <c r="A4959" s="877">
        <v>38519</v>
      </c>
      <c r="B4959" s="878">
        <v>2330.33</v>
      </c>
    </row>
    <row r="4960" spans="1:2" ht="16.149999999999999" customHeight="1">
      <c r="A4960" s="877">
        <v>38520</v>
      </c>
      <c r="B4960" s="880">
        <v>2326.4299999999998</v>
      </c>
    </row>
    <row r="4961" spans="1:2" ht="16.149999999999999" customHeight="1">
      <c r="A4961" s="877">
        <v>38521</v>
      </c>
      <c r="B4961" s="878">
        <v>2322.0500000000002</v>
      </c>
    </row>
    <row r="4962" spans="1:2" ht="16.149999999999999" customHeight="1">
      <c r="A4962" s="877">
        <v>38522</v>
      </c>
      <c r="B4962" s="880">
        <v>2322.0500000000002</v>
      </c>
    </row>
    <row r="4963" spans="1:2" ht="16.149999999999999" customHeight="1">
      <c r="A4963" s="877">
        <v>38523</v>
      </c>
      <c r="B4963" s="878">
        <v>2322.0500000000002</v>
      </c>
    </row>
    <row r="4964" spans="1:2" ht="16.149999999999999" customHeight="1">
      <c r="A4964" s="877">
        <v>38524</v>
      </c>
      <c r="B4964" s="880">
        <v>2319.11</v>
      </c>
    </row>
    <row r="4965" spans="1:2" ht="16.149999999999999" customHeight="1">
      <c r="A4965" s="877">
        <v>38525</v>
      </c>
      <c r="B4965" s="878">
        <v>2314.89</v>
      </c>
    </row>
    <row r="4966" spans="1:2" ht="16.149999999999999" customHeight="1">
      <c r="A4966" s="877">
        <v>38526</v>
      </c>
      <c r="B4966" s="880">
        <v>2316.4499999999998</v>
      </c>
    </row>
    <row r="4967" spans="1:2" ht="16.149999999999999" customHeight="1">
      <c r="A4967" s="877">
        <v>38527</v>
      </c>
      <c r="B4967" s="878">
        <v>2319.27</v>
      </c>
    </row>
    <row r="4968" spans="1:2" ht="16.149999999999999" customHeight="1">
      <c r="A4968" s="877">
        <v>38528</v>
      </c>
      <c r="B4968" s="880">
        <v>2320.29</v>
      </c>
    </row>
    <row r="4969" spans="1:2" ht="16.149999999999999" customHeight="1">
      <c r="A4969" s="877">
        <v>38529</v>
      </c>
      <c r="B4969" s="878">
        <v>2320.29</v>
      </c>
    </row>
    <row r="4970" spans="1:2" ht="16.149999999999999" customHeight="1">
      <c r="A4970" s="877">
        <v>38530</v>
      </c>
      <c r="B4970" s="880">
        <v>2320.29</v>
      </c>
    </row>
    <row r="4971" spans="1:2" ht="16.149999999999999" customHeight="1">
      <c r="A4971" s="877">
        <v>38531</v>
      </c>
      <c r="B4971" s="878">
        <v>2323.19</v>
      </c>
    </row>
    <row r="4972" spans="1:2" ht="16.149999999999999" customHeight="1">
      <c r="A4972" s="877">
        <v>38532</v>
      </c>
      <c r="B4972" s="880">
        <v>2327.9</v>
      </c>
    </row>
    <row r="4973" spans="1:2" ht="16.149999999999999" customHeight="1">
      <c r="A4973" s="877">
        <v>38533</v>
      </c>
      <c r="B4973" s="878">
        <v>2331.81</v>
      </c>
    </row>
    <row r="4974" spans="1:2" ht="16.149999999999999" customHeight="1">
      <c r="A4974" s="877">
        <v>38534</v>
      </c>
      <c r="B4974" s="880">
        <v>2324.2199999999998</v>
      </c>
    </row>
    <row r="4975" spans="1:2" ht="16.149999999999999" customHeight="1">
      <c r="A4975" s="877">
        <v>38535</v>
      </c>
      <c r="B4975" s="878">
        <v>2324.69</v>
      </c>
    </row>
    <row r="4976" spans="1:2" ht="16.149999999999999" customHeight="1">
      <c r="A4976" s="877">
        <v>38536</v>
      </c>
      <c r="B4976" s="880">
        <v>2324.69</v>
      </c>
    </row>
    <row r="4977" spans="1:2" ht="16.149999999999999" customHeight="1">
      <c r="A4977" s="877">
        <v>38537</v>
      </c>
      <c r="B4977" s="878">
        <v>2324.69</v>
      </c>
    </row>
    <row r="4978" spans="1:2" ht="16.149999999999999" customHeight="1">
      <c r="A4978" s="877">
        <v>38538</v>
      </c>
      <c r="B4978" s="880">
        <v>2324.69</v>
      </c>
    </row>
    <row r="4979" spans="1:2" ht="16.149999999999999" customHeight="1">
      <c r="A4979" s="877">
        <v>38539</v>
      </c>
      <c r="B4979" s="878">
        <v>2338.17</v>
      </c>
    </row>
    <row r="4980" spans="1:2" ht="16.149999999999999" customHeight="1">
      <c r="A4980" s="877">
        <v>38540</v>
      </c>
      <c r="B4980" s="880">
        <v>2338.86</v>
      </c>
    </row>
    <row r="4981" spans="1:2" ht="16.149999999999999" customHeight="1">
      <c r="A4981" s="877">
        <v>38541</v>
      </c>
      <c r="B4981" s="878">
        <v>2332.6999999999998</v>
      </c>
    </row>
    <row r="4982" spans="1:2" ht="16.149999999999999" customHeight="1">
      <c r="A4982" s="877">
        <v>38542</v>
      </c>
      <c r="B4982" s="880">
        <v>2330.7199999999998</v>
      </c>
    </row>
    <row r="4983" spans="1:2" ht="16.149999999999999" customHeight="1">
      <c r="A4983" s="877">
        <v>38543</v>
      </c>
      <c r="B4983" s="878">
        <v>2330.7199999999998</v>
      </c>
    </row>
    <row r="4984" spans="1:2" ht="16.149999999999999" customHeight="1">
      <c r="A4984" s="877">
        <v>38544</v>
      </c>
      <c r="B4984" s="880">
        <v>2330.7199999999998</v>
      </c>
    </row>
    <row r="4985" spans="1:2" ht="16.149999999999999" customHeight="1">
      <c r="A4985" s="877">
        <v>38545</v>
      </c>
      <c r="B4985" s="878">
        <v>2324.37</v>
      </c>
    </row>
    <row r="4986" spans="1:2" ht="16.149999999999999" customHeight="1">
      <c r="A4986" s="877">
        <v>38546</v>
      </c>
      <c r="B4986" s="880">
        <v>2323.08</v>
      </c>
    </row>
    <row r="4987" spans="1:2" ht="16.149999999999999" customHeight="1">
      <c r="A4987" s="877">
        <v>38547</v>
      </c>
      <c r="B4987" s="878">
        <v>2326.09</v>
      </c>
    </row>
    <row r="4988" spans="1:2" ht="16.149999999999999" customHeight="1">
      <c r="A4988" s="877">
        <v>38548</v>
      </c>
      <c r="B4988" s="880">
        <v>2329.4</v>
      </c>
    </row>
    <row r="4989" spans="1:2" ht="16.149999999999999" customHeight="1">
      <c r="A4989" s="877">
        <v>38549</v>
      </c>
      <c r="B4989" s="878">
        <v>2332.0700000000002</v>
      </c>
    </row>
    <row r="4990" spans="1:2" ht="16.149999999999999" customHeight="1">
      <c r="A4990" s="877">
        <v>38550</v>
      </c>
      <c r="B4990" s="880">
        <v>2332.0700000000002</v>
      </c>
    </row>
    <row r="4991" spans="1:2" ht="16.149999999999999" customHeight="1">
      <c r="A4991" s="877">
        <v>38551</v>
      </c>
      <c r="B4991" s="878">
        <v>2332.0700000000002</v>
      </c>
    </row>
    <row r="4992" spans="1:2" ht="16.149999999999999" customHeight="1">
      <c r="A4992" s="877">
        <v>38552</v>
      </c>
      <c r="B4992" s="880">
        <v>2320.2600000000002</v>
      </c>
    </row>
    <row r="4993" spans="1:2" ht="16.149999999999999" customHeight="1">
      <c r="A4993" s="877">
        <v>38553</v>
      </c>
      <c r="B4993" s="878">
        <v>2312.73</v>
      </c>
    </row>
    <row r="4994" spans="1:2" ht="16.149999999999999" customHeight="1">
      <c r="A4994" s="877">
        <v>38554</v>
      </c>
      <c r="B4994" s="880">
        <v>2312.73</v>
      </c>
    </row>
    <row r="4995" spans="1:2" ht="16.149999999999999" customHeight="1">
      <c r="A4995" s="877">
        <v>38555</v>
      </c>
      <c r="B4995" s="878">
        <v>2312.8200000000002</v>
      </c>
    </row>
    <row r="4996" spans="1:2" ht="16.149999999999999" customHeight="1">
      <c r="A4996" s="877">
        <v>38556</v>
      </c>
      <c r="B4996" s="880">
        <v>2316.42</v>
      </c>
    </row>
    <row r="4997" spans="1:2" ht="16.149999999999999" customHeight="1">
      <c r="A4997" s="877">
        <v>38557</v>
      </c>
      <c r="B4997" s="878">
        <v>2316.42</v>
      </c>
    </row>
    <row r="4998" spans="1:2" ht="16.149999999999999" customHeight="1">
      <c r="A4998" s="877">
        <v>38558</v>
      </c>
      <c r="B4998" s="880">
        <v>2316.42</v>
      </c>
    </row>
    <row r="4999" spans="1:2" ht="16.149999999999999" customHeight="1">
      <c r="A4999" s="877">
        <v>38559</v>
      </c>
      <c r="B4999" s="878">
        <v>2315.39</v>
      </c>
    </row>
    <row r="5000" spans="1:2" ht="16.149999999999999" customHeight="1">
      <c r="A5000" s="877">
        <v>38560</v>
      </c>
      <c r="B5000" s="880">
        <v>2316.9299999999998</v>
      </c>
    </row>
    <row r="5001" spans="1:2" ht="16.149999999999999" customHeight="1">
      <c r="A5001" s="877">
        <v>38561</v>
      </c>
      <c r="B5001" s="878">
        <v>2313.84</v>
      </c>
    </row>
    <row r="5002" spans="1:2" ht="16.149999999999999" customHeight="1">
      <c r="A5002" s="877">
        <v>38562</v>
      </c>
      <c r="B5002" s="880">
        <v>2311.4299999999998</v>
      </c>
    </row>
    <row r="5003" spans="1:2" ht="16.149999999999999" customHeight="1">
      <c r="A5003" s="877">
        <v>38563</v>
      </c>
      <c r="B5003" s="878">
        <v>2308.4899999999998</v>
      </c>
    </row>
    <row r="5004" spans="1:2" ht="16.149999999999999" customHeight="1">
      <c r="A5004" s="877">
        <v>38564</v>
      </c>
      <c r="B5004" s="880">
        <v>2308.4899999999998</v>
      </c>
    </row>
    <row r="5005" spans="1:2" ht="16.149999999999999" customHeight="1">
      <c r="A5005" s="877">
        <v>38565</v>
      </c>
      <c r="B5005" s="878">
        <v>2308.4899999999998</v>
      </c>
    </row>
    <row r="5006" spans="1:2" ht="16.149999999999999" customHeight="1">
      <c r="A5006" s="877">
        <v>38566</v>
      </c>
      <c r="B5006" s="880">
        <v>2308.42</v>
      </c>
    </row>
    <row r="5007" spans="1:2" ht="16.149999999999999" customHeight="1">
      <c r="A5007" s="877">
        <v>38567</v>
      </c>
      <c r="B5007" s="878">
        <v>2305.9499999999998</v>
      </c>
    </row>
    <row r="5008" spans="1:2" ht="16.149999999999999" customHeight="1">
      <c r="A5008" s="877">
        <v>38568</v>
      </c>
      <c r="B5008" s="880">
        <v>2306.5100000000002</v>
      </c>
    </row>
    <row r="5009" spans="1:2" ht="16.149999999999999" customHeight="1">
      <c r="A5009" s="877">
        <v>38569</v>
      </c>
      <c r="B5009" s="878">
        <v>2307.4</v>
      </c>
    </row>
    <row r="5010" spans="1:2" ht="16.149999999999999" customHeight="1">
      <c r="A5010" s="877">
        <v>38570</v>
      </c>
      <c r="B5010" s="880">
        <v>2307.69</v>
      </c>
    </row>
    <row r="5011" spans="1:2" ht="16.149999999999999" customHeight="1">
      <c r="A5011" s="877">
        <v>38571</v>
      </c>
      <c r="B5011" s="878">
        <v>2307.69</v>
      </c>
    </row>
    <row r="5012" spans="1:2" ht="16.149999999999999" customHeight="1">
      <c r="A5012" s="877">
        <v>38572</v>
      </c>
      <c r="B5012" s="880">
        <v>2307.69</v>
      </c>
    </row>
    <row r="5013" spans="1:2" ht="16.149999999999999" customHeight="1">
      <c r="A5013" s="877">
        <v>38573</v>
      </c>
      <c r="B5013" s="878">
        <v>2308.3000000000002</v>
      </c>
    </row>
    <row r="5014" spans="1:2" ht="16.149999999999999" customHeight="1">
      <c r="A5014" s="877">
        <v>38574</v>
      </c>
      <c r="B5014" s="880">
        <v>2305.63</v>
      </c>
    </row>
    <row r="5015" spans="1:2" ht="16.149999999999999" customHeight="1">
      <c r="A5015" s="877">
        <v>38575</v>
      </c>
      <c r="B5015" s="878">
        <v>2299.75</v>
      </c>
    </row>
    <row r="5016" spans="1:2" ht="16.149999999999999" customHeight="1">
      <c r="A5016" s="877">
        <v>38576</v>
      </c>
      <c r="B5016" s="880">
        <v>2313.52</v>
      </c>
    </row>
    <row r="5017" spans="1:2" ht="16.149999999999999" customHeight="1">
      <c r="A5017" s="877">
        <v>38577</v>
      </c>
      <c r="B5017" s="878">
        <v>2308.38</v>
      </c>
    </row>
    <row r="5018" spans="1:2" ht="16.149999999999999" customHeight="1">
      <c r="A5018" s="877">
        <v>38578</v>
      </c>
      <c r="B5018" s="880">
        <v>2308.38</v>
      </c>
    </row>
    <row r="5019" spans="1:2" ht="16.149999999999999" customHeight="1">
      <c r="A5019" s="877">
        <v>38579</v>
      </c>
      <c r="B5019" s="878">
        <v>2308.38</v>
      </c>
    </row>
    <row r="5020" spans="1:2" ht="16.149999999999999" customHeight="1">
      <c r="A5020" s="877">
        <v>38580</v>
      </c>
      <c r="B5020" s="880">
        <v>2308.38</v>
      </c>
    </row>
    <row r="5021" spans="1:2" ht="16.149999999999999" customHeight="1">
      <c r="A5021" s="877">
        <v>38581</v>
      </c>
      <c r="B5021" s="878">
        <v>2301.7399999999998</v>
      </c>
    </row>
    <row r="5022" spans="1:2" ht="16.149999999999999" customHeight="1">
      <c r="A5022" s="877">
        <v>38582</v>
      </c>
      <c r="B5022" s="880">
        <v>2303.1999999999998</v>
      </c>
    </row>
    <row r="5023" spans="1:2" ht="16.149999999999999" customHeight="1">
      <c r="A5023" s="877">
        <v>38583</v>
      </c>
      <c r="B5023" s="878">
        <v>2307.4499999999998</v>
      </c>
    </row>
    <row r="5024" spans="1:2" ht="16.149999999999999" customHeight="1">
      <c r="A5024" s="877">
        <v>38584</v>
      </c>
      <c r="B5024" s="880">
        <v>2309.83</v>
      </c>
    </row>
    <row r="5025" spans="1:2" ht="16.149999999999999" customHeight="1">
      <c r="A5025" s="877">
        <v>38585</v>
      </c>
      <c r="B5025" s="878">
        <v>2309.83</v>
      </c>
    </row>
    <row r="5026" spans="1:2" ht="16.149999999999999" customHeight="1">
      <c r="A5026" s="877">
        <v>38586</v>
      </c>
      <c r="B5026" s="880">
        <v>2309.83</v>
      </c>
    </row>
    <row r="5027" spans="1:2" ht="16.149999999999999" customHeight="1">
      <c r="A5027" s="877">
        <v>38587</v>
      </c>
      <c r="B5027" s="878">
        <v>2304.2600000000002</v>
      </c>
    </row>
    <row r="5028" spans="1:2" ht="16.149999999999999" customHeight="1">
      <c r="A5028" s="877">
        <v>38588</v>
      </c>
      <c r="B5028" s="880">
        <v>2302.59</v>
      </c>
    </row>
    <row r="5029" spans="1:2" ht="16.149999999999999" customHeight="1">
      <c r="A5029" s="877">
        <v>38589</v>
      </c>
      <c r="B5029" s="878">
        <v>2305.0500000000002</v>
      </c>
    </row>
    <row r="5030" spans="1:2" ht="16.149999999999999" customHeight="1">
      <c r="A5030" s="877">
        <v>38590</v>
      </c>
      <c r="B5030" s="880">
        <v>2305.87</v>
      </c>
    </row>
    <row r="5031" spans="1:2" ht="16.149999999999999" customHeight="1">
      <c r="A5031" s="877">
        <v>38591</v>
      </c>
      <c r="B5031" s="878">
        <v>2306.71</v>
      </c>
    </row>
    <row r="5032" spans="1:2" ht="16.149999999999999" customHeight="1">
      <c r="A5032" s="877">
        <v>38592</v>
      </c>
      <c r="B5032" s="880">
        <v>2306.71</v>
      </c>
    </row>
    <row r="5033" spans="1:2" ht="16.149999999999999" customHeight="1">
      <c r="A5033" s="877">
        <v>38593</v>
      </c>
      <c r="B5033" s="878">
        <v>2306.71</v>
      </c>
    </row>
    <row r="5034" spans="1:2" ht="16.149999999999999" customHeight="1">
      <c r="A5034" s="877">
        <v>38594</v>
      </c>
      <c r="B5034" s="880">
        <v>2305.15</v>
      </c>
    </row>
    <row r="5035" spans="1:2" ht="16.149999999999999" customHeight="1">
      <c r="A5035" s="877">
        <v>38595</v>
      </c>
      <c r="B5035" s="878">
        <v>2304.3000000000002</v>
      </c>
    </row>
    <row r="5036" spans="1:2" ht="16.149999999999999" customHeight="1">
      <c r="A5036" s="877">
        <v>38596</v>
      </c>
      <c r="B5036" s="880">
        <v>2302.7800000000002</v>
      </c>
    </row>
    <row r="5037" spans="1:2" ht="16.149999999999999" customHeight="1">
      <c r="A5037" s="877">
        <v>38597</v>
      </c>
      <c r="B5037" s="878">
        <v>2298.85</v>
      </c>
    </row>
    <row r="5038" spans="1:2" ht="16.149999999999999" customHeight="1">
      <c r="A5038" s="877">
        <v>38598</v>
      </c>
      <c r="B5038" s="880">
        <v>2295.31</v>
      </c>
    </row>
    <row r="5039" spans="1:2" ht="16.149999999999999" customHeight="1">
      <c r="A5039" s="877">
        <v>38599</v>
      </c>
      <c r="B5039" s="878">
        <v>2295.31</v>
      </c>
    </row>
    <row r="5040" spans="1:2" ht="16.149999999999999" customHeight="1">
      <c r="A5040" s="877">
        <v>38600</v>
      </c>
      <c r="B5040" s="880">
        <v>2295.31</v>
      </c>
    </row>
    <row r="5041" spans="1:2" ht="16.149999999999999" customHeight="1">
      <c r="A5041" s="877">
        <v>38601</v>
      </c>
      <c r="B5041" s="878">
        <v>2295.31</v>
      </c>
    </row>
    <row r="5042" spans="1:2" ht="16.149999999999999" customHeight="1">
      <c r="A5042" s="877">
        <v>38602</v>
      </c>
      <c r="B5042" s="880">
        <v>2286.61</v>
      </c>
    </row>
    <row r="5043" spans="1:2" ht="16.149999999999999" customHeight="1">
      <c r="A5043" s="877">
        <v>38603</v>
      </c>
      <c r="B5043" s="878">
        <v>2279.9499999999998</v>
      </c>
    </row>
    <row r="5044" spans="1:2" ht="16.149999999999999" customHeight="1">
      <c r="A5044" s="877">
        <v>38604</v>
      </c>
      <c r="B5044" s="880">
        <v>2289.3000000000002</v>
      </c>
    </row>
    <row r="5045" spans="1:2" ht="16.149999999999999" customHeight="1">
      <c r="A5045" s="877">
        <v>38605</v>
      </c>
      <c r="B5045" s="878">
        <v>2305.09</v>
      </c>
    </row>
    <row r="5046" spans="1:2" ht="16.149999999999999" customHeight="1">
      <c r="A5046" s="877">
        <v>38606</v>
      </c>
      <c r="B5046" s="880">
        <v>2305.09</v>
      </c>
    </row>
    <row r="5047" spans="1:2" ht="16.149999999999999" customHeight="1">
      <c r="A5047" s="877">
        <v>38607</v>
      </c>
      <c r="B5047" s="878">
        <v>2305.09</v>
      </c>
    </row>
    <row r="5048" spans="1:2" ht="16.149999999999999" customHeight="1">
      <c r="A5048" s="877">
        <v>38608</v>
      </c>
      <c r="B5048" s="880">
        <v>2306.71</v>
      </c>
    </row>
    <row r="5049" spans="1:2" ht="16.149999999999999" customHeight="1">
      <c r="A5049" s="877">
        <v>38609</v>
      </c>
      <c r="B5049" s="878">
        <v>2295.02</v>
      </c>
    </row>
    <row r="5050" spans="1:2" ht="16.149999999999999" customHeight="1">
      <c r="A5050" s="877">
        <v>38610</v>
      </c>
      <c r="B5050" s="880">
        <v>2290.02</v>
      </c>
    </row>
    <row r="5051" spans="1:2" ht="16.149999999999999" customHeight="1">
      <c r="A5051" s="877">
        <v>38611</v>
      </c>
      <c r="B5051" s="878">
        <v>2299.8200000000002</v>
      </c>
    </row>
    <row r="5052" spans="1:2" ht="16.149999999999999" customHeight="1">
      <c r="A5052" s="877">
        <v>38612</v>
      </c>
      <c r="B5052" s="880">
        <v>2301.9899999999998</v>
      </c>
    </row>
    <row r="5053" spans="1:2" ht="16.149999999999999" customHeight="1">
      <c r="A5053" s="877">
        <v>38613</v>
      </c>
      <c r="B5053" s="878">
        <v>2301.9899999999998</v>
      </c>
    </row>
    <row r="5054" spans="1:2" ht="16.149999999999999" customHeight="1">
      <c r="A5054" s="877">
        <v>38614</v>
      </c>
      <c r="B5054" s="880">
        <v>2301.9899999999998</v>
      </c>
    </row>
    <row r="5055" spans="1:2" ht="16.149999999999999" customHeight="1">
      <c r="A5055" s="877">
        <v>38615</v>
      </c>
      <c r="B5055" s="878">
        <v>2295.5700000000002</v>
      </c>
    </row>
    <row r="5056" spans="1:2" ht="16.149999999999999" customHeight="1">
      <c r="A5056" s="877">
        <v>38616</v>
      </c>
      <c r="B5056" s="880">
        <v>2300.58</v>
      </c>
    </row>
    <row r="5057" spans="1:2" ht="16.149999999999999" customHeight="1">
      <c r="A5057" s="877">
        <v>38617</v>
      </c>
      <c r="B5057" s="878">
        <v>2291.0500000000002</v>
      </c>
    </row>
    <row r="5058" spans="1:2" ht="16.149999999999999" customHeight="1">
      <c r="A5058" s="877">
        <v>38618</v>
      </c>
      <c r="B5058" s="880">
        <v>2292.59</v>
      </c>
    </row>
    <row r="5059" spans="1:2" ht="16.149999999999999" customHeight="1">
      <c r="A5059" s="877">
        <v>38619</v>
      </c>
      <c r="B5059" s="878">
        <v>2290.0300000000002</v>
      </c>
    </row>
    <row r="5060" spans="1:2" ht="16.149999999999999" customHeight="1">
      <c r="A5060" s="877">
        <v>38620</v>
      </c>
      <c r="B5060" s="880">
        <v>2290.0300000000002</v>
      </c>
    </row>
    <row r="5061" spans="1:2" ht="16.149999999999999" customHeight="1">
      <c r="A5061" s="877">
        <v>38621</v>
      </c>
      <c r="B5061" s="878">
        <v>2290.0300000000002</v>
      </c>
    </row>
    <row r="5062" spans="1:2" ht="16.149999999999999" customHeight="1">
      <c r="A5062" s="877">
        <v>38622</v>
      </c>
      <c r="B5062" s="880">
        <v>2289.1799999999998</v>
      </c>
    </row>
    <row r="5063" spans="1:2" ht="16.149999999999999" customHeight="1">
      <c r="A5063" s="877">
        <v>38623</v>
      </c>
      <c r="B5063" s="878">
        <v>2290.7399999999998</v>
      </c>
    </row>
    <row r="5064" spans="1:2" ht="16.149999999999999" customHeight="1">
      <c r="A5064" s="877">
        <v>38624</v>
      </c>
      <c r="B5064" s="880">
        <v>2293.29</v>
      </c>
    </row>
    <row r="5065" spans="1:2" ht="16.149999999999999" customHeight="1">
      <c r="A5065" s="877">
        <v>38625</v>
      </c>
      <c r="B5065" s="878">
        <v>2289.61</v>
      </c>
    </row>
    <row r="5066" spans="1:2" ht="16.149999999999999" customHeight="1">
      <c r="A5066" s="877">
        <v>38626</v>
      </c>
      <c r="B5066" s="880">
        <v>2288.2199999999998</v>
      </c>
    </row>
    <row r="5067" spans="1:2" ht="16.149999999999999" customHeight="1">
      <c r="A5067" s="877">
        <v>38627</v>
      </c>
      <c r="B5067" s="878">
        <v>2288.2199999999998</v>
      </c>
    </row>
    <row r="5068" spans="1:2" ht="16.149999999999999" customHeight="1">
      <c r="A5068" s="877">
        <v>38628</v>
      </c>
      <c r="B5068" s="880">
        <v>2288.2199999999998</v>
      </c>
    </row>
    <row r="5069" spans="1:2" ht="16.149999999999999" customHeight="1">
      <c r="A5069" s="877">
        <v>38629</v>
      </c>
      <c r="B5069" s="878">
        <v>2289.13</v>
      </c>
    </row>
    <row r="5070" spans="1:2" ht="16.149999999999999" customHeight="1">
      <c r="A5070" s="877">
        <v>38630</v>
      </c>
      <c r="B5070" s="880">
        <v>2289.79</v>
      </c>
    </row>
    <row r="5071" spans="1:2" ht="16.149999999999999" customHeight="1">
      <c r="A5071" s="877">
        <v>38631</v>
      </c>
      <c r="B5071" s="878">
        <v>2294.12</v>
      </c>
    </row>
    <row r="5072" spans="1:2" ht="16.149999999999999" customHeight="1">
      <c r="A5072" s="877">
        <v>38632</v>
      </c>
      <c r="B5072" s="880">
        <v>2302.79</v>
      </c>
    </row>
    <row r="5073" spans="1:2" ht="16.149999999999999" customHeight="1">
      <c r="A5073" s="877">
        <v>38633</v>
      </c>
      <c r="B5073" s="878">
        <v>2303.0100000000002</v>
      </c>
    </row>
    <row r="5074" spans="1:2" ht="16.149999999999999" customHeight="1">
      <c r="A5074" s="877">
        <v>38634</v>
      </c>
      <c r="B5074" s="880">
        <v>2303.0100000000002</v>
      </c>
    </row>
    <row r="5075" spans="1:2" ht="16.149999999999999" customHeight="1">
      <c r="A5075" s="877">
        <v>38635</v>
      </c>
      <c r="B5075" s="878">
        <v>2303.0100000000002</v>
      </c>
    </row>
    <row r="5076" spans="1:2" ht="16.149999999999999" customHeight="1">
      <c r="A5076" s="877">
        <v>38636</v>
      </c>
      <c r="B5076" s="880">
        <v>2303.0100000000002</v>
      </c>
    </row>
    <row r="5077" spans="1:2" ht="16.149999999999999" customHeight="1">
      <c r="A5077" s="877">
        <v>38637</v>
      </c>
      <c r="B5077" s="878">
        <v>2299.94</v>
      </c>
    </row>
    <row r="5078" spans="1:2" ht="16.149999999999999" customHeight="1">
      <c r="A5078" s="877">
        <v>38638</v>
      </c>
      <c r="B5078" s="880">
        <v>2299.4699999999998</v>
      </c>
    </row>
    <row r="5079" spans="1:2" ht="16.149999999999999" customHeight="1">
      <c r="A5079" s="877">
        <v>38639</v>
      </c>
      <c r="B5079" s="878">
        <v>2298.9899999999998</v>
      </c>
    </row>
    <row r="5080" spans="1:2" ht="16.149999999999999" customHeight="1">
      <c r="A5080" s="877">
        <v>38640</v>
      </c>
      <c r="B5080" s="880">
        <v>2294.75</v>
      </c>
    </row>
    <row r="5081" spans="1:2" ht="16.149999999999999" customHeight="1">
      <c r="A5081" s="877">
        <v>38641</v>
      </c>
      <c r="B5081" s="878">
        <v>2294.75</v>
      </c>
    </row>
    <row r="5082" spans="1:2" ht="16.149999999999999" customHeight="1">
      <c r="A5082" s="877">
        <v>38642</v>
      </c>
      <c r="B5082" s="880">
        <v>2294.75</v>
      </c>
    </row>
    <row r="5083" spans="1:2" ht="16.149999999999999" customHeight="1">
      <c r="A5083" s="877">
        <v>38643</v>
      </c>
      <c r="B5083" s="878">
        <v>2294.75</v>
      </c>
    </row>
    <row r="5084" spans="1:2" ht="16.149999999999999" customHeight="1">
      <c r="A5084" s="877">
        <v>38644</v>
      </c>
      <c r="B5084" s="880">
        <v>2288.69</v>
      </c>
    </row>
    <row r="5085" spans="1:2" ht="16.149999999999999" customHeight="1">
      <c r="A5085" s="877">
        <v>38645</v>
      </c>
      <c r="B5085" s="878">
        <v>2283.96</v>
      </c>
    </row>
    <row r="5086" spans="1:2" ht="16.149999999999999" customHeight="1">
      <c r="A5086" s="877">
        <v>38646</v>
      </c>
      <c r="B5086" s="880">
        <v>2289.15</v>
      </c>
    </row>
    <row r="5087" spans="1:2" ht="16.149999999999999" customHeight="1">
      <c r="A5087" s="877">
        <v>38647</v>
      </c>
      <c r="B5087" s="878">
        <v>2288.69</v>
      </c>
    </row>
    <row r="5088" spans="1:2" ht="16.149999999999999" customHeight="1">
      <c r="A5088" s="877">
        <v>38648</v>
      </c>
      <c r="B5088" s="880">
        <v>2288.69</v>
      </c>
    </row>
    <row r="5089" spans="1:2" ht="16.149999999999999" customHeight="1">
      <c r="A5089" s="877">
        <v>38649</v>
      </c>
      <c r="B5089" s="878">
        <v>2288.69</v>
      </c>
    </row>
    <row r="5090" spans="1:2" ht="16.149999999999999" customHeight="1">
      <c r="A5090" s="877">
        <v>38650</v>
      </c>
      <c r="B5090" s="880">
        <v>2285.37</v>
      </c>
    </row>
    <row r="5091" spans="1:2" ht="16.149999999999999" customHeight="1">
      <c r="A5091" s="877">
        <v>38651</v>
      </c>
      <c r="B5091" s="878">
        <v>2284.0500000000002</v>
      </c>
    </row>
    <row r="5092" spans="1:2" ht="16.149999999999999" customHeight="1">
      <c r="A5092" s="877">
        <v>38652</v>
      </c>
      <c r="B5092" s="880">
        <v>2288.52</v>
      </c>
    </row>
    <row r="5093" spans="1:2" ht="16.149999999999999" customHeight="1">
      <c r="A5093" s="877">
        <v>38653</v>
      </c>
      <c r="B5093" s="878">
        <v>2289.87</v>
      </c>
    </row>
    <row r="5094" spans="1:2" ht="16.149999999999999" customHeight="1">
      <c r="A5094" s="877">
        <v>38654</v>
      </c>
      <c r="B5094" s="880">
        <v>2289.5700000000002</v>
      </c>
    </row>
    <row r="5095" spans="1:2" ht="16.149999999999999" customHeight="1">
      <c r="A5095" s="877">
        <v>38655</v>
      </c>
      <c r="B5095" s="878">
        <v>2289.5700000000002</v>
      </c>
    </row>
    <row r="5096" spans="1:2" ht="16.149999999999999" customHeight="1">
      <c r="A5096" s="877">
        <v>38656</v>
      </c>
      <c r="B5096" s="880">
        <v>2289.5700000000002</v>
      </c>
    </row>
    <row r="5097" spans="1:2" ht="16.149999999999999" customHeight="1">
      <c r="A5097" s="877">
        <v>38657</v>
      </c>
      <c r="B5097" s="878">
        <v>2287.5100000000002</v>
      </c>
    </row>
    <row r="5098" spans="1:2" ht="16.149999999999999" customHeight="1">
      <c r="A5098" s="877">
        <v>38658</v>
      </c>
      <c r="B5098" s="880">
        <v>2285.83</v>
      </c>
    </row>
    <row r="5099" spans="1:2" ht="16.149999999999999" customHeight="1">
      <c r="A5099" s="877">
        <v>38659</v>
      </c>
      <c r="B5099" s="878">
        <v>2285.2399999999998</v>
      </c>
    </row>
    <row r="5100" spans="1:2" ht="16.149999999999999" customHeight="1">
      <c r="A5100" s="877">
        <v>38660</v>
      </c>
      <c r="B5100" s="880">
        <v>2283.7800000000002</v>
      </c>
    </row>
    <row r="5101" spans="1:2" ht="16.149999999999999" customHeight="1">
      <c r="A5101" s="877">
        <v>38661</v>
      </c>
      <c r="B5101" s="878">
        <v>2282.7600000000002</v>
      </c>
    </row>
    <row r="5102" spans="1:2" ht="16.149999999999999" customHeight="1">
      <c r="A5102" s="877">
        <v>38662</v>
      </c>
      <c r="B5102" s="880">
        <v>2282.7600000000002</v>
      </c>
    </row>
    <row r="5103" spans="1:2" ht="16.149999999999999" customHeight="1">
      <c r="A5103" s="877">
        <v>38663</v>
      </c>
      <c r="B5103" s="878">
        <v>2282.7600000000002</v>
      </c>
    </row>
    <row r="5104" spans="1:2" ht="16.149999999999999" customHeight="1">
      <c r="A5104" s="877">
        <v>38664</v>
      </c>
      <c r="B5104" s="880">
        <v>2282.7600000000002</v>
      </c>
    </row>
    <row r="5105" spans="1:2" ht="16.149999999999999" customHeight="1">
      <c r="A5105" s="877">
        <v>38665</v>
      </c>
      <c r="B5105" s="878">
        <v>2282.67</v>
      </c>
    </row>
    <row r="5106" spans="1:2" ht="16.149999999999999" customHeight="1">
      <c r="A5106" s="877">
        <v>38666</v>
      </c>
      <c r="B5106" s="880">
        <v>2280.94</v>
      </c>
    </row>
    <row r="5107" spans="1:2" ht="16.149999999999999" customHeight="1">
      <c r="A5107" s="877">
        <v>38667</v>
      </c>
      <c r="B5107" s="878">
        <v>2280.19</v>
      </c>
    </row>
    <row r="5108" spans="1:2" ht="16.149999999999999" customHeight="1">
      <c r="A5108" s="877">
        <v>38668</v>
      </c>
      <c r="B5108" s="880">
        <v>2280.19</v>
      </c>
    </row>
    <row r="5109" spans="1:2" ht="16.149999999999999" customHeight="1">
      <c r="A5109" s="877">
        <v>38669</v>
      </c>
      <c r="B5109" s="878">
        <v>2280.19</v>
      </c>
    </row>
    <row r="5110" spans="1:2" ht="16.149999999999999" customHeight="1">
      <c r="A5110" s="877">
        <v>38670</v>
      </c>
      <c r="B5110" s="880">
        <v>2280.19</v>
      </c>
    </row>
    <row r="5111" spans="1:2" ht="16.149999999999999" customHeight="1">
      <c r="A5111" s="877">
        <v>38671</v>
      </c>
      <c r="B5111" s="878">
        <v>2280.19</v>
      </c>
    </row>
    <row r="5112" spans="1:2" ht="16.149999999999999" customHeight="1">
      <c r="A5112" s="877">
        <v>38672</v>
      </c>
      <c r="B5112" s="880">
        <v>2280.4299999999998</v>
      </c>
    </row>
    <row r="5113" spans="1:2" ht="16.149999999999999" customHeight="1">
      <c r="A5113" s="877">
        <v>38673</v>
      </c>
      <c r="B5113" s="878">
        <v>2278.23</v>
      </c>
    </row>
    <row r="5114" spans="1:2" ht="16.149999999999999" customHeight="1">
      <c r="A5114" s="877">
        <v>38674</v>
      </c>
      <c r="B5114" s="880">
        <v>2277.9899999999998</v>
      </c>
    </row>
    <row r="5115" spans="1:2" ht="16.149999999999999" customHeight="1">
      <c r="A5115" s="877">
        <v>38675</v>
      </c>
      <c r="B5115" s="878">
        <v>2277.73</v>
      </c>
    </row>
    <row r="5116" spans="1:2" ht="16.149999999999999" customHeight="1">
      <c r="A5116" s="877">
        <v>38676</v>
      </c>
      <c r="B5116" s="880">
        <v>2277.73</v>
      </c>
    </row>
    <row r="5117" spans="1:2" ht="16.149999999999999" customHeight="1">
      <c r="A5117" s="877">
        <v>38677</v>
      </c>
      <c r="B5117" s="878">
        <v>2277.73</v>
      </c>
    </row>
    <row r="5118" spans="1:2" ht="16.149999999999999" customHeight="1">
      <c r="A5118" s="877">
        <v>38678</v>
      </c>
      <c r="B5118" s="880">
        <v>2276.64</v>
      </c>
    </row>
    <row r="5119" spans="1:2" ht="16.149999999999999" customHeight="1">
      <c r="A5119" s="877">
        <v>38679</v>
      </c>
      <c r="B5119" s="878">
        <v>2278.48</v>
      </c>
    </row>
    <row r="5120" spans="1:2" ht="16.149999999999999" customHeight="1">
      <c r="A5120" s="877">
        <v>38680</v>
      </c>
      <c r="B5120" s="880">
        <v>2277.92</v>
      </c>
    </row>
    <row r="5121" spans="1:2" ht="16.149999999999999" customHeight="1">
      <c r="A5121" s="877">
        <v>38681</v>
      </c>
      <c r="B5121" s="878">
        <v>2277.92</v>
      </c>
    </row>
    <row r="5122" spans="1:2" ht="16.149999999999999" customHeight="1">
      <c r="A5122" s="877">
        <v>38682</v>
      </c>
      <c r="B5122" s="880">
        <v>2275.4</v>
      </c>
    </row>
    <row r="5123" spans="1:2" ht="16.149999999999999" customHeight="1">
      <c r="A5123" s="877">
        <v>38683</v>
      </c>
      <c r="B5123" s="878">
        <v>2275.4</v>
      </c>
    </row>
    <row r="5124" spans="1:2" ht="16.149999999999999" customHeight="1">
      <c r="A5124" s="877">
        <v>38684</v>
      </c>
      <c r="B5124" s="880">
        <v>2275.4</v>
      </c>
    </row>
    <row r="5125" spans="1:2" ht="16.149999999999999" customHeight="1">
      <c r="A5125" s="877">
        <v>38685</v>
      </c>
      <c r="B5125" s="878">
        <v>2273.08</v>
      </c>
    </row>
    <row r="5126" spans="1:2" ht="16.149999999999999" customHeight="1">
      <c r="A5126" s="877">
        <v>38686</v>
      </c>
      <c r="B5126" s="880">
        <v>2274.04</v>
      </c>
    </row>
    <row r="5127" spans="1:2" ht="16.149999999999999" customHeight="1">
      <c r="A5127" s="877">
        <v>38687</v>
      </c>
      <c r="B5127" s="878">
        <v>2274.71</v>
      </c>
    </row>
    <row r="5128" spans="1:2" ht="16.149999999999999" customHeight="1">
      <c r="A5128" s="877">
        <v>38688</v>
      </c>
      <c r="B5128" s="880">
        <v>2272.9499999999998</v>
      </c>
    </row>
    <row r="5129" spans="1:2" ht="16.149999999999999" customHeight="1">
      <c r="A5129" s="877">
        <v>38689</v>
      </c>
      <c r="B5129" s="878">
        <v>2274.39</v>
      </c>
    </row>
    <row r="5130" spans="1:2" ht="16.149999999999999" customHeight="1">
      <c r="A5130" s="877">
        <v>38690</v>
      </c>
      <c r="B5130" s="880">
        <v>2274.39</v>
      </c>
    </row>
    <row r="5131" spans="1:2" ht="16.149999999999999" customHeight="1">
      <c r="A5131" s="877">
        <v>38691</v>
      </c>
      <c r="B5131" s="878">
        <v>2274.39</v>
      </c>
    </row>
    <row r="5132" spans="1:2" ht="16.149999999999999" customHeight="1">
      <c r="A5132" s="877">
        <v>38692</v>
      </c>
      <c r="B5132" s="880">
        <v>2274.1</v>
      </c>
    </row>
    <row r="5133" spans="1:2" ht="16.149999999999999" customHeight="1">
      <c r="A5133" s="877">
        <v>38693</v>
      </c>
      <c r="B5133" s="878">
        <v>2274.19</v>
      </c>
    </row>
    <row r="5134" spans="1:2" ht="16.149999999999999" customHeight="1">
      <c r="A5134" s="877">
        <v>38694</v>
      </c>
      <c r="B5134" s="880">
        <v>2274.06</v>
      </c>
    </row>
    <row r="5135" spans="1:2" ht="16.149999999999999" customHeight="1">
      <c r="A5135" s="877">
        <v>38695</v>
      </c>
      <c r="B5135" s="878">
        <v>2274.06</v>
      </c>
    </row>
    <row r="5136" spans="1:2" ht="16.149999999999999" customHeight="1">
      <c r="A5136" s="877">
        <v>38696</v>
      </c>
      <c r="B5136" s="880">
        <v>2275.09</v>
      </c>
    </row>
    <row r="5137" spans="1:2" ht="16.149999999999999" customHeight="1">
      <c r="A5137" s="877">
        <v>38697</v>
      </c>
      <c r="B5137" s="878">
        <v>2275.09</v>
      </c>
    </row>
    <row r="5138" spans="1:2" ht="16.149999999999999" customHeight="1">
      <c r="A5138" s="877">
        <v>38698</v>
      </c>
      <c r="B5138" s="880">
        <v>2275.09</v>
      </c>
    </row>
    <row r="5139" spans="1:2" ht="16.149999999999999" customHeight="1">
      <c r="A5139" s="877">
        <v>38699</v>
      </c>
      <c r="B5139" s="878">
        <v>2275.4699999999998</v>
      </c>
    </row>
    <row r="5140" spans="1:2" ht="16.149999999999999" customHeight="1">
      <c r="A5140" s="877">
        <v>38700</v>
      </c>
      <c r="B5140" s="880">
        <v>2275.33</v>
      </c>
    </row>
    <row r="5141" spans="1:2" ht="16.149999999999999" customHeight="1">
      <c r="A5141" s="877">
        <v>38701</v>
      </c>
      <c r="B5141" s="878">
        <v>2275.4499999999998</v>
      </c>
    </row>
    <row r="5142" spans="1:2" ht="16.149999999999999" customHeight="1">
      <c r="A5142" s="877">
        <v>38702</v>
      </c>
      <c r="B5142" s="880">
        <v>2276.6999999999998</v>
      </c>
    </row>
    <row r="5143" spans="1:2" ht="16.149999999999999" customHeight="1">
      <c r="A5143" s="877">
        <v>38703</v>
      </c>
      <c r="B5143" s="878">
        <v>2277.85</v>
      </c>
    </row>
    <row r="5144" spans="1:2" ht="16.149999999999999" customHeight="1">
      <c r="A5144" s="877">
        <v>38704</v>
      </c>
      <c r="B5144" s="880">
        <v>2277.85</v>
      </c>
    </row>
    <row r="5145" spans="1:2" ht="16.149999999999999" customHeight="1">
      <c r="A5145" s="877">
        <v>38705</v>
      </c>
      <c r="B5145" s="878">
        <v>2277.85</v>
      </c>
    </row>
    <row r="5146" spans="1:2" ht="16.149999999999999" customHeight="1">
      <c r="A5146" s="877">
        <v>38706</v>
      </c>
      <c r="B5146" s="880">
        <v>2286.83</v>
      </c>
    </row>
    <row r="5147" spans="1:2" ht="16.149999999999999" customHeight="1">
      <c r="A5147" s="877">
        <v>38707</v>
      </c>
      <c r="B5147" s="878">
        <v>2286.46</v>
      </c>
    </row>
    <row r="5148" spans="1:2" ht="16.149999999999999" customHeight="1">
      <c r="A5148" s="877">
        <v>38708</v>
      </c>
      <c r="B5148" s="880">
        <v>2285.61</v>
      </c>
    </row>
    <row r="5149" spans="1:2" ht="16.149999999999999" customHeight="1">
      <c r="A5149" s="877">
        <v>38709</v>
      </c>
      <c r="B5149" s="878">
        <v>2283.4699999999998</v>
      </c>
    </row>
    <row r="5150" spans="1:2" ht="16.149999999999999" customHeight="1">
      <c r="A5150" s="877">
        <v>38710</v>
      </c>
      <c r="B5150" s="880">
        <v>2282.36</v>
      </c>
    </row>
    <row r="5151" spans="1:2" ht="16.149999999999999" customHeight="1">
      <c r="A5151" s="877">
        <v>38711</v>
      </c>
      <c r="B5151" s="878">
        <v>2282.36</v>
      </c>
    </row>
    <row r="5152" spans="1:2" ht="16.149999999999999" customHeight="1">
      <c r="A5152" s="877">
        <v>38712</v>
      </c>
      <c r="B5152" s="880">
        <v>2282.36</v>
      </c>
    </row>
    <row r="5153" spans="1:2" ht="16.149999999999999" customHeight="1">
      <c r="A5153" s="877">
        <v>38713</v>
      </c>
      <c r="B5153" s="878">
        <v>2282.36</v>
      </c>
    </row>
    <row r="5154" spans="1:2" ht="16.149999999999999" customHeight="1">
      <c r="A5154" s="877">
        <v>38714</v>
      </c>
      <c r="B5154" s="880">
        <v>2283.11</v>
      </c>
    </row>
    <row r="5155" spans="1:2" ht="16.149999999999999" customHeight="1">
      <c r="A5155" s="877">
        <v>38715</v>
      </c>
      <c r="B5155" s="878">
        <v>2282.35</v>
      </c>
    </row>
    <row r="5156" spans="1:2" ht="16.149999999999999" customHeight="1">
      <c r="A5156" s="877">
        <v>38716</v>
      </c>
      <c r="B5156" s="880">
        <v>2284.2199999999998</v>
      </c>
    </row>
    <row r="5157" spans="1:2" ht="16.149999999999999" customHeight="1">
      <c r="A5157" s="877">
        <v>38717</v>
      </c>
      <c r="B5157" s="878">
        <v>2284.2199999999998</v>
      </c>
    </row>
    <row r="5158" spans="1:2" ht="16.149999999999999" customHeight="1">
      <c r="A5158" s="877">
        <v>38718</v>
      </c>
      <c r="B5158" s="880">
        <v>2284.2199999999998</v>
      </c>
    </row>
    <row r="5159" spans="1:2" ht="16.149999999999999" customHeight="1">
      <c r="A5159" s="877">
        <v>38719</v>
      </c>
      <c r="B5159" s="878">
        <v>2284.2199999999998</v>
      </c>
    </row>
    <row r="5160" spans="1:2" ht="16.149999999999999" customHeight="1">
      <c r="A5160" s="877">
        <v>38720</v>
      </c>
      <c r="B5160" s="880">
        <v>2284.2199999999998</v>
      </c>
    </row>
    <row r="5161" spans="1:2" ht="16.149999999999999" customHeight="1">
      <c r="A5161" s="877">
        <v>38721</v>
      </c>
      <c r="B5161" s="878">
        <v>2282.27</v>
      </c>
    </row>
    <row r="5162" spans="1:2" ht="16.149999999999999" customHeight="1">
      <c r="A5162" s="877">
        <v>38722</v>
      </c>
      <c r="B5162" s="880">
        <v>2282.13</v>
      </c>
    </row>
    <row r="5163" spans="1:2" ht="16.149999999999999" customHeight="1">
      <c r="A5163" s="877">
        <v>38723</v>
      </c>
      <c r="B5163" s="878">
        <v>2279.9899999999998</v>
      </c>
    </row>
    <row r="5164" spans="1:2" ht="16.149999999999999" customHeight="1">
      <c r="A5164" s="877">
        <v>38724</v>
      </c>
      <c r="B5164" s="880">
        <v>2278.4</v>
      </c>
    </row>
    <row r="5165" spans="1:2" ht="16.149999999999999" customHeight="1">
      <c r="A5165" s="877">
        <v>38725</v>
      </c>
      <c r="B5165" s="878">
        <v>2278.4</v>
      </c>
    </row>
    <row r="5166" spans="1:2" ht="16.149999999999999" customHeight="1">
      <c r="A5166" s="877">
        <v>38726</v>
      </c>
      <c r="B5166" s="880">
        <v>2278.4</v>
      </c>
    </row>
    <row r="5167" spans="1:2" ht="16.149999999999999" customHeight="1">
      <c r="A5167" s="877">
        <v>38727</v>
      </c>
      <c r="B5167" s="878">
        <v>2278.4</v>
      </c>
    </row>
    <row r="5168" spans="1:2" ht="16.149999999999999" customHeight="1">
      <c r="A5168" s="877">
        <v>38728</v>
      </c>
      <c r="B5168" s="880">
        <v>2276.58</v>
      </c>
    </row>
    <row r="5169" spans="1:2" ht="16.149999999999999" customHeight="1">
      <c r="A5169" s="877">
        <v>38729</v>
      </c>
      <c r="B5169" s="878">
        <v>2274.73</v>
      </c>
    </row>
    <row r="5170" spans="1:2" ht="16.149999999999999" customHeight="1">
      <c r="A5170" s="877">
        <v>38730</v>
      </c>
      <c r="B5170" s="880">
        <v>2274.59</v>
      </c>
    </row>
    <row r="5171" spans="1:2" ht="16.149999999999999" customHeight="1">
      <c r="A5171" s="877">
        <v>38731</v>
      </c>
      <c r="B5171" s="878">
        <v>2273.31</v>
      </c>
    </row>
    <row r="5172" spans="1:2" ht="16.149999999999999" customHeight="1">
      <c r="A5172" s="877">
        <v>38732</v>
      </c>
      <c r="B5172" s="880">
        <v>2273.31</v>
      </c>
    </row>
    <row r="5173" spans="1:2" ht="16.149999999999999" customHeight="1">
      <c r="A5173" s="877">
        <v>38733</v>
      </c>
      <c r="B5173" s="878">
        <v>2273.31</v>
      </c>
    </row>
    <row r="5174" spans="1:2" ht="16.149999999999999" customHeight="1">
      <c r="A5174" s="877">
        <v>38734</v>
      </c>
      <c r="B5174" s="880">
        <v>2273.31</v>
      </c>
    </row>
    <row r="5175" spans="1:2" ht="16.149999999999999" customHeight="1">
      <c r="A5175" s="877">
        <v>38735</v>
      </c>
      <c r="B5175" s="878">
        <v>2270.88</v>
      </c>
    </row>
    <row r="5176" spans="1:2" ht="16.149999999999999" customHeight="1">
      <c r="A5176" s="877">
        <v>38736</v>
      </c>
      <c r="B5176" s="880">
        <v>2271.5500000000002</v>
      </c>
    </row>
    <row r="5177" spans="1:2" ht="16.149999999999999" customHeight="1">
      <c r="A5177" s="877">
        <v>38737</v>
      </c>
      <c r="B5177" s="878">
        <v>2269.6999999999998</v>
      </c>
    </row>
    <row r="5178" spans="1:2" ht="16.149999999999999" customHeight="1">
      <c r="A5178" s="877">
        <v>38738</v>
      </c>
      <c r="B5178" s="880">
        <v>2269.41</v>
      </c>
    </row>
    <row r="5179" spans="1:2" ht="16.149999999999999" customHeight="1">
      <c r="A5179" s="877">
        <v>38739</v>
      </c>
      <c r="B5179" s="878">
        <v>2269.41</v>
      </c>
    </row>
    <row r="5180" spans="1:2" ht="16.149999999999999" customHeight="1">
      <c r="A5180" s="877">
        <v>38740</v>
      </c>
      <c r="B5180" s="880">
        <v>2269.41</v>
      </c>
    </row>
    <row r="5181" spans="1:2" ht="16.149999999999999" customHeight="1">
      <c r="A5181" s="877">
        <v>38741</v>
      </c>
      <c r="B5181" s="878">
        <v>2262.04</v>
      </c>
    </row>
    <row r="5182" spans="1:2" ht="16.149999999999999" customHeight="1">
      <c r="A5182" s="877">
        <v>38742</v>
      </c>
      <c r="B5182" s="880">
        <v>2262.87</v>
      </c>
    </row>
    <row r="5183" spans="1:2" ht="16.149999999999999" customHeight="1">
      <c r="A5183" s="877">
        <v>38743</v>
      </c>
      <c r="B5183" s="878">
        <v>2273.5</v>
      </c>
    </row>
    <row r="5184" spans="1:2" ht="16.149999999999999" customHeight="1">
      <c r="A5184" s="877">
        <v>38744</v>
      </c>
      <c r="B5184" s="880">
        <v>2270.85</v>
      </c>
    </row>
    <row r="5185" spans="1:2" ht="16.149999999999999" customHeight="1">
      <c r="A5185" s="877">
        <v>38745</v>
      </c>
      <c r="B5185" s="878">
        <v>2266.66</v>
      </c>
    </row>
    <row r="5186" spans="1:2" ht="16.149999999999999" customHeight="1">
      <c r="A5186" s="877">
        <v>38746</v>
      </c>
      <c r="B5186" s="880">
        <v>2266.66</v>
      </c>
    </row>
    <row r="5187" spans="1:2" ht="16.149999999999999" customHeight="1">
      <c r="A5187" s="877">
        <v>38747</v>
      </c>
      <c r="B5187" s="878">
        <v>2266.66</v>
      </c>
    </row>
    <row r="5188" spans="1:2" ht="16.149999999999999" customHeight="1">
      <c r="A5188" s="877">
        <v>38748</v>
      </c>
      <c r="B5188" s="880">
        <v>2265.65</v>
      </c>
    </row>
    <row r="5189" spans="1:2" ht="16.149999999999999" customHeight="1">
      <c r="A5189" s="877">
        <v>38749</v>
      </c>
      <c r="B5189" s="878">
        <v>2267.63</v>
      </c>
    </row>
    <row r="5190" spans="1:2" ht="16.149999999999999" customHeight="1">
      <c r="A5190" s="877">
        <v>38750</v>
      </c>
      <c r="B5190" s="880">
        <v>2267.39</v>
      </c>
    </row>
    <row r="5191" spans="1:2" ht="16.149999999999999" customHeight="1">
      <c r="A5191" s="877">
        <v>38751</v>
      </c>
      <c r="B5191" s="878">
        <v>2266.0700000000002</v>
      </c>
    </row>
    <row r="5192" spans="1:2" ht="16.149999999999999" customHeight="1">
      <c r="A5192" s="877">
        <v>38752</v>
      </c>
      <c r="B5192" s="880">
        <v>2265.2199999999998</v>
      </c>
    </row>
    <row r="5193" spans="1:2" ht="16.149999999999999" customHeight="1">
      <c r="A5193" s="877">
        <v>38753</v>
      </c>
      <c r="B5193" s="878">
        <v>2265.2199999999998</v>
      </c>
    </row>
    <row r="5194" spans="1:2" ht="16.149999999999999" customHeight="1">
      <c r="A5194" s="877">
        <v>38754</v>
      </c>
      <c r="B5194" s="880">
        <v>2265.2199999999998</v>
      </c>
    </row>
    <row r="5195" spans="1:2" ht="16.149999999999999" customHeight="1">
      <c r="A5195" s="877">
        <v>38755</v>
      </c>
      <c r="B5195" s="878">
        <v>2259.64</v>
      </c>
    </row>
    <row r="5196" spans="1:2" ht="16.149999999999999" customHeight="1">
      <c r="A5196" s="877">
        <v>38756</v>
      </c>
      <c r="B5196" s="880">
        <v>2256.5700000000002</v>
      </c>
    </row>
    <row r="5197" spans="1:2" ht="16.149999999999999" customHeight="1">
      <c r="A5197" s="877">
        <v>38757</v>
      </c>
      <c r="B5197" s="878">
        <v>2259.0700000000002</v>
      </c>
    </row>
    <row r="5198" spans="1:2" ht="16.149999999999999" customHeight="1">
      <c r="A5198" s="877">
        <v>38758</v>
      </c>
      <c r="B5198" s="880">
        <v>2256.9499999999998</v>
      </c>
    </row>
    <row r="5199" spans="1:2" ht="16.149999999999999" customHeight="1">
      <c r="A5199" s="877">
        <v>38759</v>
      </c>
      <c r="B5199" s="878">
        <v>2253.1</v>
      </c>
    </row>
    <row r="5200" spans="1:2" ht="16.149999999999999" customHeight="1">
      <c r="A5200" s="877">
        <v>38760</v>
      </c>
      <c r="B5200" s="880">
        <v>2253.1</v>
      </c>
    </row>
    <row r="5201" spans="1:2" ht="16.149999999999999" customHeight="1">
      <c r="A5201" s="877">
        <v>38761</v>
      </c>
      <c r="B5201" s="878">
        <v>2253.1</v>
      </c>
    </row>
    <row r="5202" spans="1:2" ht="16.149999999999999" customHeight="1">
      <c r="A5202" s="877">
        <v>38762</v>
      </c>
      <c r="B5202" s="880">
        <v>2254.0300000000002</v>
      </c>
    </row>
    <row r="5203" spans="1:2" ht="16.149999999999999" customHeight="1">
      <c r="A5203" s="877">
        <v>38763</v>
      </c>
      <c r="B5203" s="878">
        <v>2254.98</v>
      </c>
    </row>
    <row r="5204" spans="1:2" ht="16.149999999999999" customHeight="1">
      <c r="A5204" s="877">
        <v>38764</v>
      </c>
      <c r="B5204" s="880">
        <v>2253.6799999999998</v>
      </c>
    </row>
    <row r="5205" spans="1:2" ht="16.149999999999999" customHeight="1">
      <c r="A5205" s="877">
        <v>38765</v>
      </c>
      <c r="B5205" s="878">
        <v>2254.11</v>
      </c>
    </row>
    <row r="5206" spans="1:2" ht="16.149999999999999" customHeight="1">
      <c r="A5206" s="877">
        <v>38766</v>
      </c>
      <c r="B5206" s="880">
        <v>2253.89</v>
      </c>
    </row>
    <row r="5207" spans="1:2" ht="16.149999999999999" customHeight="1">
      <c r="A5207" s="877">
        <v>38767</v>
      </c>
      <c r="B5207" s="878">
        <v>2253.89</v>
      </c>
    </row>
    <row r="5208" spans="1:2" ht="16.149999999999999" customHeight="1">
      <c r="A5208" s="877">
        <v>38768</v>
      </c>
      <c r="B5208" s="880">
        <v>2253.89</v>
      </c>
    </row>
    <row r="5209" spans="1:2" ht="16.149999999999999" customHeight="1">
      <c r="A5209" s="877">
        <v>38769</v>
      </c>
      <c r="B5209" s="878">
        <v>2253.89</v>
      </c>
    </row>
    <row r="5210" spans="1:2" ht="16.149999999999999" customHeight="1">
      <c r="A5210" s="877">
        <v>38770</v>
      </c>
      <c r="B5210" s="880">
        <v>2253.42</v>
      </c>
    </row>
    <row r="5211" spans="1:2" ht="16.149999999999999" customHeight="1">
      <c r="A5211" s="877">
        <v>38771</v>
      </c>
      <c r="B5211" s="878">
        <v>2251.7800000000002</v>
      </c>
    </row>
    <row r="5212" spans="1:2" ht="16.149999999999999" customHeight="1">
      <c r="A5212" s="877">
        <v>38772</v>
      </c>
      <c r="B5212" s="880">
        <v>2249.9</v>
      </c>
    </row>
    <row r="5213" spans="1:2" ht="16.149999999999999" customHeight="1">
      <c r="A5213" s="877">
        <v>38773</v>
      </c>
      <c r="B5213" s="878">
        <v>2246.1799999999998</v>
      </c>
    </row>
    <row r="5214" spans="1:2" ht="16.149999999999999" customHeight="1">
      <c r="A5214" s="877">
        <v>38774</v>
      </c>
      <c r="B5214" s="880">
        <v>2246.1799999999998</v>
      </c>
    </row>
    <row r="5215" spans="1:2" ht="16.149999999999999" customHeight="1">
      <c r="A5215" s="877">
        <v>38775</v>
      </c>
      <c r="B5215" s="878">
        <v>2246.1799999999998</v>
      </c>
    </row>
    <row r="5216" spans="1:2" ht="16.149999999999999" customHeight="1">
      <c r="A5216" s="877">
        <v>38776</v>
      </c>
      <c r="B5216" s="880">
        <v>2247.3200000000002</v>
      </c>
    </row>
    <row r="5217" spans="1:2" ht="16.149999999999999" customHeight="1">
      <c r="A5217" s="877">
        <v>38777</v>
      </c>
      <c r="B5217" s="878">
        <v>2245.71</v>
      </c>
    </row>
    <row r="5218" spans="1:2" ht="16.149999999999999" customHeight="1">
      <c r="A5218" s="877">
        <v>38778</v>
      </c>
      <c r="B5218" s="880">
        <v>2247.48</v>
      </c>
    </row>
    <row r="5219" spans="1:2" ht="16.149999999999999" customHeight="1">
      <c r="A5219" s="877">
        <v>38779</v>
      </c>
      <c r="B5219" s="878">
        <v>2251.4499999999998</v>
      </c>
    </row>
    <row r="5220" spans="1:2" ht="16.149999999999999" customHeight="1">
      <c r="A5220" s="877">
        <v>38780</v>
      </c>
      <c r="B5220" s="880">
        <v>2256.17</v>
      </c>
    </row>
    <row r="5221" spans="1:2" ht="16.149999999999999" customHeight="1">
      <c r="A5221" s="877">
        <v>38781</v>
      </c>
      <c r="B5221" s="878">
        <v>2256.17</v>
      </c>
    </row>
    <row r="5222" spans="1:2" ht="16.149999999999999" customHeight="1">
      <c r="A5222" s="877">
        <v>38782</v>
      </c>
      <c r="B5222" s="880">
        <v>2256.17</v>
      </c>
    </row>
    <row r="5223" spans="1:2" ht="16.149999999999999" customHeight="1">
      <c r="A5223" s="877">
        <v>38783</v>
      </c>
      <c r="B5223" s="878">
        <v>2259.12</v>
      </c>
    </row>
    <row r="5224" spans="1:2" ht="16.149999999999999" customHeight="1">
      <c r="A5224" s="877">
        <v>38784</v>
      </c>
      <c r="B5224" s="880">
        <v>2258.11</v>
      </c>
    </row>
    <row r="5225" spans="1:2" ht="16.149999999999999" customHeight="1">
      <c r="A5225" s="877">
        <v>38785</v>
      </c>
      <c r="B5225" s="878">
        <v>2254.5500000000002</v>
      </c>
    </row>
    <row r="5226" spans="1:2" ht="16.149999999999999" customHeight="1">
      <c r="A5226" s="877">
        <v>38786</v>
      </c>
      <c r="B5226" s="880">
        <v>2257.67</v>
      </c>
    </row>
    <row r="5227" spans="1:2" ht="16.149999999999999" customHeight="1">
      <c r="A5227" s="877">
        <v>38787</v>
      </c>
      <c r="B5227" s="878">
        <v>2265.15</v>
      </c>
    </row>
    <row r="5228" spans="1:2" ht="16.149999999999999" customHeight="1">
      <c r="A5228" s="877">
        <v>38788</v>
      </c>
      <c r="B5228" s="880">
        <v>2265.15</v>
      </c>
    </row>
    <row r="5229" spans="1:2" ht="16.149999999999999" customHeight="1">
      <c r="A5229" s="877">
        <v>38789</v>
      </c>
      <c r="B5229" s="878">
        <v>2265.15</v>
      </c>
    </row>
    <row r="5230" spans="1:2" ht="16.149999999999999" customHeight="1">
      <c r="A5230" s="877">
        <v>38790</v>
      </c>
      <c r="B5230" s="880">
        <v>2263.46</v>
      </c>
    </row>
    <row r="5231" spans="1:2" ht="16.149999999999999" customHeight="1">
      <c r="A5231" s="877">
        <v>38791</v>
      </c>
      <c r="B5231" s="878">
        <v>2262.41</v>
      </c>
    </row>
    <row r="5232" spans="1:2" ht="16.149999999999999" customHeight="1">
      <c r="A5232" s="877">
        <v>38792</v>
      </c>
      <c r="B5232" s="880">
        <v>2259.5300000000002</v>
      </c>
    </row>
    <row r="5233" spans="1:2" ht="16.149999999999999" customHeight="1">
      <c r="A5233" s="877">
        <v>38793</v>
      </c>
      <c r="B5233" s="878">
        <v>2258.0100000000002</v>
      </c>
    </row>
    <row r="5234" spans="1:2" ht="16.149999999999999" customHeight="1">
      <c r="A5234" s="877">
        <v>38794</v>
      </c>
      <c r="B5234" s="880">
        <v>2257.0100000000002</v>
      </c>
    </row>
    <row r="5235" spans="1:2" ht="16.149999999999999" customHeight="1">
      <c r="A5235" s="877">
        <v>38795</v>
      </c>
      <c r="B5235" s="878">
        <v>2257.0100000000002</v>
      </c>
    </row>
    <row r="5236" spans="1:2" ht="16.149999999999999" customHeight="1">
      <c r="A5236" s="877">
        <v>38796</v>
      </c>
      <c r="B5236" s="880">
        <v>2257.0100000000002</v>
      </c>
    </row>
    <row r="5237" spans="1:2" ht="16.149999999999999" customHeight="1">
      <c r="A5237" s="877">
        <v>38797</v>
      </c>
      <c r="B5237" s="878">
        <v>2257.0100000000002</v>
      </c>
    </row>
    <row r="5238" spans="1:2" ht="16.149999999999999" customHeight="1">
      <c r="A5238" s="877">
        <v>38798</v>
      </c>
      <c r="B5238" s="880">
        <v>2259.19</v>
      </c>
    </row>
    <row r="5239" spans="1:2" ht="16.149999999999999" customHeight="1">
      <c r="A5239" s="877">
        <v>38799</v>
      </c>
      <c r="B5239" s="878">
        <v>2263.31</v>
      </c>
    </row>
    <row r="5240" spans="1:2" ht="16.149999999999999" customHeight="1">
      <c r="A5240" s="877">
        <v>38800</v>
      </c>
      <c r="B5240" s="880">
        <v>2265.4899999999998</v>
      </c>
    </row>
    <row r="5241" spans="1:2" ht="16.149999999999999" customHeight="1">
      <c r="A5241" s="877">
        <v>38801</v>
      </c>
      <c r="B5241" s="878">
        <v>2266.9499999999998</v>
      </c>
    </row>
    <row r="5242" spans="1:2" ht="16.149999999999999" customHeight="1">
      <c r="A5242" s="877">
        <v>38802</v>
      </c>
      <c r="B5242" s="880">
        <v>2266.9499999999998</v>
      </c>
    </row>
    <row r="5243" spans="1:2" ht="16.149999999999999" customHeight="1">
      <c r="A5243" s="877">
        <v>38803</v>
      </c>
      <c r="B5243" s="878">
        <v>2266.9499999999998</v>
      </c>
    </row>
    <row r="5244" spans="1:2" ht="16.149999999999999" customHeight="1">
      <c r="A5244" s="877">
        <v>38804</v>
      </c>
      <c r="B5244" s="880">
        <v>2268.35</v>
      </c>
    </row>
    <row r="5245" spans="1:2" ht="16.149999999999999" customHeight="1">
      <c r="A5245" s="877">
        <v>38805</v>
      </c>
      <c r="B5245" s="878">
        <v>2276.08</v>
      </c>
    </row>
    <row r="5246" spans="1:2" ht="16.149999999999999" customHeight="1">
      <c r="A5246" s="877">
        <v>38806</v>
      </c>
      <c r="B5246" s="880">
        <v>2286.73</v>
      </c>
    </row>
    <row r="5247" spans="1:2" ht="16.149999999999999" customHeight="1">
      <c r="A5247" s="877">
        <v>38807</v>
      </c>
      <c r="B5247" s="878">
        <v>2289.98</v>
      </c>
    </row>
    <row r="5248" spans="1:2" ht="16.149999999999999" customHeight="1">
      <c r="A5248" s="877">
        <v>38808</v>
      </c>
      <c r="B5248" s="880">
        <v>2293.38</v>
      </c>
    </row>
    <row r="5249" spans="1:2" ht="16.149999999999999" customHeight="1">
      <c r="A5249" s="877">
        <v>38809</v>
      </c>
      <c r="B5249" s="878">
        <v>2293.38</v>
      </c>
    </row>
    <row r="5250" spans="1:2" ht="16.149999999999999" customHeight="1">
      <c r="A5250" s="877">
        <v>38810</v>
      </c>
      <c r="B5250" s="880">
        <v>2293.38</v>
      </c>
    </row>
    <row r="5251" spans="1:2" ht="16.149999999999999" customHeight="1">
      <c r="A5251" s="877">
        <v>38811</v>
      </c>
      <c r="B5251" s="878">
        <v>2296.1799999999998</v>
      </c>
    </row>
    <row r="5252" spans="1:2" ht="16.149999999999999" customHeight="1">
      <c r="A5252" s="877">
        <v>38812</v>
      </c>
      <c r="B5252" s="880">
        <v>2288.67</v>
      </c>
    </row>
    <row r="5253" spans="1:2" ht="16.149999999999999" customHeight="1">
      <c r="A5253" s="877">
        <v>38813</v>
      </c>
      <c r="B5253" s="878">
        <v>2294.9899999999998</v>
      </c>
    </row>
    <row r="5254" spans="1:2" ht="16.149999999999999" customHeight="1">
      <c r="A5254" s="877">
        <v>38814</v>
      </c>
      <c r="B5254" s="880">
        <v>2313.0500000000002</v>
      </c>
    </row>
    <row r="5255" spans="1:2" ht="16.149999999999999" customHeight="1">
      <c r="A5255" s="877">
        <v>38815</v>
      </c>
      <c r="B5255" s="878">
        <v>2342.35</v>
      </c>
    </row>
    <row r="5256" spans="1:2" ht="16.149999999999999" customHeight="1">
      <c r="A5256" s="877">
        <v>38816</v>
      </c>
      <c r="B5256" s="880">
        <v>2342.35</v>
      </c>
    </row>
    <row r="5257" spans="1:2" ht="16.149999999999999" customHeight="1">
      <c r="A5257" s="877">
        <v>38817</v>
      </c>
      <c r="B5257" s="878">
        <v>2342.35</v>
      </c>
    </row>
    <row r="5258" spans="1:2" ht="16.149999999999999" customHeight="1">
      <c r="A5258" s="877">
        <v>38818</v>
      </c>
      <c r="B5258" s="880">
        <v>2352.58</v>
      </c>
    </row>
    <row r="5259" spans="1:2" ht="16.149999999999999" customHeight="1">
      <c r="A5259" s="877">
        <v>38819</v>
      </c>
      <c r="B5259" s="878">
        <v>2336.2600000000002</v>
      </c>
    </row>
    <row r="5260" spans="1:2" ht="16.149999999999999" customHeight="1">
      <c r="A5260" s="877">
        <v>38820</v>
      </c>
      <c r="B5260" s="880">
        <v>2335.16</v>
      </c>
    </row>
    <row r="5261" spans="1:2" ht="16.149999999999999" customHeight="1">
      <c r="A5261" s="877">
        <v>38821</v>
      </c>
      <c r="B5261" s="878">
        <v>2335.16</v>
      </c>
    </row>
    <row r="5262" spans="1:2" ht="16.149999999999999" customHeight="1">
      <c r="A5262" s="877">
        <v>38822</v>
      </c>
      <c r="B5262" s="880">
        <v>2335.16</v>
      </c>
    </row>
    <row r="5263" spans="1:2" ht="16.149999999999999" customHeight="1">
      <c r="A5263" s="877">
        <v>38823</v>
      </c>
      <c r="B5263" s="878">
        <v>2335.16</v>
      </c>
    </row>
    <row r="5264" spans="1:2" ht="16.149999999999999" customHeight="1">
      <c r="A5264" s="877">
        <v>38824</v>
      </c>
      <c r="B5264" s="880">
        <v>2335.16</v>
      </c>
    </row>
    <row r="5265" spans="1:2" ht="16.149999999999999" customHeight="1">
      <c r="A5265" s="877">
        <v>38825</v>
      </c>
      <c r="B5265" s="878">
        <v>2366.15</v>
      </c>
    </row>
    <row r="5266" spans="1:2" ht="16.149999999999999" customHeight="1">
      <c r="A5266" s="877">
        <v>38826</v>
      </c>
      <c r="B5266" s="880">
        <v>2349.0300000000002</v>
      </c>
    </row>
    <row r="5267" spans="1:2" ht="16.149999999999999" customHeight="1">
      <c r="A5267" s="877">
        <v>38827</v>
      </c>
      <c r="B5267" s="878">
        <v>2344.73</v>
      </c>
    </row>
    <row r="5268" spans="1:2" ht="16.149999999999999" customHeight="1">
      <c r="A5268" s="877">
        <v>38828</v>
      </c>
      <c r="B5268" s="880">
        <v>2336.1</v>
      </c>
    </row>
    <row r="5269" spans="1:2" ht="16.149999999999999" customHeight="1">
      <c r="A5269" s="877">
        <v>38829</v>
      </c>
      <c r="B5269" s="878">
        <v>2337.42</v>
      </c>
    </row>
    <row r="5270" spans="1:2" ht="16.149999999999999" customHeight="1">
      <c r="A5270" s="877">
        <v>38830</v>
      </c>
      <c r="B5270" s="880">
        <v>2337.42</v>
      </c>
    </row>
    <row r="5271" spans="1:2" ht="16.149999999999999" customHeight="1">
      <c r="A5271" s="877">
        <v>38831</v>
      </c>
      <c r="B5271" s="878">
        <v>2337.42</v>
      </c>
    </row>
    <row r="5272" spans="1:2" ht="16.149999999999999" customHeight="1">
      <c r="A5272" s="877">
        <v>38832</v>
      </c>
      <c r="B5272" s="880">
        <v>2332.9899999999998</v>
      </c>
    </row>
    <row r="5273" spans="1:2" ht="16.149999999999999" customHeight="1">
      <c r="A5273" s="877">
        <v>38833</v>
      </c>
      <c r="B5273" s="878">
        <v>2348.4899999999998</v>
      </c>
    </row>
    <row r="5274" spans="1:2" ht="16.149999999999999" customHeight="1">
      <c r="A5274" s="877">
        <v>38834</v>
      </c>
      <c r="B5274" s="880">
        <v>2373.94</v>
      </c>
    </row>
    <row r="5275" spans="1:2" ht="16.149999999999999" customHeight="1">
      <c r="A5275" s="877">
        <v>38835</v>
      </c>
      <c r="B5275" s="878">
        <v>2375.66</v>
      </c>
    </row>
    <row r="5276" spans="1:2" ht="16.149999999999999" customHeight="1">
      <c r="A5276" s="877">
        <v>38836</v>
      </c>
      <c r="B5276" s="880">
        <v>2375.0300000000002</v>
      </c>
    </row>
    <row r="5277" spans="1:2" ht="16.149999999999999" customHeight="1">
      <c r="A5277" s="877">
        <v>38837</v>
      </c>
      <c r="B5277" s="878">
        <v>2375.0300000000002</v>
      </c>
    </row>
    <row r="5278" spans="1:2" ht="16.149999999999999" customHeight="1">
      <c r="A5278" s="877">
        <v>38838</v>
      </c>
      <c r="B5278" s="880">
        <v>2375.0300000000002</v>
      </c>
    </row>
    <row r="5279" spans="1:2" ht="16.149999999999999" customHeight="1">
      <c r="A5279" s="877">
        <v>38839</v>
      </c>
      <c r="B5279" s="878">
        <v>2375.0300000000002</v>
      </c>
    </row>
    <row r="5280" spans="1:2" ht="16.149999999999999" customHeight="1">
      <c r="A5280" s="877">
        <v>38840</v>
      </c>
      <c r="B5280" s="880">
        <v>2380.31</v>
      </c>
    </row>
    <row r="5281" spans="1:2" ht="16.149999999999999" customHeight="1">
      <c r="A5281" s="877">
        <v>38841</v>
      </c>
      <c r="B5281" s="878">
        <v>2377.59</v>
      </c>
    </row>
    <row r="5282" spans="1:2" ht="16.149999999999999" customHeight="1">
      <c r="A5282" s="877">
        <v>38842</v>
      </c>
      <c r="B5282" s="880">
        <v>2381.36</v>
      </c>
    </row>
    <row r="5283" spans="1:2" ht="16.149999999999999" customHeight="1">
      <c r="A5283" s="877">
        <v>38843</v>
      </c>
      <c r="B5283" s="878">
        <v>2370.63</v>
      </c>
    </row>
    <row r="5284" spans="1:2" ht="16.149999999999999" customHeight="1">
      <c r="A5284" s="877">
        <v>38844</v>
      </c>
      <c r="B5284" s="880">
        <v>2370.63</v>
      </c>
    </row>
    <row r="5285" spans="1:2" ht="16.149999999999999" customHeight="1">
      <c r="A5285" s="877">
        <v>38845</v>
      </c>
      <c r="B5285" s="878">
        <v>2370.63</v>
      </c>
    </row>
    <row r="5286" spans="1:2" ht="16.149999999999999" customHeight="1">
      <c r="A5286" s="877">
        <v>38846</v>
      </c>
      <c r="B5286" s="880">
        <v>2351.06</v>
      </c>
    </row>
    <row r="5287" spans="1:2" ht="16.149999999999999" customHeight="1">
      <c r="A5287" s="877">
        <v>38847</v>
      </c>
      <c r="B5287" s="878">
        <v>2338.7600000000002</v>
      </c>
    </row>
    <row r="5288" spans="1:2" ht="16.149999999999999" customHeight="1">
      <c r="A5288" s="877">
        <v>38848</v>
      </c>
      <c r="B5288" s="880">
        <v>2329.35</v>
      </c>
    </row>
    <row r="5289" spans="1:2" ht="16.149999999999999" customHeight="1">
      <c r="A5289" s="877">
        <v>38849</v>
      </c>
      <c r="B5289" s="878">
        <v>2346.06</v>
      </c>
    </row>
    <row r="5290" spans="1:2" ht="16.149999999999999" customHeight="1">
      <c r="A5290" s="877">
        <v>38850</v>
      </c>
      <c r="B5290" s="880">
        <v>2375.86</v>
      </c>
    </row>
    <row r="5291" spans="1:2" ht="16.149999999999999" customHeight="1">
      <c r="A5291" s="877">
        <v>38851</v>
      </c>
      <c r="B5291" s="878">
        <v>2375.86</v>
      </c>
    </row>
    <row r="5292" spans="1:2" ht="16.149999999999999" customHeight="1">
      <c r="A5292" s="877">
        <v>38852</v>
      </c>
      <c r="B5292" s="880">
        <v>2375.86</v>
      </c>
    </row>
    <row r="5293" spans="1:2" ht="16.149999999999999" customHeight="1">
      <c r="A5293" s="877">
        <v>38853</v>
      </c>
      <c r="B5293" s="878">
        <v>2424.27</v>
      </c>
    </row>
    <row r="5294" spans="1:2" ht="16.149999999999999" customHeight="1">
      <c r="A5294" s="877">
        <v>38854</v>
      </c>
      <c r="B5294" s="880">
        <v>2410.96</v>
      </c>
    </row>
    <row r="5295" spans="1:2" ht="16.149999999999999" customHeight="1">
      <c r="A5295" s="877">
        <v>38855</v>
      </c>
      <c r="B5295" s="878">
        <v>2435.52</v>
      </c>
    </row>
    <row r="5296" spans="1:2" ht="16.149999999999999" customHeight="1">
      <c r="A5296" s="877">
        <v>38856</v>
      </c>
      <c r="B5296" s="880">
        <v>2450.63</v>
      </c>
    </row>
    <row r="5297" spans="1:2" ht="16.149999999999999" customHeight="1">
      <c r="A5297" s="877">
        <v>38857</v>
      </c>
      <c r="B5297" s="878">
        <v>2452.5</v>
      </c>
    </row>
    <row r="5298" spans="1:2" ht="16.149999999999999" customHeight="1">
      <c r="A5298" s="877">
        <v>38858</v>
      </c>
      <c r="B5298" s="880">
        <v>2452.5</v>
      </c>
    </row>
    <row r="5299" spans="1:2" ht="16.149999999999999" customHeight="1">
      <c r="A5299" s="877">
        <v>38859</v>
      </c>
      <c r="B5299" s="878">
        <v>2452.5</v>
      </c>
    </row>
    <row r="5300" spans="1:2" ht="16.149999999999999" customHeight="1">
      <c r="A5300" s="877">
        <v>38860</v>
      </c>
      <c r="B5300" s="880">
        <v>2493.98</v>
      </c>
    </row>
    <row r="5301" spans="1:2" ht="16.149999999999999" customHeight="1">
      <c r="A5301" s="877">
        <v>38861</v>
      </c>
      <c r="B5301" s="878">
        <v>2490.06</v>
      </c>
    </row>
    <row r="5302" spans="1:2" ht="16.149999999999999" customHeight="1">
      <c r="A5302" s="877">
        <v>38862</v>
      </c>
      <c r="B5302" s="880">
        <v>2518.34</v>
      </c>
    </row>
    <row r="5303" spans="1:2" ht="16.149999999999999" customHeight="1">
      <c r="A5303" s="877">
        <v>38863</v>
      </c>
      <c r="B5303" s="878">
        <v>2517.44</v>
      </c>
    </row>
    <row r="5304" spans="1:2" ht="16.149999999999999" customHeight="1">
      <c r="A5304" s="877">
        <v>38864</v>
      </c>
      <c r="B5304" s="880">
        <v>2475.75</v>
      </c>
    </row>
    <row r="5305" spans="1:2" ht="16.149999999999999" customHeight="1">
      <c r="A5305" s="877">
        <v>38865</v>
      </c>
      <c r="B5305" s="878">
        <v>2475.75</v>
      </c>
    </row>
    <row r="5306" spans="1:2" ht="16.149999999999999" customHeight="1">
      <c r="A5306" s="877">
        <v>38866</v>
      </c>
      <c r="B5306" s="880">
        <v>2475.75</v>
      </c>
    </row>
    <row r="5307" spans="1:2" ht="16.149999999999999" customHeight="1">
      <c r="A5307" s="877">
        <v>38867</v>
      </c>
      <c r="B5307" s="878">
        <v>2475.75</v>
      </c>
    </row>
    <row r="5308" spans="1:2" ht="16.149999999999999" customHeight="1">
      <c r="A5308" s="877">
        <v>38868</v>
      </c>
      <c r="B5308" s="880">
        <v>2482.41</v>
      </c>
    </row>
    <row r="5309" spans="1:2" ht="16.149999999999999" customHeight="1">
      <c r="A5309" s="877">
        <v>38869</v>
      </c>
      <c r="B5309" s="878">
        <v>2486.0700000000002</v>
      </c>
    </row>
    <row r="5310" spans="1:2" ht="16.149999999999999" customHeight="1">
      <c r="A5310" s="877">
        <v>38870</v>
      </c>
      <c r="B5310" s="880">
        <v>2484.62</v>
      </c>
    </row>
    <row r="5311" spans="1:2" ht="16.149999999999999" customHeight="1">
      <c r="A5311" s="877">
        <v>38871</v>
      </c>
      <c r="B5311" s="878">
        <v>2450.8000000000002</v>
      </c>
    </row>
    <row r="5312" spans="1:2" ht="16.149999999999999" customHeight="1">
      <c r="A5312" s="877">
        <v>38872</v>
      </c>
      <c r="B5312" s="880">
        <v>2450.8000000000002</v>
      </c>
    </row>
    <row r="5313" spans="1:2" ht="16.149999999999999" customHeight="1">
      <c r="A5313" s="877">
        <v>38873</v>
      </c>
      <c r="B5313" s="878">
        <v>2450.8000000000002</v>
      </c>
    </row>
    <row r="5314" spans="1:2" ht="16.149999999999999" customHeight="1">
      <c r="A5314" s="877">
        <v>38874</v>
      </c>
      <c r="B5314" s="880">
        <v>2443.7199999999998</v>
      </c>
    </row>
    <row r="5315" spans="1:2" ht="16.149999999999999" customHeight="1">
      <c r="A5315" s="877">
        <v>38875</v>
      </c>
      <c r="B5315" s="878">
        <v>2470.9899999999998</v>
      </c>
    </row>
    <row r="5316" spans="1:2" ht="16.149999999999999" customHeight="1">
      <c r="A5316" s="877">
        <v>38876</v>
      </c>
      <c r="B5316" s="880">
        <v>2482.15</v>
      </c>
    </row>
    <row r="5317" spans="1:2" ht="16.149999999999999" customHeight="1">
      <c r="A5317" s="877">
        <v>38877</v>
      </c>
      <c r="B5317" s="878">
        <v>2511.34</v>
      </c>
    </row>
    <row r="5318" spans="1:2" ht="16.149999999999999" customHeight="1">
      <c r="A5318" s="877">
        <v>38878</v>
      </c>
      <c r="B5318" s="880">
        <v>2510.8200000000002</v>
      </c>
    </row>
    <row r="5319" spans="1:2" ht="16.149999999999999" customHeight="1">
      <c r="A5319" s="877">
        <v>38879</v>
      </c>
      <c r="B5319" s="878">
        <v>2510.8200000000002</v>
      </c>
    </row>
    <row r="5320" spans="1:2" ht="16.149999999999999" customHeight="1">
      <c r="A5320" s="877">
        <v>38880</v>
      </c>
      <c r="B5320" s="880">
        <v>2510.8200000000002</v>
      </c>
    </row>
    <row r="5321" spans="1:2" ht="16.149999999999999" customHeight="1">
      <c r="A5321" s="877">
        <v>38881</v>
      </c>
      <c r="B5321" s="878">
        <v>2534.83</v>
      </c>
    </row>
    <row r="5322" spans="1:2" ht="16.149999999999999" customHeight="1">
      <c r="A5322" s="877">
        <v>38882</v>
      </c>
      <c r="B5322" s="880">
        <v>2569.1</v>
      </c>
    </row>
    <row r="5323" spans="1:2" ht="16.149999999999999" customHeight="1">
      <c r="A5323" s="877">
        <v>38883</v>
      </c>
      <c r="B5323" s="878">
        <v>2570.11</v>
      </c>
    </row>
    <row r="5324" spans="1:2" ht="16.149999999999999" customHeight="1">
      <c r="A5324" s="877">
        <v>38884</v>
      </c>
      <c r="B5324" s="880">
        <v>2564.3000000000002</v>
      </c>
    </row>
    <row r="5325" spans="1:2" ht="16.149999999999999" customHeight="1">
      <c r="A5325" s="877">
        <v>38885</v>
      </c>
      <c r="B5325" s="878">
        <v>2559.04</v>
      </c>
    </row>
    <row r="5326" spans="1:2" ht="16.149999999999999" customHeight="1">
      <c r="A5326" s="877">
        <v>38886</v>
      </c>
      <c r="B5326" s="880">
        <v>2559.04</v>
      </c>
    </row>
    <row r="5327" spans="1:2" ht="16.149999999999999" customHeight="1">
      <c r="A5327" s="877">
        <v>38887</v>
      </c>
      <c r="B5327" s="878">
        <v>2559.04</v>
      </c>
    </row>
    <row r="5328" spans="1:2" ht="16.149999999999999" customHeight="1">
      <c r="A5328" s="877">
        <v>38888</v>
      </c>
      <c r="B5328" s="880">
        <v>2559.04</v>
      </c>
    </row>
    <row r="5329" spans="1:2" ht="16.149999999999999" customHeight="1">
      <c r="A5329" s="877">
        <v>38889</v>
      </c>
      <c r="B5329" s="878">
        <v>2568.12</v>
      </c>
    </row>
    <row r="5330" spans="1:2" ht="16.149999999999999" customHeight="1">
      <c r="A5330" s="877">
        <v>38890</v>
      </c>
      <c r="B5330" s="880">
        <v>2566.7600000000002</v>
      </c>
    </row>
    <row r="5331" spans="1:2" ht="16.149999999999999" customHeight="1">
      <c r="A5331" s="877">
        <v>38891</v>
      </c>
      <c r="B5331" s="878">
        <v>2578.02</v>
      </c>
    </row>
    <row r="5332" spans="1:2" ht="16.149999999999999" customHeight="1">
      <c r="A5332" s="877">
        <v>38892</v>
      </c>
      <c r="B5332" s="880">
        <v>2607.13</v>
      </c>
    </row>
    <row r="5333" spans="1:2" ht="16.149999999999999" customHeight="1">
      <c r="A5333" s="877">
        <v>38893</v>
      </c>
      <c r="B5333" s="878">
        <v>2607.13</v>
      </c>
    </row>
    <row r="5334" spans="1:2" ht="16.149999999999999" customHeight="1">
      <c r="A5334" s="877">
        <v>38894</v>
      </c>
      <c r="B5334" s="880">
        <v>2607.13</v>
      </c>
    </row>
    <row r="5335" spans="1:2" ht="16.149999999999999" customHeight="1">
      <c r="A5335" s="877">
        <v>38895</v>
      </c>
      <c r="B5335" s="878">
        <v>2607.13</v>
      </c>
    </row>
    <row r="5336" spans="1:2" ht="16.149999999999999" customHeight="1">
      <c r="A5336" s="877">
        <v>38896</v>
      </c>
      <c r="B5336" s="880">
        <v>2619.75</v>
      </c>
    </row>
    <row r="5337" spans="1:2" ht="16.149999999999999" customHeight="1">
      <c r="A5337" s="877">
        <v>38897</v>
      </c>
      <c r="B5337" s="878">
        <v>2634.06</v>
      </c>
    </row>
    <row r="5338" spans="1:2" ht="16.149999999999999" customHeight="1">
      <c r="A5338" s="877">
        <v>38898</v>
      </c>
      <c r="B5338" s="880">
        <v>2633.12</v>
      </c>
    </row>
    <row r="5339" spans="1:2" ht="16.149999999999999" customHeight="1">
      <c r="A5339" s="877">
        <v>38899</v>
      </c>
      <c r="B5339" s="878">
        <v>2579.08</v>
      </c>
    </row>
    <row r="5340" spans="1:2" ht="16.149999999999999" customHeight="1">
      <c r="A5340" s="877">
        <v>38900</v>
      </c>
      <c r="B5340" s="880">
        <v>2579.08</v>
      </c>
    </row>
    <row r="5341" spans="1:2" ht="16.149999999999999" customHeight="1">
      <c r="A5341" s="877">
        <v>38901</v>
      </c>
      <c r="B5341" s="878">
        <v>2579.08</v>
      </c>
    </row>
    <row r="5342" spans="1:2" ht="16.149999999999999" customHeight="1">
      <c r="A5342" s="877">
        <v>38902</v>
      </c>
      <c r="B5342" s="880">
        <v>2579.08</v>
      </c>
    </row>
    <row r="5343" spans="1:2" ht="16.149999999999999" customHeight="1">
      <c r="A5343" s="877">
        <v>38903</v>
      </c>
      <c r="B5343" s="878">
        <v>2579.08</v>
      </c>
    </row>
    <row r="5344" spans="1:2" ht="16.149999999999999" customHeight="1">
      <c r="A5344" s="877">
        <v>38904</v>
      </c>
      <c r="B5344" s="880">
        <v>2574.7399999999998</v>
      </c>
    </row>
    <row r="5345" spans="1:2" ht="16.149999999999999" customHeight="1">
      <c r="A5345" s="877">
        <v>38905</v>
      </c>
      <c r="B5345" s="878">
        <v>2562.85</v>
      </c>
    </row>
    <row r="5346" spans="1:2" ht="16.149999999999999" customHeight="1">
      <c r="A5346" s="877">
        <v>38906</v>
      </c>
      <c r="B5346" s="880">
        <v>2525.5</v>
      </c>
    </row>
    <row r="5347" spans="1:2" ht="16.149999999999999" customHeight="1">
      <c r="A5347" s="877">
        <v>38907</v>
      </c>
      <c r="B5347" s="878">
        <v>2525.5</v>
      </c>
    </row>
    <row r="5348" spans="1:2" ht="16.149999999999999" customHeight="1">
      <c r="A5348" s="877">
        <v>38908</v>
      </c>
      <c r="B5348" s="880">
        <v>2525.5</v>
      </c>
    </row>
    <row r="5349" spans="1:2" ht="16.149999999999999" customHeight="1">
      <c r="A5349" s="877">
        <v>38909</v>
      </c>
      <c r="B5349" s="878">
        <v>2491.4499999999998</v>
      </c>
    </row>
    <row r="5350" spans="1:2" ht="16.149999999999999" customHeight="1">
      <c r="A5350" s="877">
        <v>38910</v>
      </c>
      <c r="B5350" s="880">
        <v>2488.33</v>
      </c>
    </row>
    <row r="5351" spans="1:2" ht="16.149999999999999" customHeight="1">
      <c r="A5351" s="877">
        <v>38911</v>
      </c>
      <c r="B5351" s="878">
        <v>2512.4</v>
      </c>
    </row>
    <row r="5352" spans="1:2" ht="16.149999999999999" customHeight="1">
      <c r="A5352" s="877">
        <v>38912</v>
      </c>
      <c r="B5352" s="880">
        <v>2534.13</v>
      </c>
    </row>
    <row r="5353" spans="1:2" ht="16.149999999999999" customHeight="1">
      <c r="A5353" s="877">
        <v>38913</v>
      </c>
      <c r="B5353" s="878">
        <v>2549.77</v>
      </c>
    </row>
    <row r="5354" spans="1:2" ht="16.149999999999999" customHeight="1">
      <c r="A5354" s="877">
        <v>38914</v>
      </c>
      <c r="B5354" s="880">
        <v>2549.77</v>
      </c>
    </row>
    <row r="5355" spans="1:2" ht="16.149999999999999" customHeight="1">
      <c r="A5355" s="877">
        <v>38915</v>
      </c>
      <c r="B5355" s="878">
        <v>2549.77</v>
      </c>
    </row>
    <row r="5356" spans="1:2" ht="16.149999999999999" customHeight="1">
      <c r="A5356" s="877">
        <v>38916</v>
      </c>
      <c r="B5356" s="880">
        <v>2556.7199999999998</v>
      </c>
    </row>
    <row r="5357" spans="1:2" ht="16.149999999999999" customHeight="1">
      <c r="A5357" s="877">
        <v>38917</v>
      </c>
      <c r="B5357" s="878">
        <v>2531.85</v>
      </c>
    </row>
    <row r="5358" spans="1:2" ht="16.149999999999999" customHeight="1">
      <c r="A5358" s="877">
        <v>38918</v>
      </c>
      <c r="B5358" s="880">
        <v>2521.1799999999998</v>
      </c>
    </row>
    <row r="5359" spans="1:2" ht="16.149999999999999" customHeight="1">
      <c r="A5359" s="877">
        <v>38919</v>
      </c>
      <c r="B5359" s="878">
        <v>2521.1799999999998</v>
      </c>
    </row>
    <row r="5360" spans="1:2" ht="16.149999999999999" customHeight="1">
      <c r="A5360" s="877">
        <v>38920</v>
      </c>
      <c r="B5360" s="880">
        <v>2470.3200000000002</v>
      </c>
    </row>
    <row r="5361" spans="1:2" ht="16.149999999999999" customHeight="1">
      <c r="A5361" s="877">
        <v>38921</v>
      </c>
      <c r="B5361" s="878">
        <v>2470.3200000000002</v>
      </c>
    </row>
    <row r="5362" spans="1:2" ht="16.149999999999999" customHeight="1">
      <c r="A5362" s="877">
        <v>38922</v>
      </c>
      <c r="B5362" s="880">
        <v>2470.3200000000002</v>
      </c>
    </row>
    <row r="5363" spans="1:2" ht="16.149999999999999" customHeight="1">
      <c r="A5363" s="877">
        <v>38923</v>
      </c>
      <c r="B5363" s="878">
        <v>2450.79</v>
      </c>
    </row>
    <row r="5364" spans="1:2" ht="16.149999999999999" customHeight="1">
      <c r="A5364" s="877">
        <v>38924</v>
      </c>
      <c r="B5364" s="880">
        <v>2458.56</v>
      </c>
    </row>
    <row r="5365" spans="1:2" ht="16.149999999999999" customHeight="1">
      <c r="A5365" s="877">
        <v>38925</v>
      </c>
      <c r="B5365" s="878">
        <v>2466.9499999999998</v>
      </c>
    </row>
    <row r="5366" spans="1:2" ht="16.149999999999999" customHeight="1">
      <c r="A5366" s="877">
        <v>38926</v>
      </c>
      <c r="B5366" s="880">
        <v>2443.35</v>
      </c>
    </row>
    <row r="5367" spans="1:2" ht="16.149999999999999" customHeight="1">
      <c r="A5367" s="877">
        <v>38927</v>
      </c>
      <c r="B5367" s="878">
        <v>2426</v>
      </c>
    </row>
    <row r="5368" spans="1:2" ht="16.149999999999999" customHeight="1">
      <c r="A5368" s="877">
        <v>38928</v>
      </c>
      <c r="B5368" s="880">
        <v>2426</v>
      </c>
    </row>
    <row r="5369" spans="1:2" ht="16.149999999999999" customHeight="1">
      <c r="A5369" s="877">
        <v>38929</v>
      </c>
      <c r="B5369" s="878">
        <v>2426</v>
      </c>
    </row>
    <row r="5370" spans="1:2" ht="16.149999999999999" customHeight="1">
      <c r="A5370" s="877">
        <v>38930</v>
      </c>
      <c r="B5370" s="880">
        <v>2426.52</v>
      </c>
    </row>
    <row r="5371" spans="1:2" ht="16.149999999999999" customHeight="1">
      <c r="A5371" s="877">
        <v>38931</v>
      </c>
      <c r="B5371" s="878">
        <v>2436.4299999999998</v>
      </c>
    </row>
    <row r="5372" spans="1:2" ht="16.149999999999999" customHeight="1">
      <c r="A5372" s="877">
        <v>38932</v>
      </c>
      <c r="B5372" s="880">
        <v>2429.2399999999998</v>
      </c>
    </row>
    <row r="5373" spans="1:2" ht="16.149999999999999" customHeight="1">
      <c r="A5373" s="877">
        <v>38933</v>
      </c>
      <c r="B5373" s="878">
        <v>2415.5100000000002</v>
      </c>
    </row>
    <row r="5374" spans="1:2" ht="16.149999999999999" customHeight="1">
      <c r="A5374" s="877">
        <v>38934</v>
      </c>
      <c r="B5374" s="880">
        <v>2389.87</v>
      </c>
    </row>
    <row r="5375" spans="1:2" ht="16.149999999999999" customHeight="1">
      <c r="A5375" s="877">
        <v>38935</v>
      </c>
      <c r="B5375" s="878">
        <v>2389.87</v>
      </c>
    </row>
    <row r="5376" spans="1:2" ht="16.149999999999999" customHeight="1">
      <c r="A5376" s="877">
        <v>38936</v>
      </c>
      <c r="B5376" s="880">
        <v>2389.87</v>
      </c>
    </row>
    <row r="5377" spans="1:2" ht="16.149999999999999" customHeight="1">
      <c r="A5377" s="877">
        <v>38937</v>
      </c>
      <c r="B5377" s="878">
        <v>2389.87</v>
      </c>
    </row>
    <row r="5378" spans="1:2" ht="16.149999999999999" customHeight="1">
      <c r="A5378" s="877">
        <v>38938</v>
      </c>
      <c r="B5378" s="880">
        <v>2388.13</v>
      </c>
    </row>
    <row r="5379" spans="1:2" ht="16.149999999999999" customHeight="1">
      <c r="A5379" s="877">
        <v>38939</v>
      </c>
      <c r="B5379" s="878">
        <v>2363.8200000000002</v>
      </c>
    </row>
    <row r="5380" spans="1:2" ht="16.149999999999999" customHeight="1">
      <c r="A5380" s="877">
        <v>38940</v>
      </c>
      <c r="B5380" s="880">
        <v>2363.56</v>
      </c>
    </row>
    <row r="5381" spans="1:2" ht="16.149999999999999" customHeight="1">
      <c r="A5381" s="877">
        <v>38941</v>
      </c>
      <c r="B5381" s="878">
        <v>2371.77</v>
      </c>
    </row>
    <row r="5382" spans="1:2" ht="16.149999999999999" customHeight="1">
      <c r="A5382" s="877">
        <v>38942</v>
      </c>
      <c r="B5382" s="880">
        <v>2371.77</v>
      </c>
    </row>
    <row r="5383" spans="1:2" ht="16.149999999999999" customHeight="1">
      <c r="A5383" s="877">
        <v>38943</v>
      </c>
      <c r="B5383" s="878">
        <v>2371.77</v>
      </c>
    </row>
    <row r="5384" spans="1:2" ht="16.149999999999999" customHeight="1">
      <c r="A5384" s="877">
        <v>38944</v>
      </c>
      <c r="B5384" s="880">
        <v>2372.9499999999998</v>
      </c>
    </row>
    <row r="5385" spans="1:2" ht="16.149999999999999" customHeight="1">
      <c r="A5385" s="877">
        <v>38945</v>
      </c>
      <c r="B5385" s="878">
        <v>2362.2800000000002</v>
      </c>
    </row>
    <row r="5386" spans="1:2" ht="16.149999999999999" customHeight="1">
      <c r="A5386" s="877">
        <v>38946</v>
      </c>
      <c r="B5386" s="880">
        <v>2356.4899999999998</v>
      </c>
    </row>
    <row r="5387" spans="1:2" ht="16.149999999999999" customHeight="1">
      <c r="A5387" s="877">
        <v>38947</v>
      </c>
      <c r="B5387" s="878">
        <v>2366.36</v>
      </c>
    </row>
    <row r="5388" spans="1:2" ht="16.149999999999999" customHeight="1">
      <c r="A5388" s="877">
        <v>38948</v>
      </c>
      <c r="B5388" s="880">
        <v>2370.4899999999998</v>
      </c>
    </row>
    <row r="5389" spans="1:2" ht="16.149999999999999" customHeight="1">
      <c r="A5389" s="877">
        <v>38949</v>
      </c>
      <c r="B5389" s="878">
        <v>2370.4899999999998</v>
      </c>
    </row>
    <row r="5390" spans="1:2" ht="16.149999999999999" customHeight="1">
      <c r="A5390" s="877">
        <v>38950</v>
      </c>
      <c r="B5390" s="880">
        <v>2370.4899999999998</v>
      </c>
    </row>
    <row r="5391" spans="1:2" ht="16.149999999999999" customHeight="1">
      <c r="A5391" s="877">
        <v>38951</v>
      </c>
      <c r="B5391" s="878">
        <v>2370.4899999999998</v>
      </c>
    </row>
    <row r="5392" spans="1:2" ht="16.149999999999999" customHeight="1">
      <c r="A5392" s="877">
        <v>38952</v>
      </c>
      <c r="B5392" s="880">
        <v>2362.67</v>
      </c>
    </row>
    <row r="5393" spans="1:2" ht="16.149999999999999" customHeight="1">
      <c r="A5393" s="877">
        <v>38953</v>
      </c>
      <c r="B5393" s="878">
        <v>2374.59</v>
      </c>
    </row>
    <row r="5394" spans="1:2" ht="16.149999999999999" customHeight="1">
      <c r="A5394" s="877">
        <v>38954</v>
      </c>
      <c r="B5394" s="880">
        <v>2398</v>
      </c>
    </row>
    <row r="5395" spans="1:2" ht="16.149999999999999" customHeight="1">
      <c r="A5395" s="877">
        <v>38955</v>
      </c>
      <c r="B5395" s="878">
        <v>2425.65</v>
      </c>
    </row>
    <row r="5396" spans="1:2" ht="16.149999999999999" customHeight="1">
      <c r="A5396" s="877">
        <v>38956</v>
      </c>
      <c r="B5396" s="880">
        <v>2425.65</v>
      </c>
    </row>
    <row r="5397" spans="1:2" ht="16.149999999999999" customHeight="1">
      <c r="A5397" s="877">
        <v>38957</v>
      </c>
      <c r="B5397" s="878">
        <v>2425.65</v>
      </c>
    </row>
    <row r="5398" spans="1:2" ht="16.149999999999999" customHeight="1">
      <c r="A5398" s="877">
        <v>38958</v>
      </c>
      <c r="B5398" s="880">
        <v>2409.54</v>
      </c>
    </row>
    <row r="5399" spans="1:2" ht="16.149999999999999" customHeight="1">
      <c r="A5399" s="877">
        <v>38959</v>
      </c>
      <c r="B5399" s="878">
        <v>2402.0700000000002</v>
      </c>
    </row>
    <row r="5400" spans="1:2" ht="16.149999999999999" customHeight="1">
      <c r="A5400" s="877">
        <v>38960</v>
      </c>
      <c r="B5400" s="880">
        <v>2396.63</v>
      </c>
    </row>
    <row r="5401" spans="1:2" ht="16.149999999999999" customHeight="1">
      <c r="A5401" s="877">
        <v>38961</v>
      </c>
      <c r="B5401" s="878">
        <v>2398.56</v>
      </c>
    </row>
    <row r="5402" spans="1:2" ht="16.149999999999999" customHeight="1">
      <c r="A5402" s="877">
        <v>38962</v>
      </c>
      <c r="B5402" s="880">
        <v>2398.83</v>
      </c>
    </row>
    <row r="5403" spans="1:2" ht="16.149999999999999" customHeight="1">
      <c r="A5403" s="877">
        <v>38963</v>
      </c>
      <c r="B5403" s="878">
        <v>2398.83</v>
      </c>
    </row>
    <row r="5404" spans="1:2" ht="16.149999999999999" customHeight="1">
      <c r="A5404" s="877">
        <v>38964</v>
      </c>
      <c r="B5404" s="880">
        <v>2398.83</v>
      </c>
    </row>
    <row r="5405" spans="1:2" ht="16.149999999999999" customHeight="1">
      <c r="A5405" s="877">
        <v>38965</v>
      </c>
      <c r="B5405" s="878">
        <v>2398.83</v>
      </c>
    </row>
    <row r="5406" spans="1:2" ht="16.149999999999999" customHeight="1">
      <c r="A5406" s="877">
        <v>38966</v>
      </c>
      <c r="B5406" s="880">
        <v>2377.1799999999998</v>
      </c>
    </row>
    <row r="5407" spans="1:2" ht="16.149999999999999" customHeight="1">
      <c r="A5407" s="877">
        <v>38967</v>
      </c>
      <c r="B5407" s="878">
        <v>2381.46</v>
      </c>
    </row>
    <row r="5408" spans="1:2" ht="16.149999999999999" customHeight="1">
      <c r="A5408" s="877">
        <v>38968</v>
      </c>
      <c r="B5408" s="880">
        <v>2387.31</v>
      </c>
    </row>
    <row r="5409" spans="1:2" ht="16.149999999999999" customHeight="1">
      <c r="A5409" s="877">
        <v>38969</v>
      </c>
      <c r="B5409" s="878">
        <v>2388.54</v>
      </c>
    </row>
    <row r="5410" spans="1:2" ht="16.149999999999999" customHeight="1">
      <c r="A5410" s="877">
        <v>38970</v>
      </c>
      <c r="B5410" s="880">
        <v>2388.54</v>
      </c>
    </row>
    <row r="5411" spans="1:2" ht="16.149999999999999" customHeight="1">
      <c r="A5411" s="877">
        <v>38971</v>
      </c>
      <c r="B5411" s="878">
        <v>2388.54</v>
      </c>
    </row>
    <row r="5412" spans="1:2" ht="16.149999999999999" customHeight="1">
      <c r="A5412" s="877">
        <v>38972</v>
      </c>
      <c r="B5412" s="880">
        <v>2409.9299999999998</v>
      </c>
    </row>
    <row r="5413" spans="1:2" ht="16.149999999999999" customHeight="1">
      <c r="A5413" s="877">
        <v>38973</v>
      </c>
      <c r="B5413" s="878">
        <v>2406.89</v>
      </c>
    </row>
    <row r="5414" spans="1:2" ht="16.149999999999999" customHeight="1">
      <c r="A5414" s="877">
        <v>38974</v>
      </c>
      <c r="B5414" s="880">
        <v>2399.92</v>
      </c>
    </row>
    <row r="5415" spans="1:2" ht="16.149999999999999" customHeight="1">
      <c r="A5415" s="877">
        <v>38975</v>
      </c>
      <c r="B5415" s="878">
        <v>2392.81</v>
      </c>
    </row>
    <row r="5416" spans="1:2" ht="16.149999999999999" customHeight="1">
      <c r="A5416" s="877">
        <v>38976</v>
      </c>
      <c r="B5416" s="880">
        <v>2390.66</v>
      </c>
    </row>
    <row r="5417" spans="1:2" ht="16.149999999999999" customHeight="1">
      <c r="A5417" s="877">
        <v>38977</v>
      </c>
      <c r="B5417" s="878">
        <v>2390.66</v>
      </c>
    </row>
    <row r="5418" spans="1:2" ht="16.149999999999999" customHeight="1">
      <c r="A5418" s="877">
        <v>38978</v>
      </c>
      <c r="B5418" s="880">
        <v>2390.66</v>
      </c>
    </row>
    <row r="5419" spans="1:2" ht="16.149999999999999" customHeight="1">
      <c r="A5419" s="877">
        <v>38979</v>
      </c>
      <c r="B5419" s="878">
        <v>2395.4299999999998</v>
      </c>
    </row>
    <row r="5420" spans="1:2" ht="16.149999999999999" customHeight="1">
      <c r="A5420" s="877">
        <v>38980</v>
      </c>
      <c r="B5420" s="880">
        <v>2396.41</v>
      </c>
    </row>
    <row r="5421" spans="1:2" ht="16.149999999999999" customHeight="1">
      <c r="A5421" s="877">
        <v>38981</v>
      </c>
      <c r="B5421" s="878">
        <v>2399.46</v>
      </c>
    </row>
    <row r="5422" spans="1:2" ht="16.149999999999999" customHeight="1">
      <c r="A5422" s="877">
        <v>38982</v>
      </c>
      <c r="B5422" s="880">
        <v>2408.62</v>
      </c>
    </row>
    <row r="5423" spans="1:2" ht="16.149999999999999" customHeight="1">
      <c r="A5423" s="877">
        <v>38983</v>
      </c>
      <c r="B5423" s="878">
        <v>2417.23</v>
      </c>
    </row>
    <row r="5424" spans="1:2" ht="16.149999999999999" customHeight="1">
      <c r="A5424" s="877">
        <v>38984</v>
      </c>
      <c r="B5424" s="880">
        <v>2417.23</v>
      </c>
    </row>
    <row r="5425" spans="1:2" ht="16.149999999999999" customHeight="1">
      <c r="A5425" s="877">
        <v>38985</v>
      </c>
      <c r="B5425" s="878">
        <v>2417.23</v>
      </c>
    </row>
    <row r="5426" spans="1:2" ht="16.149999999999999" customHeight="1">
      <c r="A5426" s="877">
        <v>38986</v>
      </c>
      <c r="B5426" s="880">
        <v>2420.25</v>
      </c>
    </row>
    <row r="5427" spans="1:2" ht="16.149999999999999" customHeight="1">
      <c r="A5427" s="877">
        <v>38987</v>
      </c>
      <c r="B5427" s="878">
        <v>2411.6799999999998</v>
      </c>
    </row>
    <row r="5428" spans="1:2" ht="16.149999999999999" customHeight="1">
      <c r="A5428" s="877">
        <v>38988</v>
      </c>
      <c r="B5428" s="880">
        <v>2399.36</v>
      </c>
    </row>
    <row r="5429" spans="1:2" ht="16.149999999999999" customHeight="1">
      <c r="A5429" s="877">
        <v>38989</v>
      </c>
      <c r="B5429" s="878">
        <v>2397.0700000000002</v>
      </c>
    </row>
    <row r="5430" spans="1:2" ht="16.149999999999999" customHeight="1">
      <c r="A5430" s="877">
        <v>38990</v>
      </c>
      <c r="B5430" s="880">
        <v>2394.31</v>
      </c>
    </row>
    <row r="5431" spans="1:2" ht="16.149999999999999" customHeight="1">
      <c r="A5431" s="877">
        <v>38991</v>
      </c>
      <c r="B5431" s="878">
        <v>2394.31</v>
      </c>
    </row>
    <row r="5432" spans="1:2" ht="16.149999999999999" customHeight="1">
      <c r="A5432" s="877">
        <v>38992</v>
      </c>
      <c r="B5432" s="880">
        <v>2394.31</v>
      </c>
    </row>
    <row r="5433" spans="1:2" ht="16.149999999999999" customHeight="1">
      <c r="A5433" s="877">
        <v>38993</v>
      </c>
      <c r="B5433" s="878">
        <v>2390.41</v>
      </c>
    </row>
    <row r="5434" spans="1:2" ht="16.149999999999999" customHeight="1">
      <c r="A5434" s="877">
        <v>38994</v>
      </c>
      <c r="B5434" s="880">
        <v>2396.38</v>
      </c>
    </row>
    <row r="5435" spans="1:2" ht="16.149999999999999" customHeight="1">
      <c r="A5435" s="877">
        <v>38995</v>
      </c>
      <c r="B5435" s="878">
        <v>2403.4299999999998</v>
      </c>
    </row>
    <row r="5436" spans="1:2" ht="16.149999999999999" customHeight="1">
      <c r="A5436" s="877">
        <v>38996</v>
      </c>
      <c r="B5436" s="880">
        <v>2393.4699999999998</v>
      </c>
    </row>
    <row r="5437" spans="1:2" ht="16.149999999999999" customHeight="1">
      <c r="A5437" s="877">
        <v>38997</v>
      </c>
      <c r="B5437" s="878">
        <v>2395.23</v>
      </c>
    </row>
    <row r="5438" spans="1:2" ht="16.149999999999999" customHeight="1">
      <c r="A5438" s="877">
        <v>38998</v>
      </c>
      <c r="B5438" s="880">
        <v>2395.23</v>
      </c>
    </row>
    <row r="5439" spans="1:2" ht="16.149999999999999" customHeight="1">
      <c r="A5439" s="877">
        <v>38999</v>
      </c>
      <c r="B5439" s="878">
        <v>2395.23</v>
      </c>
    </row>
    <row r="5440" spans="1:2" ht="16.149999999999999" customHeight="1">
      <c r="A5440" s="877">
        <v>39000</v>
      </c>
      <c r="B5440" s="880">
        <v>2395.23</v>
      </c>
    </row>
    <row r="5441" spans="1:2" ht="16.149999999999999" customHeight="1">
      <c r="A5441" s="877">
        <v>39001</v>
      </c>
      <c r="B5441" s="878">
        <v>2387.11</v>
      </c>
    </row>
    <row r="5442" spans="1:2" ht="16.149999999999999" customHeight="1">
      <c r="A5442" s="877">
        <v>39002</v>
      </c>
      <c r="B5442" s="880">
        <v>2389.0700000000002</v>
      </c>
    </row>
    <row r="5443" spans="1:2" ht="16.149999999999999" customHeight="1">
      <c r="A5443" s="877">
        <v>39003</v>
      </c>
      <c r="B5443" s="878">
        <v>2374.5100000000002</v>
      </c>
    </row>
    <row r="5444" spans="1:2" ht="16.149999999999999" customHeight="1">
      <c r="A5444" s="877">
        <v>39004</v>
      </c>
      <c r="B5444" s="880">
        <v>2356.5300000000002</v>
      </c>
    </row>
    <row r="5445" spans="1:2" ht="16.149999999999999" customHeight="1">
      <c r="A5445" s="877">
        <v>39005</v>
      </c>
      <c r="B5445" s="878">
        <v>2356.5300000000002</v>
      </c>
    </row>
    <row r="5446" spans="1:2" ht="16.149999999999999" customHeight="1">
      <c r="A5446" s="877">
        <v>39006</v>
      </c>
      <c r="B5446" s="880">
        <v>2356.5300000000002</v>
      </c>
    </row>
    <row r="5447" spans="1:2" ht="16.149999999999999" customHeight="1">
      <c r="A5447" s="877">
        <v>39007</v>
      </c>
      <c r="B5447" s="878">
        <v>2356.5300000000002</v>
      </c>
    </row>
    <row r="5448" spans="1:2" ht="16.149999999999999" customHeight="1">
      <c r="A5448" s="877">
        <v>39008</v>
      </c>
      <c r="B5448" s="880">
        <v>2359.41</v>
      </c>
    </row>
    <row r="5449" spans="1:2" ht="16.149999999999999" customHeight="1">
      <c r="A5449" s="877">
        <v>39009</v>
      </c>
      <c r="B5449" s="878">
        <v>2348.4299999999998</v>
      </c>
    </row>
    <row r="5450" spans="1:2" ht="16.149999999999999" customHeight="1">
      <c r="A5450" s="877">
        <v>39010</v>
      </c>
      <c r="B5450" s="880">
        <v>2345.4899999999998</v>
      </c>
    </row>
    <row r="5451" spans="1:2" ht="16.149999999999999" customHeight="1">
      <c r="A5451" s="877">
        <v>39011</v>
      </c>
      <c r="B5451" s="878">
        <v>2340.89</v>
      </c>
    </row>
    <row r="5452" spans="1:2" ht="16.149999999999999" customHeight="1">
      <c r="A5452" s="877">
        <v>39012</v>
      </c>
      <c r="B5452" s="880">
        <v>2340.89</v>
      </c>
    </row>
    <row r="5453" spans="1:2" ht="16.149999999999999" customHeight="1">
      <c r="A5453" s="877">
        <v>39013</v>
      </c>
      <c r="B5453" s="878">
        <v>2340.89</v>
      </c>
    </row>
    <row r="5454" spans="1:2" ht="16.149999999999999" customHeight="1">
      <c r="A5454" s="877">
        <v>39014</v>
      </c>
      <c r="B5454" s="880">
        <v>2341.5100000000002</v>
      </c>
    </row>
    <row r="5455" spans="1:2" ht="16.149999999999999" customHeight="1">
      <c r="A5455" s="877">
        <v>39015</v>
      </c>
      <c r="B5455" s="878">
        <v>2341.33</v>
      </c>
    </row>
    <row r="5456" spans="1:2" ht="16.149999999999999" customHeight="1">
      <c r="A5456" s="877">
        <v>39016</v>
      </c>
      <c r="B5456" s="880">
        <v>2339.92</v>
      </c>
    </row>
    <row r="5457" spans="1:2" ht="16.149999999999999" customHeight="1">
      <c r="A5457" s="877">
        <v>39017</v>
      </c>
      <c r="B5457" s="878">
        <v>2327.23</v>
      </c>
    </row>
    <row r="5458" spans="1:2" ht="16.149999999999999" customHeight="1">
      <c r="A5458" s="877">
        <v>39018</v>
      </c>
      <c r="B5458" s="880">
        <v>2314.7600000000002</v>
      </c>
    </row>
    <row r="5459" spans="1:2" ht="16.149999999999999" customHeight="1">
      <c r="A5459" s="877">
        <v>39019</v>
      </c>
      <c r="B5459" s="878">
        <v>2314.7600000000002</v>
      </c>
    </row>
    <row r="5460" spans="1:2" ht="16.149999999999999" customHeight="1">
      <c r="A5460" s="877">
        <v>39020</v>
      </c>
      <c r="B5460" s="880">
        <v>2314.7600000000002</v>
      </c>
    </row>
    <row r="5461" spans="1:2" ht="16.149999999999999" customHeight="1">
      <c r="A5461" s="877">
        <v>39021</v>
      </c>
      <c r="B5461" s="878">
        <v>2315.38</v>
      </c>
    </row>
    <row r="5462" spans="1:2" ht="16.149999999999999" customHeight="1">
      <c r="A5462" s="877">
        <v>39022</v>
      </c>
      <c r="B5462" s="880">
        <v>2308.4899999999998</v>
      </c>
    </row>
    <row r="5463" spans="1:2" ht="16.149999999999999" customHeight="1">
      <c r="A5463" s="877">
        <v>39023</v>
      </c>
      <c r="B5463" s="878">
        <v>2302.64</v>
      </c>
    </row>
    <row r="5464" spans="1:2" ht="16.149999999999999" customHeight="1">
      <c r="A5464" s="877">
        <v>39024</v>
      </c>
      <c r="B5464" s="880">
        <v>2296.65</v>
      </c>
    </row>
    <row r="5465" spans="1:2" ht="16.149999999999999" customHeight="1">
      <c r="A5465" s="877">
        <v>39025</v>
      </c>
      <c r="B5465" s="878">
        <v>2300.88</v>
      </c>
    </row>
    <row r="5466" spans="1:2" ht="16.149999999999999" customHeight="1">
      <c r="A5466" s="877">
        <v>39026</v>
      </c>
      <c r="B5466" s="880">
        <v>2300.88</v>
      </c>
    </row>
    <row r="5467" spans="1:2" ht="16.149999999999999" customHeight="1">
      <c r="A5467" s="877">
        <v>39027</v>
      </c>
      <c r="B5467" s="878">
        <v>2300.88</v>
      </c>
    </row>
    <row r="5468" spans="1:2" ht="16.149999999999999" customHeight="1">
      <c r="A5468" s="877">
        <v>39028</v>
      </c>
      <c r="B5468" s="880">
        <v>2300.88</v>
      </c>
    </row>
    <row r="5469" spans="1:2" ht="16.149999999999999" customHeight="1">
      <c r="A5469" s="877">
        <v>39029</v>
      </c>
      <c r="B5469" s="878">
        <v>2288.13</v>
      </c>
    </row>
    <row r="5470" spans="1:2" ht="16.149999999999999" customHeight="1">
      <c r="A5470" s="877">
        <v>39030</v>
      </c>
      <c r="B5470" s="880">
        <v>2282.52</v>
      </c>
    </row>
    <row r="5471" spans="1:2" ht="16.149999999999999" customHeight="1">
      <c r="A5471" s="877">
        <v>39031</v>
      </c>
      <c r="B5471" s="878">
        <v>2268.4699999999998</v>
      </c>
    </row>
    <row r="5472" spans="1:2" ht="16.149999999999999" customHeight="1">
      <c r="A5472" s="877">
        <v>39032</v>
      </c>
      <c r="B5472" s="880">
        <v>2277.66</v>
      </c>
    </row>
    <row r="5473" spans="1:2" ht="16.149999999999999" customHeight="1">
      <c r="A5473" s="877">
        <v>39033</v>
      </c>
      <c r="B5473" s="878">
        <v>2277.66</v>
      </c>
    </row>
    <row r="5474" spans="1:2" ht="16.149999999999999" customHeight="1">
      <c r="A5474" s="877">
        <v>39034</v>
      </c>
      <c r="B5474" s="880">
        <v>2277.66</v>
      </c>
    </row>
    <row r="5475" spans="1:2" ht="16.149999999999999" customHeight="1">
      <c r="A5475" s="877">
        <v>39035</v>
      </c>
      <c r="B5475" s="878">
        <v>2277.66</v>
      </c>
    </row>
    <row r="5476" spans="1:2" ht="16.149999999999999" customHeight="1">
      <c r="A5476" s="877">
        <v>39036</v>
      </c>
      <c r="B5476" s="880">
        <v>2277.21</v>
      </c>
    </row>
    <row r="5477" spans="1:2" ht="16.149999999999999" customHeight="1">
      <c r="A5477" s="877">
        <v>39037</v>
      </c>
      <c r="B5477" s="878">
        <v>2274.2600000000002</v>
      </c>
    </row>
    <row r="5478" spans="1:2" ht="16.149999999999999" customHeight="1">
      <c r="A5478" s="877">
        <v>39038</v>
      </c>
      <c r="B5478" s="880">
        <v>2276.37</v>
      </c>
    </row>
    <row r="5479" spans="1:2" ht="16.149999999999999" customHeight="1">
      <c r="A5479" s="877">
        <v>39039</v>
      </c>
      <c r="B5479" s="878">
        <v>2285.65</v>
      </c>
    </row>
    <row r="5480" spans="1:2" ht="16.149999999999999" customHeight="1">
      <c r="A5480" s="877">
        <v>39040</v>
      </c>
      <c r="B5480" s="880">
        <v>2285.65</v>
      </c>
    </row>
    <row r="5481" spans="1:2" ht="16.149999999999999" customHeight="1">
      <c r="A5481" s="877">
        <v>39041</v>
      </c>
      <c r="B5481" s="878">
        <v>2285.65</v>
      </c>
    </row>
    <row r="5482" spans="1:2" ht="16.149999999999999" customHeight="1">
      <c r="A5482" s="877">
        <v>39042</v>
      </c>
      <c r="B5482" s="880">
        <v>2283.9899999999998</v>
      </c>
    </row>
    <row r="5483" spans="1:2" ht="16.149999999999999" customHeight="1">
      <c r="A5483" s="877">
        <v>39043</v>
      </c>
      <c r="B5483" s="878">
        <v>2282.67</v>
      </c>
    </row>
    <row r="5484" spans="1:2" ht="16.149999999999999" customHeight="1">
      <c r="A5484" s="877">
        <v>39044</v>
      </c>
      <c r="B5484" s="880">
        <v>2283.33</v>
      </c>
    </row>
    <row r="5485" spans="1:2" ht="16.149999999999999" customHeight="1">
      <c r="A5485" s="877">
        <v>39045</v>
      </c>
      <c r="B5485" s="878">
        <v>2283.33</v>
      </c>
    </row>
    <row r="5486" spans="1:2" ht="16.149999999999999" customHeight="1">
      <c r="A5486" s="877">
        <v>39046</v>
      </c>
      <c r="B5486" s="880">
        <v>2298.52</v>
      </c>
    </row>
    <row r="5487" spans="1:2" ht="16.149999999999999" customHeight="1">
      <c r="A5487" s="877">
        <v>39047</v>
      </c>
      <c r="B5487" s="878">
        <v>2298.52</v>
      </c>
    </row>
    <row r="5488" spans="1:2" ht="16.149999999999999" customHeight="1">
      <c r="A5488" s="877">
        <v>39048</v>
      </c>
      <c r="B5488" s="880">
        <v>2298.52</v>
      </c>
    </row>
    <row r="5489" spans="1:2" ht="16.149999999999999" customHeight="1">
      <c r="A5489" s="877">
        <v>39049</v>
      </c>
      <c r="B5489" s="878">
        <v>2320.64</v>
      </c>
    </row>
    <row r="5490" spans="1:2" ht="16.149999999999999" customHeight="1">
      <c r="A5490" s="877">
        <v>39050</v>
      </c>
      <c r="B5490" s="880">
        <v>2317.35</v>
      </c>
    </row>
    <row r="5491" spans="1:2" ht="16.149999999999999" customHeight="1">
      <c r="A5491" s="877">
        <v>39051</v>
      </c>
      <c r="B5491" s="878">
        <v>2300.42</v>
      </c>
    </row>
    <row r="5492" spans="1:2" ht="16.149999999999999" customHeight="1">
      <c r="A5492" s="877">
        <v>39052</v>
      </c>
      <c r="B5492" s="880">
        <v>2295.9899999999998</v>
      </c>
    </row>
    <row r="5493" spans="1:2" ht="16.149999999999999" customHeight="1">
      <c r="A5493" s="877">
        <v>39053</v>
      </c>
      <c r="B5493" s="878">
        <v>2293.42</v>
      </c>
    </row>
    <row r="5494" spans="1:2" ht="16.149999999999999" customHeight="1">
      <c r="A5494" s="877">
        <v>39054</v>
      </c>
      <c r="B5494" s="880">
        <v>2293.42</v>
      </c>
    </row>
    <row r="5495" spans="1:2" ht="16.149999999999999" customHeight="1">
      <c r="A5495" s="877">
        <v>39055</v>
      </c>
      <c r="B5495" s="878">
        <v>2293.42</v>
      </c>
    </row>
    <row r="5496" spans="1:2" ht="16.149999999999999" customHeight="1">
      <c r="A5496" s="877">
        <v>39056</v>
      </c>
      <c r="B5496" s="880">
        <v>2292.63</v>
      </c>
    </row>
    <row r="5497" spans="1:2" ht="16.149999999999999" customHeight="1">
      <c r="A5497" s="877">
        <v>39057</v>
      </c>
      <c r="B5497" s="878">
        <v>2278.9699999999998</v>
      </c>
    </row>
    <row r="5498" spans="1:2" ht="16.149999999999999" customHeight="1">
      <c r="A5498" s="877">
        <v>39058</v>
      </c>
      <c r="B5498" s="880">
        <v>2279.8200000000002</v>
      </c>
    </row>
    <row r="5499" spans="1:2" ht="16.149999999999999" customHeight="1">
      <c r="A5499" s="877">
        <v>39059</v>
      </c>
      <c r="B5499" s="878">
        <v>2280.5</v>
      </c>
    </row>
    <row r="5500" spans="1:2" ht="16.149999999999999" customHeight="1">
      <c r="A5500" s="877">
        <v>39060</v>
      </c>
      <c r="B5500" s="880">
        <v>2280.5</v>
      </c>
    </row>
    <row r="5501" spans="1:2" ht="16.149999999999999" customHeight="1">
      <c r="A5501" s="877">
        <v>39061</v>
      </c>
      <c r="B5501" s="878">
        <v>2280.5</v>
      </c>
    </row>
    <row r="5502" spans="1:2" ht="16.149999999999999" customHeight="1">
      <c r="A5502" s="877">
        <v>39062</v>
      </c>
      <c r="B5502" s="880">
        <v>2280.5</v>
      </c>
    </row>
    <row r="5503" spans="1:2" ht="16.149999999999999" customHeight="1">
      <c r="A5503" s="877">
        <v>39063</v>
      </c>
      <c r="B5503" s="878">
        <v>2272.09</v>
      </c>
    </row>
    <row r="5504" spans="1:2" ht="16.149999999999999" customHeight="1">
      <c r="A5504" s="877">
        <v>39064</v>
      </c>
      <c r="B5504" s="880">
        <v>2272.27</v>
      </c>
    </row>
    <row r="5505" spans="1:2" ht="16.149999999999999" customHeight="1">
      <c r="A5505" s="877">
        <v>39065</v>
      </c>
      <c r="B5505" s="878">
        <v>2272.75</v>
      </c>
    </row>
    <row r="5506" spans="1:2" ht="16.149999999999999" customHeight="1">
      <c r="A5506" s="877">
        <v>39066</v>
      </c>
      <c r="B5506" s="880">
        <v>2270.1799999999998</v>
      </c>
    </row>
    <row r="5507" spans="1:2" ht="16.149999999999999" customHeight="1">
      <c r="A5507" s="877">
        <v>39067</v>
      </c>
      <c r="B5507" s="878">
        <v>2262.15</v>
      </c>
    </row>
    <row r="5508" spans="1:2" ht="16.149999999999999" customHeight="1">
      <c r="A5508" s="877">
        <v>39068</v>
      </c>
      <c r="B5508" s="880">
        <v>2262.15</v>
      </c>
    </row>
    <row r="5509" spans="1:2" ht="16.149999999999999" customHeight="1">
      <c r="A5509" s="877">
        <v>39069</v>
      </c>
      <c r="B5509" s="878">
        <v>2262.15</v>
      </c>
    </row>
    <row r="5510" spans="1:2" ht="16.149999999999999" customHeight="1">
      <c r="A5510" s="877">
        <v>39070</v>
      </c>
      <c r="B5510" s="880">
        <v>2255.38</v>
      </c>
    </row>
    <row r="5511" spans="1:2" ht="16.149999999999999" customHeight="1">
      <c r="A5511" s="877">
        <v>39071</v>
      </c>
      <c r="B5511" s="878">
        <v>2249.2800000000002</v>
      </c>
    </row>
    <row r="5512" spans="1:2" ht="16.149999999999999" customHeight="1">
      <c r="A5512" s="877">
        <v>39072</v>
      </c>
      <c r="B5512" s="880">
        <v>2234.36</v>
      </c>
    </row>
    <row r="5513" spans="1:2" ht="16.149999999999999" customHeight="1">
      <c r="A5513" s="877">
        <v>39073</v>
      </c>
      <c r="B5513" s="878">
        <v>2229.2800000000002</v>
      </c>
    </row>
    <row r="5514" spans="1:2" ht="16.149999999999999" customHeight="1">
      <c r="A5514" s="877">
        <v>39074</v>
      </c>
      <c r="B5514" s="880">
        <v>2228.7600000000002</v>
      </c>
    </row>
    <row r="5515" spans="1:2" ht="16.149999999999999" customHeight="1">
      <c r="A5515" s="877">
        <v>39075</v>
      </c>
      <c r="B5515" s="878">
        <v>2228.7600000000002</v>
      </c>
    </row>
    <row r="5516" spans="1:2" ht="16.149999999999999" customHeight="1">
      <c r="A5516" s="877">
        <v>39076</v>
      </c>
      <c r="B5516" s="880">
        <v>2228.7600000000002</v>
      </c>
    </row>
    <row r="5517" spans="1:2" ht="16.149999999999999" customHeight="1">
      <c r="A5517" s="877">
        <v>39077</v>
      </c>
      <c r="B5517" s="878">
        <v>2228.7600000000002</v>
      </c>
    </row>
    <row r="5518" spans="1:2" ht="16.149999999999999" customHeight="1">
      <c r="A5518" s="877">
        <v>39078</v>
      </c>
      <c r="B5518" s="880">
        <v>2225.44</v>
      </c>
    </row>
    <row r="5519" spans="1:2" ht="16.149999999999999" customHeight="1">
      <c r="A5519" s="877">
        <v>39079</v>
      </c>
      <c r="B5519" s="878">
        <v>2233.31</v>
      </c>
    </row>
    <row r="5520" spans="1:2" ht="16.149999999999999" customHeight="1">
      <c r="A5520" s="877">
        <v>39080</v>
      </c>
      <c r="B5520" s="880">
        <v>2238.79</v>
      </c>
    </row>
    <row r="5521" spans="1:2" ht="16.149999999999999" customHeight="1">
      <c r="A5521" s="877">
        <v>39081</v>
      </c>
      <c r="B5521" s="878">
        <v>2238.79</v>
      </c>
    </row>
    <row r="5522" spans="1:2" ht="16.149999999999999" customHeight="1">
      <c r="A5522" s="877">
        <v>39082</v>
      </c>
      <c r="B5522" s="880">
        <v>2238.79</v>
      </c>
    </row>
    <row r="5523" spans="1:2" ht="16.149999999999999" customHeight="1">
      <c r="A5523" s="877">
        <v>39083</v>
      </c>
      <c r="B5523" s="878">
        <v>2238.79</v>
      </c>
    </row>
    <row r="5524" spans="1:2" ht="16.149999999999999" customHeight="1">
      <c r="A5524" s="877">
        <v>39084</v>
      </c>
      <c r="B5524" s="880">
        <v>2238.79</v>
      </c>
    </row>
    <row r="5525" spans="1:2" ht="16.149999999999999" customHeight="1">
      <c r="A5525" s="877">
        <v>39085</v>
      </c>
      <c r="B5525" s="878">
        <v>2231.42</v>
      </c>
    </row>
    <row r="5526" spans="1:2" ht="16.149999999999999" customHeight="1">
      <c r="A5526" s="877">
        <v>39086</v>
      </c>
      <c r="B5526" s="880">
        <v>2218.11</v>
      </c>
    </row>
    <row r="5527" spans="1:2" ht="16.149999999999999" customHeight="1">
      <c r="A5527" s="877">
        <v>39087</v>
      </c>
      <c r="B5527" s="878">
        <v>2218.0500000000002</v>
      </c>
    </row>
    <row r="5528" spans="1:2" ht="16.149999999999999" customHeight="1">
      <c r="A5528" s="877">
        <v>39088</v>
      </c>
      <c r="B5528" s="880">
        <v>2228.38</v>
      </c>
    </row>
    <row r="5529" spans="1:2" ht="16.149999999999999" customHeight="1">
      <c r="A5529" s="877">
        <v>39089</v>
      </c>
      <c r="B5529" s="878">
        <v>2228.38</v>
      </c>
    </row>
    <row r="5530" spans="1:2" ht="16.149999999999999" customHeight="1">
      <c r="A5530" s="877">
        <v>39090</v>
      </c>
      <c r="B5530" s="880">
        <v>2228.38</v>
      </c>
    </row>
    <row r="5531" spans="1:2" ht="16.149999999999999" customHeight="1">
      <c r="A5531" s="877">
        <v>39091</v>
      </c>
      <c r="B5531" s="878">
        <v>2228.38</v>
      </c>
    </row>
    <row r="5532" spans="1:2" ht="16.149999999999999" customHeight="1">
      <c r="A5532" s="877">
        <v>39092</v>
      </c>
      <c r="B5532" s="880">
        <v>2238.52</v>
      </c>
    </row>
    <row r="5533" spans="1:2" ht="16.149999999999999" customHeight="1">
      <c r="A5533" s="877">
        <v>39093</v>
      </c>
      <c r="B5533" s="878">
        <v>2250.6</v>
      </c>
    </row>
    <row r="5534" spans="1:2" ht="16.149999999999999" customHeight="1">
      <c r="A5534" s="877">
        <v>39094</v>
      </c>
      <c r="B5534" s="880">
        <v>2231.48</v>
      </c>
    </row>
    <row r="5535" spans="1:2" ht="16.149999999999999" customHeight="1">
      <c r="A5535" s="877">
        <v>39095</v>
      </c>
      <c r="B5535" s="878">
        <v>2221.35</v>
      </c>
    </row>
    <row r="5536" spans="1:2" ht="16.149999999999999" customHeight="1">
      <c r="A5536" s="877">
        <v>39096</v>
      </c>
      <c r="B5536" s="880">
        <v>2221.35</v>
      </c>
    </row>
    <row r="5537" spans="1:2" ht="16.149999999999999" customHeight="1">
      <c r="A5537" s="877">
        <v>39097</v>
      </c>
      <c r="B5537" s="878">
        <v>2221.35</v>
      </c>
    </row>
    <row r="5538" spans="1:2" ht="16.149999999999999" customHeight="1">
      <c r="A5538" s="877">
        <v>39098</v>
      </c>
      <c r="B5538" s="880">
        <v>2221.35</v>
      </c>
    </row>
    <row r="5539" spans="1:2" ht="16.149999999999999" customHeight="1">
      <c r="A5539" s="877">
        <v>39099</v>
      </c>
      <c r="B5539" s="878">
        <v>2221.96</v>
      </c>
    </row>
    <row r="5540" spans="1:2" ht="16.149999999999999" customHeight="1">
      <c r="A5540" s="877">
        <v>39100</v>
      </c>
      <c r="B5540" s="880">
        <v>2224.2199999999998</v>
      </c>
    </row>
    <row r="5541" spans="1:2" ht="16.149999999999999" customHeight="1">
      <c r="A5541" s="877">
        <v>39101</v>
      </c>
      <c r="B5541" s="878">
        <v>2226.06</v>
      </c>
    </row>
    <row r="5542" spans="1:2" ht="16.149999999999999" customHeight="1">
      <c r="A5542" s="877">
        <v>39102</v>
      </c>
      <c r="B5542" s="880">
        <v>2229.29</v>
      </c>
    </row>
    <row r="5543" spans="1:2" ht="16.149999999999999" customHeight="1">
      <c r="A5543" s="877">
        <v>39103</v>
      </c>
      <c r="B5543" s="878">
        <v>2229.29</v>
      </c>
    </row>
    <row r="5544" spans="1:2" ht="16.149999999999999" customHeight="1">
      <c r="A5544" s="877">
        <v>39104</v>
      </c>
      <c r="B5544" s="880">
        <v>2229.29</v>
      </c>
    </row>
    <row r="5545" spans="1:2" ht="16.149999999999999" customHeight="1">
      <c r="A5545" s="877">
        <v>39105</v>
      </c>
      <c r="B5545" s="878">
        <v>2240.3200000000002</v>
      </c>
    </row>
    <row r="5546" spans="1:2" ht="16.149999999999999" customHeight="1">
      <c r="A5546" s="877">
        <v>39106</v>
      </c>
      <c r="B5546" s="880">
        <v>2250.38</v>
      </c>
    </row>
    <row r="5547" spans="1:2" ht="16.149999999999999" customHeight="1">
      <c r="A5547" s="877">
        <v>39107</v>
      </c>
      <c r="B5547" s="878">
        <v>2254.67</v>
      </c>
    </row>
    <row r="5548" spans="1:2" ht="16.149999999999999" customHeight="1">
      <c r="A5548" s="877">
        <v>39108</v>
      </c>
      <c r="B5548" s="880">
        <v>2252.88</v>
      </c>
    </row>
    <row r="5549" spans="1:2" ht="16.149999999999999" customHeight="1">
      <c r="A5549" s="877">
        <v>39109</v>
      </c>
      <c r="B5549" s="878">
        <v>2259.4299999999998</v>
      </c>
    </row>
    <row r="5550" spans="1:2" ht="16.149999999999999" customHeight="1">
      <c r="A5550" s="877">
        <v>39110</v>
      </c>
      <c r="B5550" s="880">
        <v>2259.4299999999998</v>
      </c>
    </row>
    <row r="5551" spans="1:2" ht="16.149999999999999" customHeight="1">
      <c r="A5551" s="877">
        <v>39111</v>
      </c>
      <c r="B5551" s="878">
        <v>2259.4299999999998</v>
      </c>
    </row>
    <row r="5552" spans="1:2" ht="16.149999999999999" customHeight="1">
      <c r="A5552" s="877">
        <v>39112</v>
      </c>
      <c r="B5552" s="880">
        <v>2261.2199999999998</v>
      </c>
    </row>
    <row r="5553" spans="1:2" ht="16.149999999999999" customHeight="1">
      <c r="A5553" s="877">
        <v>39113</v>
      </c>
      <c r="B5553" s="878">
        <v>2259.7199999999998</v>
      </c>
    </row>
    <row r="5554" spans="1:2" ht="16.149999999999999" customHeight="1">
      <c r="A5554" s="877">
        <v>39114</v>
      </c>
      <c r="B5554" s="880">
        <v>2255.17</v>
      </c>
    </row>
    <row r="5555" spans="1:2" ht="16.149999999999999" customHeight="1">
      <c r="A5555" s="877">
        <v>39115</v>
      </c>
      <c r="B5555" s="878">
        <v>2246.06</v>
      </c>
    </row>
    <row r="5556" spans="1:2" ht="16.149999999999999" customHeight="1">
      <c r="A5556" s="877">
        <v>39116</v>
      </c>
      <c r="B5556" s="880">
        <v>2241.5300000000002</v>
      </c>
    </row>
    <row r="5557" spans="1:2" ht="16.149999999999999" customHeight="1">
      <c r="A5557" s="877">
        <v>39117</v>
      </c>
      <c r="B5557" s="878">
        <v>2241.5300000000002</v>
      </c>
    </row>
    <row r="5558" spans="1:2" ht="16.149999999999999" customHeight="1">
      <c r="A5558" s="877">
        <v>39118</v>
      </c>
      <c r="B5558" s="880">
        <v>2241.5300000000002</v>
      </c>
    </row>
    <row r="5559" spans="1:2" ht="16.149999999999999" customHeight="1">
      <c r="A5559" s="877">
        <v>39119</v>
      </c>
      <c r="B5559" s="878">
        <v>2229.3000000000002</v>
      </c>
    </row>
    <row r="5560" spans="1:2" ht="16.149999999999999" customHeight="1">
      <c r="A5560" s="877">
        <v>39120</v>
      </c>
      <c r="B5560" s="880">
        <v>2232.37</v>
      </c>
    </row>
    <row r="5561" spans="1:2" ht="16.149999999999999" customHeight="1">
      <c r="A5561" s="877">
        <v>39121</v>
      </c>
      <c r="B5561" s="878">
        <v>2235.3000000000002</v>
      </c>
    </row>
    <row r="5562" spans="1:2" ht="16.149999999999999" customHeight="1">
      <c r="A5562" s="877">
        <v>39122</v>
      </c>
      <c r="B5562" s="880">
        <v>2239.1999999999998</v>
      </c>
    </row>
    <row r="5563" spans="1:2" ht="16.149999999999999" customHeight="1">
      <c r="A5563" s="877">
        <v>39123</v>
      </c>
      <c r="B5563" s="878">
        <v>2229.87</v>
      </c>
    </row>
    <row r="5564" spans="1:2" ht="16.149999999999999" customHeight="1">
      <c r="A5564" s="877">
        <v>39124</v>
      </c>
      <c r="B5564" s="880">
        <v>2229.87</v>
      </c>
    </row>
    <row r="5565" spans="1:2" ht="16.149999999999999" customHeight="1">
      <c r="A5565" s="877">
        <v>39125</v>
      </c>
      <c r="B5565" s="878">
        <v>2229.87</v>
      </c>
    </row>
    <row r="5566" spans="1:2" ht="16.149999999999999" customHeight="1">
      <c r="A5566" s="877">
        <v>39126</v>
      </c>
      <c r="B5566" s="880">
        <v>2230.4</v>
      </c>
    </row>
    <row r="5567" spans="1:2" ht="16.149999999999999" customHeight="1">
      <c r="A5567" s="877">
        <v>39127</v>
      </c>
      <c r="B5567" s="878">
        <v>2223.3000000000002</v>
      </c>
    </row>
    <row r="5568" spans="1:2" ht="16.149999999999999" customHeight="1">
      <c r="A5568" s="877">
        <v>39128</v>
      </c>
      <c r="B5568" s="880">
        <v>2221.4299999999998</v>
      </c>
    </row>
    <row r="5569" spans="1:2" ht="16.149999999999999" customHeight="1">
      <c r="A5569" s="877">
        <v>39129</v>
      </c>
      <c r="B5569" s="878">
        <v>2219.15</v>
      </c>
    </row>
    <row r="5570" spans="1:2" ht="16.149999999999999" customHeight="1">
      <c r="A5570" s="877">
        <v>39130</v>
      </c>
      <c r="B5570" s="880">
        <v>2221.6999999999998</v>
      </c>
    </row>
    <row r="5571" spans="1:2" ht="16.149999999999999" customHeight="1">
      <c r="A5571" s="877">
        <v>39131</v>
      </c>
      <c r="B5571" s="878">
        <v>2221.6999999999998</v>
      </c>
    </row>
    <row r="5572" spans="1:2" ht="16.149999999999999" customHeight="1">
      <c r="A5572" s="877">
        <v>39132</v>
      </c>
      <c r="B5572" s="880">
        <v>2221.6999999999998</v>
      </c>
    </row>
    <row r="5573" spans="1:2" ht="16.149999999999999" customHeight="1">
      <c r="A5573" s="877">
        <v>39133</v>
      </c>
      <c r="B5573" s="878">
        <v>2221.6999999999998</v>
      </c>
    </row>
    <row r="5574" spans="1:2" ht="16.149999999999999" customHeight="1">
      <c r="A5574" s="877">
        <v>39134</v>
      </c>
      <c r="B5574" s="880">
        <v>2220.7600000000002</v>
      </c>
    </row>
    <row r="5575" spans="1:2" ht="16.149999999999999" customHeight="1">
      <c r="A5575" s="877">
        <v>39135</v>
      </c>
      <c r="B5575" s="878">
        <v>2218.7800000000002</v>
      </c>
    </row>
    <row r="5576" spans="1:2" ht="16.149999999999999" customHeight="1">
      <c r="A5576" s="877">
        <v>39136</v>
      </c>
      <c r="B5576" s="880">
        <v>2214.44</v>
      </c>
    </row>
    <row r="5577" spans="1:2" ht="16.149999999999999" customHeight="1">
      <c r="A5577" s="877">
        <v>39137</v>
      </c>
      <c r="B5577" s="878">
        <v>2216.5700000000002</v>
      </c>
    </row>
    <row r="5578" spans="1:2" ht="16.149999999999999" customHeight="1">
      <c r="A5578" s="877">
        <v>39138</v>
      </c>
      <c r="B5578" s="880">
        <v>2216.5700000000002</v>
      </c>
    </row>
    <row r="5579" spans="1:2" ht="16.149999999999999" customHeight="1">
      <c r="A5579" s="877">
        <v>39139</v>
      </c>
      <c r="B5579" s="878">
        <v>2216.5700000000002</v>
      </c>
    </row>
    <row r="5580" spans="1:2" ht="16.149999999999999" customHeight="1">
      <c r="A5580" s="877">
        <v>39140</v>
      </c>
      <c r="B5580" s="880">
        <v>2211.46</v>
      </c>
    </row>
    <row r="5581" spans="1:2" ht="16.149999999999999" customHeight="1">
      <c r="A5581" s="877">
        <v>39141</v>
      </c>
      <c r="B5581" s="878">
        <v>2224.12</v>
      </c>
    </row>
    <row r="5582" spans="1:2" ht="16.149999999999999" customHeight="1">
      <c r="A5582" s="877">
        <v>39142</v>
      </c>
      <c r="B5582" s="880">
        <v>2231.94</v>
      </c>
    </row>
    <row r="5583" spans="1:2" ht="16.149999999999999" customHeight="1">
      <c r="A5583" s="877">
        <v>39143</v>
      </c>
      <c r="B5583" s="878">
        <v>2246.88</v>
      </c>
    </row>
    <row r="5584" spans="1:2" ht="16.149999999999999" customHeight="1">
      <c r="A5584" s="877">
        <v>39144</v>
      </c>
      <c r="B5584" s="880">
        <v>2242.62</v>
      </c>
    </row>
    <row r="5585" spans="1:2" ht="16.149999999999999" customHeight="1">
      <c r="A5585" s="877">
        <v>39145</v>
      </c>
      <c r="B5585" s="878">
        <v>2242.62</v>
      </c>
    </row>
    <row r="5586" spans="1:2" ht="16.149999999999999" customHeight="1">
      <c r="A5586" s="877">
        <v>39146</v>
      </c>
      <c r="B5586" s="880">
        <v>2242.62</v>
      </c>
    </row>
    <row r="5587" spans="1:2" ht="16.149999999999999" customHeight="1">
      <c r="A5587" s="877">
        <v>39147</v>
      </c>
      <c r="B5587" s="878">
        <v>2245.71</v>
      </c>
    </row>
    <row r="5588" spans="1:2" ht="16.149999999999999" customHeight="1">
      <c r="A5588" s="877">
        <v>39148</v>
      </c>
      <c r="B5588" s="880">
        <v>2222.4499999999998</v>
      </c>
    </row>
    <row r="5589" spans="1:2" ht="16.149999999999999" customHeight="1">
      <c r="A5589" s="877">
        <v>39149</v>
      </c>
      <c r="B5589" s="878">
        <v>2218.94</v>
      </c>
    </row>
    <row r="5590" spans="1:2" ht="16.149999999999999" customHeight="1">
      <c r="A5590" s="877">
        <v>39150</v>
      </c>
      <c r="B5590" s="880">
        <v>2214.0500000000002</v>
      </c>
    </row>
    <row r="5591" spans="1:2" ht="16.149999999999999" customHeight="1">
      <c r="A5591" s="877">
        <v>39151</v>
      </c>
      <c r="B5591" s="878">
        <v>2210.98</v>
      </c>
    </row>
    <row r="5592" spans="1:2" ht="16.149999999999999" customHeight="1">
      <c r="A5592" s="877">
        <v>39152</v>
      </c>
      <c r="B5592" s="880">
        <v>2210.98</v>
      </c>
    </row>
    <row r="5593" spans="1:2" ht="16.149999999999999" customHeight="1">
      <c r="A5593" s="877">
        <v>39153</v>
      </c>
      <c r="B5593" s="878">
        <v>2210.98</v>
      </c>
    </row>
    <row r="5594" spans="1:2" ht="16.149999999999999" customHeight="1">
      <c r="A5594" s="877">
        <v>39154</v>
      </c>
      <c r="B5594" s="880">
        <v>2205.77</v>
      </c>
    </row>
    <row r="5595" spans="1:2" ht="16.149999999999999" customHeight="1">
      <c r="A5595" s="877">
        <v>39155</v>
      </c>
      <c r="B5595" s="878">
        <v>2206.38</v>
      </c>
    </row>
    <row r="5596" spans="1:2" ht="16.149999999999999" customHeight="1">
      <c r="A5596" s="877">
        <v>39156</v>
      </c>
      <c r="B5596" s="880">
        <v>2210.12</v>
      </c>
    </row>
    <row r="5597" spans="1:2" ht="16.149999999999999" customHeight="1">
      <c r="A5597" s="877">
        <v>39157</v>
      </c>
      <c r="B5597" s="878">
        <v>2197.7600000000002</v>
      </c>
    </row>
    <row r="5598" spans="1:2" ht="16.149999999999999" customHeight="1">
      <c r="A5598" s="877">
        <v>39158</v>
      </c>
      <c r="B5598" s="880">
        <v>2204.0500000000002</v>
      </c>
    </row>
    <row r="5599" spans="1:2" ht="16.149999999999999" customHeight="1">
      <c r="A5599" s="877">
        <v>39159</v>
      </c>
      <c r="B5599" s="878">
        <v>2204.0500000000002</v>
      </c>
    </row>
    <row r="5600" spans="1:2" ht="16.149999999999999" customHeight="1">
      <c r="A5600" s="877">
        <v>39160</v>
      </c>
      <c r="B5600" s="880">
        <v>2204.0500000000002</v>
      </c>
    </row>
    <row r="5601" spans="1:2" ht="16.149999999999999" customHeight="1">
      <c r="A5601" s="877">
        <v>39161</v>
      </c>
      <c r="B5601" s="878">
        <v>2204.0500000000002</v>
      </c>
    </row>
    <row r="5602" spans="1:2" ht="16.149999999999999" customHeight="1">
      <c r="A5602" s="877">
        <v>39162</v>
      </c>
      <c r="B5602" s="880">
        <v>2186.21</v>
      </c>
    </row>
    <row r="5603" spans="1:2" ht="16.149999999999999" customHeight="1">
      <c r="A5603" s="877">
        <v>39163</v>
      </c>
      <c r="B5603" s="878">
        <v>2172.6</v>
      </c>
    </row>
    <row r="5604" spans="1:2" ht="16.149999999999999" customHeight="1">
      <c r="A5604" s="877">
        <v>39164</v>
      </c>
      <c r="B5604" s="880">
        <v>2168.9499999999998</v>
      </c>
    </row>
    <row r="5605" spans="1:2" ht="16.149999999999999" customHeight="1">
      <c r="A5605" s="877">
        <v>39165</v>
      </c>
      <c r="B5605" s="878">
        <v>2174.7199999999998</v>
      </c>
    </row>
    <row r="5606" spans="1:2" ht="16.149999999999999" customHeight="1">
      <c r="A5606" s="877">
        <v>39166</v>
      </c>
      <c r="B5606" s="880">
        <v>2174.7199999999998</v>
      </c>
    </row>
    <row r="5607" spans="1:2" ht="16.149999999999999" customHeight="1">
      <c r="A5607" s="877">
        <v>39167</v>
      </c>
      <c r="B5607" s="878">
        <v>2174.7199999999998</v>
      </c>
    </row>
    <row r="5608" spans="1:2" ht="16.149999999999999" customHeight="1">
      <c r="A5608" s="877">
        <v>39168</v>
      </c>
      <c r="B5608" s="880">
        <v>2172.14</v>
      </c>
    </row>
    <row r="5609" spans="1:2" ht="16.149999999999999" customHeight="1">
      <c r="A5609" s="877">
        <v>39169</v>
      </c>
      <c r="B5609" s="878">
        <v>2172.09</v>
      </c>
    </row>
    <row r="5610" spans="1:2" ht="16.149999999999999" customHeight="1">
      <c r="A5610" s="877">
        <v>39170</v>
      </c>
      <c r="B5610" s="880">
        <v>2169.67</v>
      </c>
    </row>
    <row r="5611" spans="1:2" ht="16.149999999999999" customHeight="1">
      <c r="A5611" s="877">
        <v>39171</v>
      </c>
      <c r="B5611" s="878">
        <v>2155.06</v>
      </c>
    </row>
    <row r="5612" spans="1:2" ht="16.149999999999999" customHeight="1">
      <c r="A5612" s="877">
        <v>39172</v>
      </c>
      <c r="B5612" s="880">
        <v>2190.3000000000002</v>
      </c>
    </row>
    <row r="5613" spans="1:2" ht="16.149999999999999" customHeight="1">
      <c r="A5613" s="877">
        <v>39173</v>
      </c>
      <c r="B5613" s="878">
        <v>2190.3000000000002</v>
      </c>
    </row>
    <row r="5614" spans="1:2" ht="16.149999999999999" customHeight="1">
      <c r="A5614" s="877">
        <v>39174</v>
      </c>
      <c r="B5614" s="880">
        <v>2190.3000000000002</v>
      </c>
    </row>
    <row r="5615" spans="1:2" ht="16.149999999999999" customHeight="1">
      <c r="A5615" s="877">
        <v>39175</v>
      </c>
      <c r="B5615" s="878">
        <v>2189.1799999999998</v>
      </c>
    </row>
    <row r="5616" spans="1:2" ht="16.149999999999999" customHeight="1">
      <c r="A5616" s="877">
        <v>39176</v>
      </c>
      <c r="B5616" s="880">
        <v>2171.4699999999998</v>
      </c>
    </row>
    <row r="5617" spans="1:2" ht="16.149999999999999" customHeight="1">
      <c r="A5617" s="877">
        <v>39177</v>
      </c>
      <c r="B5617" s="878">
        <v>2166.9299999999998</v>
      </c>
    </row>
    <row r="5618" spans="1:2" ht="16.149999999999999" customHeight="1">
      <c r="A5618" s="877">
        <v>39178</v>
      </c>
      <c r="B5618" s="880">
        <v>2166.9299999999998</v>
      </c>
    </row>
    <row r="5619" spans="1:2" ht="16.149999999999999" customHeight="1">
      <c r="A5619" s="877">
        <v>39179</v>
      </c>
      <c r="B5619" s="878">
        <v>2166.9299999999998</v>
      </c>
    </row>
    <row r="5620" spans="1:2" ht="16.149999999999999" customHeight="1">
      <c r="A5620" s="877">
        <v>39180</v>
      </c>
      <c r="B5620" s="880">
        <v>2166.9299999999998</v>
      </c>
    </row>
    <row r="5621" spans="1:2" ht="16.149999999999999" customHeight="1">
      <c r="A5621" s="877">
        <v>39181</v>
      </c>
      <c r="B5621" s="878">
        <v>2166.9299999999998</v>
      </c>
    </row>
    <row r="5622" spans="1:2" ht="16.149999999999999" customHeight="1">
      <c r="A5622" s="877">
        <v>39182</v>
      </c>
      <c r="B5622" s="880">
        <v>2164.5500000000002</v>
      </c>
    </row>
    <row r="5623" spans="1:2" ht="16.149999999999999" customHeight="1">
      <c r="A5623" s="877">
        <v>39183</v>
      </c>
      <c r="B5623" s="878">
        <v>2157.8200000000002</v>
      </c>
    </row>
    <row r="5624" spans="1:2" ht="16.149999999999999" customHeight="1">
      <c r="A5624" s="877">
        <v>39184</v>
      </c>
      <c r="B5624" s="880">
        <v>2154.61</v>
      </c>
    </row>
    <row r="5625" spans="1:2" ht="16.149999999999999" customHeight="1">
      <c r="A5625" s="877">
        <v>39185</v>
      </c>
      <c r="B5625" s="878">
        <v>2152.65</v>
      </c>
    </row>
    <row r="5626" spans="1:2" ht="16.149999999999999" customHeight="1">
      <c r="A5626" s="877">
        <v>39186</v>
      </c>
      <c r="B5626" s="880">
        <v>2138.7399999999998</v>
      </c>
    </row>
    <row r="5627" spans="1:2" ht="16.149999999999999" customHeight="1">
      <c r="A5627" s="877">
        <v>39187</v>
      </c>
      <c r="B5627" s="878">
        <v>2138.7399999999998</v>
      </c>
    </row>
    <row r="5628" spans="1:2" ht="16.149999999999999" customHeight="1">
      <c r="A5628" s="877">
        <v>39188</v>
      </c>
      <c r="B5628" s="880">
        <v>2138.7399999999998</v>
      </c>
    </row>
    <row r="5629" spans="1:2" ht="16.149999999999999" customHeight="1">
      <c r="A5629" s="877">
        <v>39189</v>
      </c>
      <c r="B5629" s="878">
        <v>2136.8200000000002</v>
      </c>
    </row>
    <row r="5630" spans="1:2" ht="16.149999999999999" customHeight="1">
      <c r="A5630" s="877">
        <v>39190</v>
      </c>
      <c r="B5630" s="880">
        <v>2141.35</v>
      </c>
    </row>
    <row r="5631" spans="1:2" ht="16.149999999999999" customHeight="1">
      <c r="A5631" s="877">
        <v>39191</v>
      </c>
      <c r="B5631" s="878">
        <v>2148.46</v>
      </c>
    </row>
    <row r="5632" spans="1:2" ht="16.149999999999999" customHeight="1">
      <c r="A5632" s="877">
        <v>39192</v>
      </c>
      <c r="B5632" s="880">
        <v>2143.31</v>
      </c>
    </row>
    <row r="5633" spans="1:2" ht="16.149999999999999" customHeight="1">
      <c r="A5633" s="877">
        <v>39193</v>
      </c>
      <c r="B5633" s="878">
        <v>2121.42</v>
      </c>
    </row>
    <row r="5634" spans="1:2" ht="16.149999999999999" customHeight="1">
      <c r="A5634" s="877">
        <v>39194</v>
      </c>
      <c r="B5634" s="880">
        <v>2121.42</v>
      </c>
    </row>
    <row r="5635" spans="1:2" ht="16.149999999999999" customHeight="1">
      <c r="A5635" s="877">
        <v>39195</v>
      </c>
      <c r="B5635" s="878">
        <v>2121.42</v>
      </c>
    </row>
    <row r="5636" spans="1:2" ht="16.149999999999999" customHeight="1">
      <c r="A5636" s="877">
        <v>39196</v>
      </c>
      <c r="B5636" s="880">
        <v>2115.56</v>
      </c>
    </row>
    <row r="5637" spans="1:2" ht="16.149999999999999" customHeight="1">
      <c r="A5637" s="877">
        <v>39197</v>
      </c>
      <c r="B5637" s="878">
        <v>2119.37</v>
      </c>
    </row>
    <row r="5638" spans="1:2" ht="16.149999999999999" customHeight="1">
      <c r="A5638" s="877">
        <v>39198</v>
      </c>
      <c r="B5638" s="880">
        <v>2112.61</v>
      </c>
    </row>
    <row r="5639" spans="1:2" ht="16.149999999999999" customHeight="1">
      <c r="A5639" s="877">
        <v>39199</v>
      </c>
      <c r="B5639" s="878">
        <v>2111.52</v>
      </c>
    </row>
    <row r="5640" spans="1:2" ht="16.149999999999999" customHeight="1">
      <c r="A5640" s="877">
        <v>39200</v>
      </c>
      <c r="B5640" s="880">
        <v>2110.67</v>
      </c>
    </row>
    <row r="5641" spans="1:2" ht="16.149999999999999" customHeight="1">
      <c r="A5641" s="877">
        <v>39201</v>
      </c>
      <c r="B5641" s="878">
        <v>2110.67</v>
      </c>
    </row>
    <row r="5642" spans="1:2" ht="16.149999999999999" customHeight="1">
      <c r="A5642" s="877">
        <v>39202</v>
      </c>
      <c r="B5642" s="880">
        <v>2110.67</v>
      </c>
    </row>
    <row r="5643" spans="1:2" ht="16.149999999999999" customHeight="1">
      <c r="A5643" s="877">
        <v>39203</v>
      </c>
      <c r="B5643" s="878">
        <v>2104.16</v>
      </c>
    </row>
    <row r="5644" spans="1:2" ht="16.149999999999999" customHeight="1">
      <c r="A5644" s="877">
        <v>39204</v>
      </c>
      <c r="B5644" s="880">
        <v>2104.16</v>
      </c>
    </row>
    <row r="5645" spans="1:2" ht="16.149999999999999" customHeight="1">
      <c r="A5645" s="877">
        <v>39205</v>
      </c>
      <c r="B5645" s="878">
        <v>2085.1799999999998</v>
      </c>
    </row>
    <row r="5646" spans="1:2" ht="16.149999999999999" customHeight="1">
      <c r="A5646" s="877">
        <v>39206</v>
      </c>
      <c r="B5646" s="880">
        <v>2077.12</v>
      </c>
    </row>
    <row r="5647" spans="1:2" ht="16.149999999999999" customHeight="1">
      <c r="A5647" s="877">
        <v>39207</v>
      </c>
      <c r="B5647" s="878">
        <v>2069.0100000000002</v>
      </c>
    </row>
    <row r="5648" spans="1:2" ht="16.149999999999999" customHeight="1">
      <c r="A5648" s="877">
        <v>39208</v>
      </c>
      <c r="B5648" s="880">
        <v>2069.0100000000002</v>
      </c>
    </row>
    <row r="5649" spans="1:2" ht="16.149999999999999" customHeight="1">
      <c r="A5649" s="877">
        <v>39209</v>
      </c>
      <c r="B5649" s="878">
        <v>2069.0100000000002</v>
      </c>
    </row>
    <row r="5650" spans="1:2" ht="16.149999999999999" customHeight="1">
      <c r="A5650" s="877">
        <v>39210</v>
      </c>
      <c r="B5650" s="880">
        <v>2081.2399999999998</v>
      </c>
    </row>
    <row r="5651" spans="1:2" ht="16.149999999999999" customHeight="1">
      <c r="A5651" s="877">
        <v>39211</v>
      </c>
      <c r="B5651" s="878">
        <v>2074.0300000000002</v>
      </c>
    </row>
    <row r="5652" spans="1:2" ht="16.149999999999999" customHeight="1">
      <c r="A5652" s="877">
        <v>39212</v>
      </c>
      <c r="B5652" s="880">
        <v>2045.51</v>
      </c>
    </row>
    <row r="5653" spans="1:2" ht="16.149999999999999" customHeight="1">
      <c r="A5653" s="877">
        <v>39213</v>
      </c>
      <c r="B5653" s="878">
        <v>2041.39</v>
      </c>
    </row>
    <row r="5654" spans="1:2" ht="16.149999999999999" customHeight="1">
      <c r="A5654" s="877">
        <v>39214</v>
      </c>
      <c r="B5654" s="880">
        <v>2029.2</v>
      </c>
    </row>
    <row r="5655" spans="1:2" ht="16.149999999999999" customHeight="1">
      <c r="A5655" s="877">
        <v>39215</v>
      </c>
      <c r="B5655" s="878">
        <v>2029.2</v>
      </c>
    </row>
    <row r="5656" spans="1:2" ht="16.149999999999999" customHeight="1">
      <c r="A5656" s="877">
        <v>39216</v>
      </c>
      <c r="B5656" s="880">
        <v>2029.2</v>
      </c>
    </row>
    <row r="5657" spans="1:2" ht="16.149999999999999" customHeight="1">
      <c r="A5657" s="877">
        <v>39217</v>
      </c>
      <c r="B5657" s="878">
        <v>2002.04</v>
      </c>
    </row>
    <row r="5658" spans="1:2" ht="16.149999999999999" customHeight="1">
      <c r="A5658" s="877">
        <v>39218</v>
      </c>
      <c r="B5658" s="880">
        <v>1995.17</v>
      </c>
    </row>
    <row r="5659" spans="1:2" ht="16.149999999999999" customHeight="1">
      <c r="A5659" s="877">
        <v>39219</v>
      </c>
      <c r="B5659" s="878">
        <v>1988.01</v>
      </c>
    </row>
    <row r="5660" spans="1:2" ht="16.149999999999999" customHeight="1">
      <c r="A5660" s="877">
        <v>39220</v>
      </c>
      <c r="B5660" s="880">
        <v>1990.43</v>
      </c>
    </row>
    <row r="5661" spans="1:2" ht="16.149999999999999" customHeight="1">
      <c r="A5661" s="877">
        <v>39221</v>
      </c>
      <c r="B5661" s="878">
        <v>1985.33</v>
      </c>
    </row>
    <row r="5662" spans="1:2" ht="16.149999999999999" customHeight="1">
      <c r="A5662" s="877">
        <v>39222</v>
      </c>
      <c r="B5662" s="880">
        <v>1985.33</v>
      </c>
    </row>
    <row r="5663" spans="1:2" ht="16.149999999999999" customHeight="1">
      <c r="A5663" s="877">
        <v>39223</v>
      </c>
      <c r="B5663" s="878">
        <v>1985.33</v>
      </c>
    </row>
    <row r="5664" spans="1:2" ht="16.149999999999999" customHeight="1">
      <c r="A5664" s="877">
        <v>39224</v>
      </c>
      <c r="B5664" s="880">
        <v>1985.33</v>
      </c>
    </row>
    <row r="5665" spans="1:2" ht="16.149999999999999" customHeight="1">
      <c r="A5665" s="877">
        <v>39225</v>
      </c>
      <c r="B5665" s="878">
        <v>1957.54</v>
      </c>
    </row>
    <row r="5666" spans="1:2" ht="16.149999999999999" customHeight="1">
      <c r="A5666" s="877">
        <v>39226</v>
      </c>
      <c r="B5666" s="880">
        <v>1963.56</v>
      </c>
    </row>
    <row r="5667" spans="1:2" ht="16.149999999999999" customHeight="1">
      <c r="A5667" s="877">
        <v>39227</v>
      </c>
      <c r="B5667" s="878">
        <v>1962.59</v>
      </c>
    </row>
    <row r="5668" spans="1:2" ht="16.149999999999999" customHeight="1">
      <c r="A5668" s="877">
        <v>39228</v>
      </c>
      <c r="B5668" s="880">
        <v>1934.55</v>
      </c>
    </row>
    <row r="5669" spans="1:2" ht="16.149999999999999" customHeight="1">
      <c r="A5669" s="877">
        <v>39229</v>
      </c>
      <c r="B5669" s="878">
        <v>1934.55</v>
      </c>
    </row>
    <row r="5670" spans="1:2" ht="16.149999999999999" customHeight="1">
      <c r="A5670" s="877">
        <v>39230</v>
      </c>
      <c r="B5670" s="880">
        <v>1934.55</v>
      </c>
    </row>
    <row r="5671" spans="1:2" ht="16.149999999999999" customHeight="1">
      <c r="A5671" s="877">
        <v>39231</v>
      </c>
      <c r="B5671" s="878">
        <v>1934.55</v>
      </c>
    </row>
    <row r="5672" spans="1:2" ht="16.149999999999999" customHeight="1">
      <c r="A5672" s="877">
        <v>39232</v>
      </c>
      <c r="B5672" s="880">
        <v>1914.96</v>
      </c>
    </row>
    <row r="5673" spans="1:2" ht="16.149999999999999" customHeight="1">
      <c r="A5673" s="877">
        <v>39233</v>
      </c>
      <c r="B5673" s="878">
        <v>1930.64</v>
      </c>
    </row>
    <row r="5674" spans="1:2" ht="16.149999999999999" customHeight="1">
      <c r="A5674" s="877">
        <v>39234</v>
      </c>
      <c r="B5674" s="880">
        <v>1900.09</v>
      </c>
    </row>
    <row r="5675" spans="1:2" ht="16.149999999999999" customHeight="1">
      <c r="A5675" s="877">
        <v>39235</v>
      </c>
      <c r="B5675" s="878">
        <v>1885.8</v>
      </c>
    </row>
    <row r="5676" spans="1:2" ht="16.149999999999999" customHeight="1">
      <c r="A5676" s="877">
        <v>39236</v>
      </c>
      <c r="B5676" s="880">
        <v>1885.8</v>
      </c>
    </row>
    <row r="5677" spans="1:2" ht="16.149999999999999" customHeight="1">
      <c r="A5677" s="877">
        <v>39237</v>
      </c>
      <c r="B5677" s="878">
        <v>1885.8</v>
      </c>
    </row>
    <row r="5678" spans="1:2" ht="16.149999999999999" customHeight="1">
      <c r="A5678" s="877">
        <v>39238</v>
      </c>
      <c r="B5678" s="880">
        <v>1882.06</v>
      </c>
    </row>
    <row r="5679" spans="1:2" ht="16.149999999999999" customHeight="1">
      <c r="A5679" s="877">
        <v>39239</v>
      </c>
      <c r="B5679" s="878">
        <v>1877.88</v>
      </c>
    </row>
    <row r="5680" spans="1:2" ht="16.149999999999999" customHeight="1">
      <c r="A5680" s="877">
        <v>39240</v>
      </c>
      <c r="B5680" s="880">
        <v>1886.92</v>
      </c>
    </row>
    <row r="5681" spans="1:2" ht="16.149999999999999" customHeight="1">
      <c r="A5681" s="877">
        <v>39241</v>
      </c>
      <c r="B5681" s="878">
        <v>1900.68</v>
      </c>
    </row>
    <row r="5682" spans="1:2" ht="16.149999999999999" customHeight="1">
      <c r="A5682" s="877">
        <v>39242</v>
      </c>
      <c r="B5682" s="880">
        <v>1924.54</v>
      </c>
    </row>
    <row r="5683" spans="1:2" ht="16.149999999999999" customHeight="1">
      <c r="A5683" s="877">
        <v>39243</v>
      </c>
      <c r="B5683" s="878">
        <v>1924.54</v>
      </c>
    </row>
    <row r="5684" spans="1:2" ht="16.149999999999999" customHeight="1">
      <c r="A5684" s="877">
        <v>39244</v>
      </c>
      <c r="B5684" s="880">
        <v>1924.54</v>
      </c>
    </row>
    <row r="5685" spans="1:2" ht="16.149999999999999" customHeight="1">
      <c r="A5685" s="877">
        <v>39245</v>
      </c>
      <c r="B5685" s="878">
        <v>1924.54</v>
      </c>
    </row>
    <row r="5686" spans="1:2" ht="16.149999999999999" customHeight="1">
      <c r="A5686" s="877">
        <v>39246</v>
      </c>
      <c r="B5686" s="880">
        <v>1931.36</v>
      </c>
    </row>
    <row r="5687" spans="1:2" ht="16.149999999999999" customHeight="1">
      <c r="A5687" s="877">
        <v>39247</v>
      </c>
      <c r="B5687" s="878">
        <v>1947.37</v>
      </c>
    </row>
    <row r="5688" spans="1:2" ht="16.149999999999999" customHeight="1">
      <c r="A5688" s="877">
        <v>39248</v>
      </c>
      <c r="B5688" s="880">
        <v>1945.09</v>
      </c>
    </row>
    <row r="5689" spans="1:2" ht="16.149999999999999" customHeight="1">
      <c r="A5689" s="877">
        <v>39249</v>
      </c>
      <c r="B5689" s="878">
        <v>1920.25</v>
      </c>
    </row>
    <row r="5690" spans="1:2" ht="16.149999999999999" customHeight="1">
      <c r="A5690" s="877">
        <v>39250</v>
      </c>
      <c r="B5690" s="880">
        <v>1920.25</v>
      </c>
    </row>
    <row r="5691" spans="1:2" ht="16.149999999999999" customHeight="1">
      <c r="A5691" s="877">
        <v>39251</v>
      </c>
      <c r="B5691" s="878">
        <v>1920.25</v>
      </c>
    </row>
    <row r="5692" spans="1:2" ht="16.149999999999999" customHeight="1">
      <c r="A5692" s="877">
        <v>39252</v>
      </c>
      <c r="B5692" s="880">
        <v>1920.25</v>
      </c>
    </row>
    <row r="5693" spans="1:2" ht="16.149999999999999" customHeight="1">
      <c r="A5693" s="877">
        <v>39253</v>
      </c>
      <c r="B5693" s="878">
        <v>1896.07</v>
      </c>
    </row>
    <row r="5694" spans="1:2" ht="16.149999999999999" customHeight="1">
      <c r="A5694" s="877">
        <v>39254</v>
      </c>
      <c r="B5694" s="880">
        <v>1905.13</v>
      </c>
    </row>
    <row r="5695" spans="1:2" ht="16.149999999999999" customHeight="1">
      <c r="A5695" s="877">
        <v>39255</v>
      </c>
      <c r="B5695" s="878">
        <v>1938.17</v>
      </c>
    </row>
    <row r="5696" spans="1:2" ht="16.149999999999999" customHeight="1">
      <c r="A5696" s="877">
        <v>39256</v>
      </c>
      <c r="B5696" s="880">
        <v>1944.01</v>
      </c>
    </row>
    <row r="5697" spans="1:2" ht="16.149999999999999" customHeight="1">
      <c r="A5697" s="877">
        <v>39257</v>
      </c>
      <c r="B5697" s="878">
        <v>1944.01</v>
      </c>
    </row>
    <row r="5698" spans="1:2" ht="16.149999999999999" customHeight="1">
      <c r="A5698" s="877">
        <v>39258</v>
      </c>
      <c r="B5698" s="880">
        <v>1944.01</v>
      </c>
    </row>
    <row r="5699" spans="1:2" ht="16.149999999999999" customHeight="1">
      <c r="A5699" s="877">
        <v>39259</v>
      </c>
      <c r="B5699" s="878">
        <v>1960.32</v>
      </c>
    </row>
    <row r="5700" spans="1:2" ht="16.149999999999999" customHeight="1">
      <c r="A5700" s="877">
        <v>39260</v>
      </c>
      <c r="B5700" s="880">
        <v>1965.31</v>
      </c>
    </row>
    <row r="5701" spans="1:2" ht="16.149999999999999" customHeight="1">
      <c r="A5701" s="877">
        <v>39261</v>
      </c>
      <c r="B5701" s="878">
        <v>1982.29</v>
      </c>
    </row>
    <row r="5702" spans="1:2" ht="16.149999999999999" customHeight="1">
      <c r="A5702" s="877">
        <v>39262</v>
      </c>
      <c r="B5702" s="880">
        <v>1958.09</v>
      </c>
    </row>
    <row r="5703" spans="1:2" ht="16.149999999999999" customHeight="1">
      <c r="A5703" s="877">
        <v>39263</v>
      </c>
      <c r="B5703" s="878">
        <v>1960.61</v>
      </c>
    </row>
    <row r="5704" spans="1:2" ht="16.149999999999999" customHeight="1">
      <c r="A5704" s="877">
        <v>39264</v>
      </c>
      <c r="B5704" s="880">
        <v>1960.61</v>
      </c>
    </row>
    <row r="5705" spans="1:2" ht="16.149999999999999" customHeight="1">
      <c r="A5705" s="877">
        <v>39265</v>
      </c>
      <c r="B5705" s="878">
        <v>1960.61</v>
      </c>
    </row>
    <row r="5706" spans="1:2" ht="16.149999999999999" customHeight="1">
      <c r="A5706" s="877">
        <v>39266</v>
      </c>
      <c r="B5706" s="880">
        <v>1960.61</v>
      </c>
    </row>
    <row r="5707" spans="1:2" ht="16.149999999999999" customHeight="1">
      <c r="A5707" s="877">
        <v>39267</v>
      </c>
      <c r="B5707" s="878">
        <v>1958.95</v>
      </c>
    </row>
    <row r="5708" spans="1:2" ht="16.149999999999999" customHeight="1">
      <c r="A5708" s="877">
        <v>39268</v>
      </c>
      <c r="B5708" s="880">
        <v>1958.95</v>
      </c>
    </row>
    <row r="5709" spans="1:2" ht="16.149999999999999" customHeight="1">
      <c r="A5709" s="877">
        <v>39269</v>
      </c>
      <c r="B5709" s="878">
        <v>1969.36</v>
      </c>
    </row>
    <row r="5710" spans="1:2" ht="16.149999999999999" customHeight="1">
      <c r="A5710" s="877">
        <v>39270</v>
      </c>
      <c r="B5710" s="880">
        <v>1962.55</v>
      </c>
    </row>
    <row r="5711" spans="1:2" ht="16.149999999999999" customHeight="1">
      <c r="A5711" s="877">
        <v>39271</v>
      </c>
      <c r="B5711" s="878">
        <v>1962.55</v>
      </c>
    </row>
    <row r="5712" spans="1:2" ht="16.149999999999999" customHeight="1">
      <c r="A5712" s="877">
        <v>39272</v>
      </c>
      <c r="B5712" s="880">
        <v>1962.55</v>
      </c>
    </row>
    <row r="5713" spans="1:2" ht="16.149999999999999" customHeight="1">
      <c r="A5713" s="877">
        <v>39273</v>
      </c>
      <c r="B5713" s="878">
        <v>1945.94</v>
      </c>
    </row>
    <row r="5714" spans="1:2" ht="16.149999999999999" customHeight="1">
      <c r="A5714" s="877">
        <v>39274</v>
      </c>
      <c r="B5714" s="880">
        <v>1960.31</v>
      </c>
    </row>
    <row r="5715" spans="1:2" ht="16.149999999999999" customHeight="1">
      <c r="A5715" s="877">
        <v>39275</v>
      </c>
      <c r="B5715" s="878">
        <v>1964.82</v>
      </c>
    </row>
    <row r="5716" spans="1:2" ht="16.149999999999999" customHeight="1">
      <c r="A5716" s="877">
        <v>39276</v>
      </c>
      <c r="B5716" s="880">
        <v>1954.48</v>
      </c>
    </row>
    <row r="5717" spans="1:2" ht="16.149999999999999" customHeight="1">
      <c r="A5717" s="877">
        <v>39277</v>
      </c>
      <c r="B5717" s="878">
        <v>1956.05</v>
      </c>
    </row>
    <row r="5718" spans="1:2" ht="16.149999999999999" customHeight="1">
      <c r="A5718" s="877">
        <v>39278</v>
      </c>
      <c r="B5718" s="880">
        <v>1956.05</v>
      </c>
    </row>
    <row r="5719" spans="1:2" ht="16.149999999999999" customHeight="1">
      <c r="A5719" s="877">
        <v>39279</v>
      </c>
      <c r="B5719" s="878">
        <v>1956.05</v>
      </c>
    </row>
    <row r="5720" spans="1:2" ht="16.149999999999999" customHeight="1">
      <c r="A5720" s="877">
        <v>39280</v>
      </c>
      <c r="B5720" s="880">
        <v>1942.43</v>
      </c>
    </row>
    <row r="5721" spans="1:2" ht="16.149999999999999" customHeight="1">
      <c r="A5721" s="877">
        <v>39281</v>
      </c>
      <c r="B5721" s="878">
        <v>1931.04</v>
      </c>
    </row>
    <row r="5722" spans="1:2" ht="16.149999999999999" customHeight="1">
      <c r="A5722" s="877">
        <v>39282</v>
      </c>
      <c r="B5722" s="880">
        <v>1928.59</v>
      </c>
    </row>
    <row r="5723" spans="1:2" ht="16.149999999999999" customHeight="1">
      <c r="A5723" s="877">
        <v>39283</v>
      </c>
      <c r="B5723" s="878">
        <v>1921.04</v>
      </c>
    </row>
    <row r="5724" spans="1:2" ht="16.149999999999999" customHeight="1">
      <c r="A5724" s="877">
        <v>39284</v>
      </c>
      <c r="B5724" s="880">
        <v>1921.04</v>
      </c>
    </row>
    <row r="5725" spans="1:2" ht="16.149999999999999" customHeight="1">
      <c r="A5725" s="877">
        <v>39285</v>
      </c>
      <c r="B5725" s="878">
        <v>1921.04</v>
      </c>
    </row>
    <row r="5726" spans="1:2" ht="16.149999999999999" customHeight="1">
      <c r="A5726" s="877">
        <v>39286</v>
      </c>
      <c r="B5726" s="880">
        <v>1921.04</v>
      </c>
    </row>
    <row r="5727" spans="1:2" ht="16.149999999999999" customHeight="1">
      <c r="A5727" s="877">
        <v>39287</v>
      </c>
      <c r="B5727" s="878">
        <v>1912.9</v>
      </c>
    </row>
    <row r="5728" spans="1:2" ht="16.149999999999999" customHeight="1">
      <c r="A5728" s="877">
        <v>39288</v>
      </c>
      <c r="B5728" s="880">
        <v>1916.23</v>
      </c>
    </row>
    <row r="5729" spans="1:2" ht="16.149999999999999" customHeight="1">
      <c r="A5729" s="877">
        <v>39289</v>
      </c>
      <c r="B5729" s="878">
        <v>1935.68</v>
      </c>
    </row>
    <row r="5730" spans="1:2" ht="16.149999999999999" customHeight="1">
      <c r="A5730" s="877">
        <v>39290</v>
      </c>
      <c r="B5730" s="880">
        <v>1981.58</v>
      </c>
    </row>
    <row r="5731" spans="1:2" ht="16.149999999999999" customHeight="1">
      <c r="A5731" s="877">
        <v>39291</v>
      </c>
      <c r="B5731" s="878">
        <v>1984.1</v>
      </c>
    </row>
    <row r="5732" spans="1:2" ht="16.149999999999999" customHeight="1">
      <c r="A5732" s="877">
        <v>39292</v>
      </c>
      <c r="B5732" s="880">
        <v>1984.1</v>
      </c>
    </row>
    <row r="5733" spans="1:2" ht="16.149999999999999" customHeight="1">
      <c r="A5733" s="877">
        <v>39293</v>
      </c>
      <c r="B5733" s="878">
        <v>1984.1</v>
      </c>
    </row>
    <row r="5734" spans="1:2" ht="16.149999999999999" customHeight="1">
      <c r="A5734" s="877">
        <v>39294</v>
      </c>
      <c r="B5734" s="880">
        <v>1971.8</v>
      </c>
    </row>
    <row r="5735" spans="1:2" ht="16.149999999999999" customHeight="1">
      <c r="A5735" s="877">
        <v>39295</v>
      </c>
      <c r="B5735" s="878">
        <v>1958.5</v>
      </c>
    </row>
    <row r="5736" spans="1:2" ht="16.149999999999999" customHeight="1">
      <c r="A5736" s="877">
        <v>39296</v>
      </c>
      <c r="B5736" s="880">
        <v>1971.2</v>
      </c>
    </row>
    <row r="5737" spans="1:2" ht="16.149999999999999" customHeight="1">
      <c r="A5737" s="877">
        <v>39297</v>
      </c>
      <c r="B5737" s="878">
        <v>1957.68</v>
      </c>
    </row>
    <row r="5738" spans="1:2" ht="16.149999999999999" customHeight="1">
      <c r="A5738" s="877">
        <v>39298</v>
      </c>
      <c r="B5738" s="880">
        <v>1963.69</v>
      </c>
    </row>
    <row r="5739" spans="1:2" ht="16.149999999999999" customHeight="1">
      <c r="A5739" s="877">
        <v>39299</v>
      </c>
      <c r="B5739" s="878">
        <v>1963.69</v>
      </c>
    </row>
    <row r="5740" spans="1:2" ht="16.149999999999999" customHeight="1">
      <c r="A5740" s="877">
        <v>39300</v>
      </c>
      <c r="B5740" s="880">
        <v>1963.69</v>
      </c>
    </row>
    <row r="5741" spans="1:2" ht="16.149999999999999" customHeight="1">
      <c r="A5741" s="877">
        <v>39301</v>
      </c>
      <c r="B5741" s="878">
        <v>1976.89</v>
      </c>
    </row>
    <row r="5742" spans="1:2" ht="16.149999999999999" customHeight="1">
      <c r="A5742" s="877">
        <v>39302</v>
      </c>
      <c r="B5742" s="880">
        <v>1976.89</v>
      </c>
    </row>
    <row r="5743" spans="1:2" ht="16.149999999999999" customHeight="1">
      <c r="A5743" s="877">
        <v>39303</v>
      </c>
      <c r="B5743" s="878">
        <v>1957.58</v>
      </c>
    </row>
    <row r="5744" spans="1:2" ht="16.149999999999999" customHeight="1">
      <c r="A5744" s="877">
        <v>39304</v>
      </c>
      <c r="B5744" s="880">
        <v>1981.9</v>
      </c>
    </row>
    <row r="5745" spans="1:2" ht="16.149999999999999" customHeight="1">
      <c r="A5745" s="877">
        <v>39305</v>
      </c>
      <c r="B5745" s="878">
        <v>2006.79</v>
      </c>
    </row>
    <row r="5746" spans="1:2" ht="16.149999999999999" customHeight="1">
      <c r="A5746" s="877">
        <v>39306</v>
      </c>
      <c r="B5746" s="880">
        <v>2006.79</v>
      </c>
    </row>
    <row r="5747" spans="1:2" ht="16.149999999999999" customHeight="1">
      <c r="A5747" s="877">
        <v>39307</v>
      </c>
      <c r="B5747" s="878">
        <v>2006.79</v>
      </c>
    </row>
    <row r="5748" spans="1:2" ht="16.149999999999999" customHeight="1">
      <c r="A5748" s="877">
        <v>39308</v>
      </c>
      <c r="B5748" s="880">
        <v>1997.38</v>
      </c>
    </row>
    <row r="5749" spans="1:2" ht="16.149999999999999" customHeight="1">
      <c r="A5749" s="877">
        <v>39309</v>
      </c>
      <c r="B5749" s="878">
        <v>2016.3</v>
      </c>
    </row>
    <row r="5750" spans="1:2" ht="16.149999999999999" customHeight="1">
      <c r="A5750" s="877">
        <v>39310</v>
      </c>
      <c r="B5750" s="880">
        <v>2048.44</v>
      </c>
    </row>
    <row r="5751" spans="1:2" ht="16.149999999999999" customHeight="1">
      <c r="A5751" s="877">
        <v>39311</v>
      </c>
      <c r="B5751" s="878">
        <v>2124.4</v>
      </c>
    </row>
    <row r="5752" spans="1:2" ht="16.149999999999999" customHeight="1">
      <c r="A5752" s="877">
        <v>39312</v>
      </c>
      <c r="B5752" s="880">
        <v>2113.54</v>
      </c>
    </row>
    <row r="5753" spans="1:2" ht="16.149999999999999" customHeight="1">
      <c r="A5753" s="877">
        <v>39313</v>
      </c>
      <c r="B5753" s="878">
        <v>2113.54</v>
      </c>
    </row>
    <row r="5754" spans="1:2" ht="16.149999999999999" customHeight="1">
      <c r="A5754" s="877">
        <v>39314</v>
      </c>
      <c r="B5754" s="880">
        <v>2113.54</v>
      </c>
    </row>
    <row r="5755" spans="1:2" ht="16.149999999999999" customHeight="1">
      <c r="A5755" s="877">
        <v>39315</v>
      </c>
      <c r="B5755" s="878">
        <v>2113.54</v>
      </c>
    </row>
    <row r="5756" spans="1:2" ht="16.149999999999999" customHeight="1">
      <c r="A5756" s="877">
        <v>39316</v>
      </c>
      <c r="B5756" s="880">
        <v>2154.94</v>
      </c>
    </row>
    <row r="5757" spans="1:2" ht="16.149999999999999" customHeight="1">
      <c r="A5757" s="877">
        <v>39317</v>
      </c>
      <c r="B5757" s="878">
        <v>2133.04</v>
      </c>
    </row>
    <row r="5758" spans="1:2" ht="16.149999999999999" customHeight="1">
      <c r="A5758" s="877">
        <v>39318</v>
      </c>
      <c r="B5758" s="880">
        <v>2138.13</v>
      </c>
    </row>
    <row r="5759" spans="1:2" ht="16.149999999999999" customHeight="1">
      <c r="A5759" s="877">
        <v>39319</v>
      </c>
      <c r="B5759" s="878">
        <v>2128.17</v>
      </c>
    </row>
    <row r="5760" spans="1:2" ht="16.149999999999999" customHeight="1">
      <c r="A5760" s="877">
        <v>39320</v>
      </c>
      <c r="B5760" s="880">
        <v>2128.17</v>
      </c>
    </row>
    <row r="5761" spans="1:2" ht="16.149999999999999" customHeight="1">
      <c r="A5761" s="877">
        <v>39321</v>
      </c>
      <c r="B5761" s="878">
        <v>2128.17</v>
      </c>
    </row>
    <row r="5762" spans="1:2" ht="16.149999999999999" customHeight="1">
      <c r="A5762" s="877">
        <v>39322</v>
      </c>
      <c r="B5762" s="880">
        <v>2114.15</v>
      </c>
    </row>
    <row r="5763" spans="1:2" ht="16.149999999999999" customHeight="1">
      <c r="A5763" s="877">
        <v>39323</v>
      </c>
      <c r="B5763" s="878">
        <v>2147.34</v>
      </c>
    </row>
    <row r="5764" spans="1:2" ht="16.149999999999999" customHeight="1">
      <c r="A5764" s="877">
        <v>39324</v>
      </c>
      <c r="B5764" s="880">
        <v>2160.65</v>
      </c>
    </row>
    <row r="5765" spans="1:2" ht="16.149999999999999" customHeight="1">
      <c r="A5765" s="877">
        <v>39325</v>
      </c>
      <c r="B5765" s="878">
        <v>2173.17</v>
      </c>
    </row>
    <row r="5766" spans="1:2" ht="16.149999999999999" customHeight="1">
      <c r="A5766" s="877">
        <v>39326</v>
      </c>
      <c r="B5766" s="880">
        <v>2160.9899999999998</v>
      </c>
    </row>
    <row r="5767" spans="1:2" ht="16.149999999999999" customHeight="1">
      <c r="A5767" s="877">
        <v>39327</v>
      </c>
      <c r="B5767" s="878">
        <v>2160.9899999999998</v>
      </c>
    </row>
    <row r="5768" spans="1:2" ht="16.149999999999999" customHeight="1">
      <c r="A5768" s="877">
        <v>39328</v>
      </c>
      <c r="B5768" s="880">
        <v>2160.9899999999998</v>
      </c>
    </row>
    <row r="5769" spans="1:2" ht="16.149999999999999" customHeight="1">
      <c r="A5769" s="877">
        <v>39329</v>
      </c>
      <c r="B5769" s="878">
        <v>2160.9899999999998</v>
      </c>
    </row>
    <row r="5770" spans="1:2" ht="16.149999999999999" customHeight="1">
      <c r="A5770" s="877">
        <v>39330</v>
      </c>
      <c r="B5770" s="880">
        <v>2161.56</v>
      </c>
    </row>
    <row r="5771" spans="1:2" ht="16.149999999999999" customHeight="1">
      <c r="A5771" s="877">
        <v>39331</v>
      </c>
      <c r="B5771" s="878">
        <v>2174.56</v>
      </c>
    </row>
    <row r="5772" spans="1:2" ht="16.149999999999999" customHeight="1">
      <c r="A5772" s="877">
        <v>39332</v>
      </c>
      <c r="B5772" s="880">
        <v>2166.6</v>
      </c>
    </row>
    <row r="5773" spans="1:2" ht="16.149999999999999" customHeight="1">
      <c r="A5773" s="877">
        <v>39333</v>
      </c>
      <c r="B5773" s="878">
        <v>2191</v>
      </c>
    </row>
    <row r="5774" spans="1:2" ht="16.149999999999999" customHeight="1">
      <c r="A5774" s="877">
        <v>39334</v>
      </c>
      <c r="B5774" s="880">
        <v>2191</v>
      </c>
    </row>
    <row r="5775" spans="1:2" ht="16.149999999999999" customHeight="1">
      <c r="A5775" s="877">
        <v>39335</v>
      </c>
      <c r="B5775" s="878">
        <v>2191</v>
      </c>
    </row>
    <row r="5776" spans="1:2" ht="16.149999999999999" customHeight="1">
      <c r="A5776" s="877">
        <v>39336</v>
      </c>
      <c r="B5776" s="880">
        <v>2194.65</v>
      </c>
    </row>
    <row r="5777" spans="1:2" ht="16.149999999999999" customHeight="1">
      <c r="A5777" s="877">
        <v>39337</v>
      </c>
      <c r="B5777" s="878">
        <v>2185.89</v>
      </c>
    </row>
    <row r="5778" spans="1:2" ht="16.149999999999999" customHeight="1">
      <c r="A5778" s="877">
        <v>39338</v>
      </c>
      <c r="B5778" s="880">
        <v>2182.2199999999998</v>
      </c>
    </row>
    <row r="5779" spans="1:2" ht="16.149999999999999" customHeight="1">
      <c r="A5779" s="877">
        <v>39339</v>
      </c>
      <c r="B5779" s="878">
        <v>2157.75</v>
      </c>
    </row>
    <row r="5780" spans="1:2" ht="16.149999999999999" customHeight="1">
      <c r="A5780" s="877">
        <v>39340</v>
      </c>
      <c r="B5780" s="880">
        <v>2128.5</v>
      </c>
    </row>
    <row r="5781" spans="1:2" ht="16.149999999999999" customHeight="1">
      <c r="A5781" s="877">
        <v>39341</v>
      </c>
      <c r="B5781" s="878">
        <v>2128.5</v>
      </c>
    </row>
    <row r="5782" spans="1:2" ht="16.149999999999999" customHeight="1">
      <c r="A5782" s="877">
        <v>39342</v>
      </c>
      <c r="B5782" s="880">
        <v>2128.5</v>
      </c>
    </row>
    <row r="5783" spans="1:2" ht="16.149999999999999" customHeight="1">
      <c r="A5783" s="877">
        <v>39343</v>
      </c>
      <c r="B5783" s="878">
        <v>2130.66</v>
      </c>
    </row>
    <row r="5784" spans="1:2" ht="16.149999999999999" customHeight="1">
      <c r="A5784" s="877">
        <v>39344</v>
      </c>
      <c r="B5784" s="880">
        <v>2124.36</v>
      </c>
    </row>
    <row r="5785" spans="1:2" ht="16.149999999999999" customHeight="1">
      <c r="A5785" s="877">
        <v>39345</v>
      </c>
      <c r="B5785" s="878">
        <v>2055.2800000000002</v>
      </c>
    </row>
    <row r="5786" spans="1:2" ht="16.149999999999999" customHeight="1">
      <c r="A5786" s="877">
        <v>39346</v>
      </c>
      <c r="B5786" s="880">
        <v>2042.63</v>
      </c>
    </row>
    <row r="5787" spans="1:2" ht="16.149999999999999" customHeight="1">
      <c r="A5787" s="877">
        <v>39347</v>
      </c>
      <c r="B5787" s="878">
        <v>2026.33</v>
      </c>
    </row>
    <row r="5788" spans="1:2" ht="16.149999999999999" customHeight="1">
      <c r="A5788" s="877">
        <v>39348</v>
      </c>
      <c r="B5788" s="880">
        <v>2026.33</v>
      </c>
    </row>
    <row r="5789" spans="1:2" ht="16.149999999999999" customHeight="1">
      <c r="A5789" s="877">
        <v>39349</v>
      </c>
      <c r="B5789" s="878">
        <v>2026.33</v>
      </c>
    </row>
    <row r="5790" spans="1:2" ht="16.149999999999999" customHeight="1">
      <c r="A5790" s="877">
        <v>39350</v>
      </c>
      <c r="B5790" s="880">
        <v>2028.95</v>
      </c>
    </row>
    <row r="5791" spans="1:2" ht="16.149999999999999" customHeight="1">
      <c r="A5791" s="877">
        <v>39351</v>
      </c>
      <c r="B5791" s="878">
        <v>2045.51</v>
      </c>
    </row>
    <row r="5792" spans="1:2" ht="16.149999999999999" customHeight="1">
      <c r="A5792" s="877">
        <v>39352</v>
      </c>
      <c r="B5792" s="880">
        <v>2009.46</v>
      </c>
    </row>
    <row r="5793" spans="1:2" ht="16.149999999999999" customHeight="1">
      <c r="A5793" s="877">
        <v>39353</v>
      </c>
      <c r="B5793" s="878">
        <v>2013.18</v>
      </c>
    </row>
    <row r="5794" spans="1:2" ht="16.149999999999999" customHeight="1">
      <c r="A5794" s="877">
        <v>39354</v>
      </c>
      <c r="B5794" s="880">
        <v>2023.19</v>
      </c>
    </row>
    <row r="5795" spans="1:2" ht="16.149999999999999" customHeight="1">
      <c r="A5795" s="877">
        <v>39355</v>
      </c>
      <c r="B5795" s="878">
        <v>2023.19</v>
      </c>
    </row>
    <row r="5796" spans="1:2" ht="16.149999999999999" customHeight="1">
      <c r="A5796" s="877">
        <v>39356</v>
      </c>
      <c r="B5796" s="880">
        <v>2023.19</v>
      </c>
    </row>
    <row r="5797" spans="1:2" ht="16.149999999999999" customHeight="1">
      <c r="A5797" s="877">
        <v>39357</v>
      </c>
      <c r="B5797" s="878">
        <v>2015.75</v>
      </c>
    </row>
    <row r="5798" spans="1:2" ht="16.149999999999999" customHeight="1">
      <c r="A5798" s="877">
        <v>39358</v>
      </c>
      <c r="B5798" s="880">
        <v>2013.39</v>
      </c>
    </row>
    <row r="5799" spans="1:2" ht="16.149999999999999" customHeight="1">
      <c r="A5799" s="877">
        <v>39359</v>
      </c>
      <c r="B5799" s="878">
        <v>2017.69</v>
      </c>
    </row>
    <row r="5800" spans="1:2" ht="16.149999999999999" customHeight="1">
      <c r="A5800" s="877">
        <v>39360</v>
      </c>
      <c r="B5800" s="880">
        <v>2018.45</v>
      </c>
    </row>
    <row r="5801" spans="1:2" ht="16.149999999999999" customHeight="1">
      <c r="A5801" s="877">
        <v>39361</v>
      </c>
      <c r="B5801" s="878">
        <v>1999.95</v>
      </c>
    </row>
    <row r="5802" spans="1:2" ht="16.149999999999999" customHeight="1">
      <c r="A5802" s="877">
        <v>39362</v>
      </c>
      <c r="B5802" s="880">
        <v>1999.95</v>
      </c>
    </row>
    <row r="5803" spans="1:2" ht="16.149999999999999" customHeight="1">
      <c r="A5803" s="877">
        <v>39363</v>
      </c>
      <c r="B5803" s="878">
        <v>1999.95</v>
      </c>
    </row>
    <row r="5804" spans="1:2" ht="16.149999999999999" customHeight="1">
      <c r="A5804" s="877">
        <v>39364</v>
      </c>
      <c r="B5804" s="880">
        <v>1999.95</v>
      </c>
    </row>
    <row r="5805" spans="1:2" ht="16.149999999999999" customHeight="1">
      <c r="A5805" s="877">
        <v>39365</v>
      </c>
      <c r="B5805" s="878">
        <v>1968.13</v>
      </c>
    </row>
    <row r="5806" spans="1:2" ht="16.149999999999999" customHeight="1">
      <c r="A5806" s="877">
        <v>39366</v>
      </c>
      <c r="B5806" s="880">
        <v>1972.81</v>
      </c>
    </row>
    <row r="5807" spans="1:2" ht="16.149999999999999" customHeight="1">
      <c r="A5807" s="877">
        <v>39367</v>
      </c>
      <c r="B5807" s="878">
        <v>1963.03</v>
      </c>
    </row>
    <row r="5808" spans="1:2" ht="16.149999999999999" customHeight="1">
      <c r="A5808" s="877">
        <v>39368</v>
      </c>
      <c r="B5808" s="880">
        <v>1978.97</v>
      </c>
    </row>
    <row r="5809" spans="1:2" ht="16.149999999999999" customHeight="1">
      <c r="A5809" s="877">
        <v>39369</v>
      </c>
      <c r="B5809" s="878">
        <v>1978.97</v>
      </c>
    </row>
    <row r="5810" spans="1:2" ht="16.149999999999999" customHeight="1">
      <c r="A5810" s="877">
        <v>39370</v>
      </c>
      <c r="B5810" s="880">
        <v>1978.97</v>
      </c>
    </row>
    <row r="5811" spans="1:2" ht="16.149999999999999" customHeight="1">
      <c r="A5811" s="877">
        <v>39371</v>
      </c>
      <c r="B5811" s="878">
        <v>1978.97</v>
      </c>
    </row>
    <row r="5812" spans="1:2" ht="16.149999999999999" customHeight="1">
      <c r="A5812" s="877">
        <v>39372</v>
      </c>
      <c r="B5812" s="880">
        <v>2004.58</v>
      </c>
    </row>
    <row r="5813" spans="1:2" ht="16.149999999999999" customHeight="1">
      <c r="A5813" s="877">
        <v>39373</v>
      </c>
      <c r="B5813" s="878">
        <v>1994.06</v>
      </c>
    </row>
    <row r="5814" spans="1:2" ht="16.149999999999999" customHeight="1">
      <c r="A5814" s="877">
        <v>39374</v>
      </c>
      <c r="B5814" s="880">
        <v>2018.55</v>
      </c>
    </row>
    <row r="5815" spans="1:2" ht="16.149999999999999" customHeight="1">
      <c r="A5815" s="877">
        <v>39375</v>
      </c>
      <c r="B5815" s="878">
        <v>2007.24</v>
      </c>
    </row>
    <row r="5816" spans="1:2" ht="16.149999999999999" customHeight="1">
      <c r="A5816" s="877">
        <v>39376</v>
      </c>
      <c r="B5816" s="880">
        <v>2007.24</v>
      </c>
    </row>
    <row r="5817" spans="1:2" ht="16.149999999999999" customHeight="1">
      <c r="A5817" s="877">
        <v>39377</v>
      </c>
      <c r="B5817" s="878">
        <v>2007.24</v>
      </c>
    </row>
    <row r="5818" spans="1:2" ht="16.149999999999999" customHeight="1">
      <c r="A5818" s="877">
        <v>39378</v>
      </c>
      <c r="B5818" s="880">
        <v>2022.76</v>
      </c>
    </row>
    <row r="5819" spans="1:2" ht="16.149999999999999" customHeight="1">
      <c r="A5819" s="877">
        <v>39379</v>
      </c>
      <c r="B5819" s="878">
        <v>2006.67</v>
      </c>
    </row>
    <row r="5820" spans="1:2" ht="16.149999999999999" customHeight="1">
      <c r="A5820" s="877">
        <v>39380</v>
      </c>
      <c r="B5820" s="880">
        <v>2025.7</v>
      </c>
    </row>
    <row r="5821" spans="1:2" ht="16.149999999999999" customHeight="1">
      <c r="A5821" s="877">
        <v>39381</v>
      </c>
      <c r="B5821" s="878">
        <v>2020.29</v>
      </c>
    </row>
    <row r="5822" spans="1:2" ht="16.149999999999999" customHeight="1">
      <c r="A5822" s="877">
        <v>39382</v>
      </c>
      <c r="B5822" s="880">
        <v>2005.28</v>
      </c>
    </row>
    <row r="5823" spans="1:2" ht="16.149999999999999" customHeight="1">
      <c r="A5823" s="877">
        <v>39383</v>
      </c>
      <c r="B5823" s="878">
        <v>2005.28</v>
      </c>
    </row>
    <row r="5824" spans="1:2" ht="16.149999999999999" customHeight="1">
      <c r="A5824" s="877">
        <v>39384</v>
      </c>
      <c r="B5824" s="880">
        <v>2005.28</v>
      </c>
    </row>
    <row r="5825" spans="1:2" ht="16.149999999999999" customHeight="1">
      <c r="A5825" s="877">
        <v>39385</v>
      </c>
      <c r="B5825" s="878">
        <v>1995.94</v>
      </c>
    </row>
    <row r="5826" spans="1:2" ht="16.149999999999999" customHeight="1">
      <c r="A5826" s="877">
        <v>39386</v>
      </c>
      <c r="B5826" s="880">
        <v>1999.44</v>
      </c>
    </row>
    <row r="5827" spans="1:2" ht="16.149999999999999" customHeight="1">
      <c r="A5827" s="877">
        <v>39387</v>
      </c>
      <c r="B5827" s="878">
        <v>1987.69</v>
      </c>
    </row>
    <row r="5828" spans="1:2" ht="16.149999999999999" customHeight="1">
      <c r="A5828" s="877">
        <v>39388</v>
      </c>
      <c r="B5828" s="880">
        <v>2008.11</v>
      </c>
    </row>
    <row r="5829" spans="1:2" ht="16.149999999999999" customHeight="1">
      <c r="A5829" s="877">
        <v>39389</v>
      </c>
      <c r="B5829" s="878">
        <v>2014.12</v>
      </c>
    </row>
    <row r="5830" spans="1:2" ht="16.149999999999999" customHeight="1">
      <c r="A5830" s="877">
        <v>39390</v>
      </c>
      <c r="B5830" s="880">
        <v>2014.12</v>
      </c>
    </row>
    <row r="5831" spans="1:2" ht="16.149999999999999" customHeight="1">
      <c r="A5831" s="877">
        <v>39391</v>
      </c>
      <c r="B5831" s="878">
        <v>2014.12</v>
      </c>
    </row>
    <row r="5832" spans="1:2" ht="16.149999999999999" customHeight="1">
      <c r="A5832" s="877">
        <v>39392</v>
      </c>
      <c r="B5832" s="880">
        <v>2014.12</v>
      </c>
    </row>
    <row r="5833" spans="1:2" ht="16.149999999999999" customHeight="1">
      <c r="A5833" s="877">
        <v>39393</v>
      </c>
      <c r="B5833" s="878">
        <v>2012.89</v>
      </c>
    </row>
    <row r="5834" spans="1:2" ht="16.149999999999999" customHeight="1">
      <c r="A5834" s="877">
        <v>39394</v>
      </c>
      <c r="B5834" s="880">
        <v>2023.99</v>
      </c>
    </row>
    <row r="5835" spans="1:2" ht="16.149999999999999" customHeight="1">
      <c r="A5835" s="877">
        <v>39395</v>
      </c>
      <c r="B5835" s="878">
        <v>2033.94</v>
      </c>
    </row>
    <row r="5836" spans="1:2" ht="16.149999999999999" customHeight="1">
      <c r="A5836" s="877">
        <v>39396</v>
      </c>
      <c r="B5836" s="880">
        <v>2045.59</v>
      </c>
    </row>
    <row r="5837" spans="1:2" ht="16.149999999999999" customHeight="1">
      <c r="A5837" s="877">
        <v>39397</v>
      </c>
      <c r="B5837" s="878">
        <v>2045.59</v>
      </c>
    </row>
    <row r="5838" spans="1:2" ht="16.149999999999999" customHeight="1">
      <c r="A5838" s="877">
        <v>39398</v>
      </c>
      <c r="B5838" s="880">
        <v>2045.59</v>
      </c>
    </row>
    <row r="5839" spans="1:2" ht="16.149999999999999" customHeight="1">
      <c r="A5839" s="877">
        <v>39399</v>
      </c>
      <c r="B5839" s="878">
        <v>2045.59</v>
      </c>
    </row>
    <row r="5840" spans="1:2" ht="16.149999999999999" customHeight="1">
      <c r="A5840" s="877">
        <v>39400</v>
      </c>
      <c r="B5840" s="880">
        <v>2051.88</v>
      </c>
    </row>
    <row r="5841" spans="1:2" ht="16.149999999999999" customHeight="1">
      <c r="A5841" s="877">
        <v>39401</v>
      </c>
      <c r="B5841" s="878">
        <v>2032.04</v>
      </c>
    </row>
    <row r="5842" spans="1:2" ht="16.149999999999999" customHeight="1">
      <c r="A5842" s="877">
        <v>39402</v>
      </c>
      <c r="B5842" s="880">
        <v>2044.7</v>
      </c>
    </row>
    <row r="5843" spans="1:2" ht="16.149999999999999" customHeight="1">
      <c r="A5843" s="877">
        <v>39403</v>
      </c>
      <c r="B5843" s="878">
        <v>2040.35</v>
      </c>
    </row>
    <row r="5844" spans="1:2" ht="16.149999999999999" customHeight="1">
      <c r="A5844" s="877">
        <v>39404</v>
      </c>
      <c r="B5844" s="880">
        <v>2040.35</v>
      </c>
    </row>
    <row r="5845" spans="1:2" ht="16.149999999999999" customHeight="1">
      <c r="A5845" s="877">
        <v>39405</v>
      </c>
      <c r="B5845" s="878">
        <v>2040.35</v>
      </c>
    </row>
    <row r="5846" spans="1:2" ht="16.149999999999999" customHeight="1">
      <c r="A5846" s="877">
        <v>39406</v>
      </c>
      <c r="B5846" s="880">
        <v>2054.3000000000002</v>
      </c>
    </row>
    <row r="5847" spans="1:2" ht="16.149999999999999" customHeight="1">
      <c r="A5847" s="877">
        <v>39407</v>
      </c>
      <c r="B5847" s="878">
        <v>2056.2800000000002</v>
      </c>
    </row>
    <row r="5848" spans="1:2" ht="16.149999999999999" customHeight="1">
      <c r="A5848" s="877">
        <v>39408</v>
      </c>
      <c r="B5848" s="880">
        <v>2074.6</v>
      </c>
    </row>
    <row r="5849" spans="1:2" ht="16.149999999999999" customHeight="1">
      <c r="A5849" s="877">
        <v>39409</v>
      </c>
      <c r="B5849" s="878">
        <v>2074.6</v>
      </c>
    </row>
    <row r="5850" spans="1:2" ht="16.149999999999999" customHeight="1">
      <c r="A5850" s="877">
        <v>39410</v>
      </c>
      <c r="B5850" s="880">
        <v>2088.2399999999998</v>
      </c>
    </row>
    <row r="5851" spans="1:2" ht="16.149999999999999" customHeight="1">
      <c r="A5851" s="877">
        <v>39411</v>
      </c>
      <c r="B5851" s="878">
        <v>2088.2399999999998</v>
      </c>
    </row>
    <row r="5852" spans="1:2" ht="16.149999999999999" customHeight="1">
      <c r="A5852" s="877">
        <v>39412</v>
      </c>
      <c r="B5852" s="880">
        <v>2088.2399999999998</v>
      </c>
    </row>
    <row r="5853" spans="1:2" ht="16.149999999999999" customHeight="1">
      <c r="A5853" s="877">
        <v>39413</v>
      </c>
      <c r="B5853" s="878">
        <v>2089.11</v>
      </c>
    </row>
    <row r="5854" spans="1:2" ht="16.149999999999999" customHeight="1">
      <c r="A5854" s="877">
        <v>39414</v>
      </c>
      <c r="B5854" s="880">
        <v>2094.7399999999998</v>
      </c>
    </row>
    <row r="5855" spans="1:2" ht="16.149999999999999" customHeight="1">
      <c r="A5855" s="877">
        <v>39415</v>
      </c>
      <c r="B5855" s="878">
        <v>2066.81</v>
      </c>
    </row>
    <row r="5856" spans="1:2" ht="16.149999999999999" customHeight="1">
      <c r="A5856" s="877">
        <v>39416</v>
      </c>
      <c r="B5856" s="880">
        <v>2060.42</v>
      </c>
    </row>
    <row r="5857" spans="1:2" ht="16.149999999999999" customHeight="1">
      <c r="A5857" s="877">
        <v>39417</v>
      </c>
      <c r="B5857" s="878">
        <v>2043.11</v>
      </c>
    </row>
    <row r="5858" spans="1:2" ht="16.149999999999999" customHeight="1">
      <c r="A5858" s="877">
        <v>39418</v>
      </c>
      <c r="B5858" s="880">
        <v>2043.11</v>
      </c>
    </row>
    <row r="5859" spans="1:2" ht="16.149999999999999" customHeight="1">
      <c r="A5859" s="877">
        <v>39419</v>
      </c>
      <c r="B5859" s="878">
        <v>2043.11</v>
      </c>
    </row>
    <row r="5860" spans="1:2" ht="16.149999999999999" customHeight="1">
      <c r="A5860" s="877">
        <v>39420</v>
      </c>
      <c r="B5860" s="880">
        <v>2052.1799999999998</v>
      </c>
    </row>
    <row r="5861" spans="1:2" ht="16.149999999999999" customHeight="1">
      <c r="A5861" s="877">
        <v>39421</v>
      </c>
      <c r="B5861" s="878">
        <v>2057.4</v>
      </c>
    </row>
    <row r="5862" spans="1:2" ht="16.149999999999999" customHeight="1">
      <c r="A5862" s="877">
        <v>39422</v>
      </c>
      <c r="B5862" s="880">
        <v>2036.6</v>
      </c>
    </row>
    <row r="5863" spans="1:2" ht="16.149999999999999" customHeight="1">
      <c r="A5863" s="877">
        <v>39423</v>
      </c>
      <c r="B5863" s="878">
        <v>2023.18</v>
      </c>
    </row>
    <row r="5864" spans="1:2" ht="16.149999999999999" customHeight="1">
      <c r="A5864" s="877">
        <v>39424</v>
      </c>
      <c r="B5864" s="880">
        <v>2016.77</v>
      </c>
    </row>
    <row r="5865" spans="1:2" ht="16.149999999999999" customHeight="1">
      <c r="A5865" s="877">
        <v>39425</v>
      </c>
      <c r="B5865" s="878">
        <v>2016.77</v>
      </c>
    </row>
    <row r="5866" spans="1:2" ht="16.149999999999999" customHeight="1">
      <c r="A5866" s="877">
        <v>39426</v>
      </c>
      <c r="B5866" s="880">
        <v>2016.77</v>
      </c>
    </row>
    <row r="5867" spans="1:2" ht="16.149999999999999" customHeight="1">
      <c r="A5867" s="877">
        <v>39427</v>
      </c>
      <c r="B5867" s="878">
        <v>2009.83</v>
      </c>
    </row>
    <row r="5868" spans="1:2" ht="16.149999999999999" customHeight="1">
      <c r="A5868" s="877">
        <v>39428</v>
      </c>
      <c r="B5868" s="880">
        <v>2005.82</v>
      </c>
    </row>
    <row r="5869" spans="1:2" ht="16.149999999999999" customHeight="1">
      <c r="A5869" s="877">
        <v>39429</v>
      </c>
      <c r="B5869" s="878">
        <v>2003.9</v>
      </c>
    </row>
    <row r="5870" spans="1:2" ht="16.149999999999999" customHeight="1">
      <c r="A5870" s="877">
        <v>39430</v>
      </c>
      <c r="B5870" s="880">
        <v>2017.36</v>
      </c>
    </row>
    <row r="5871" spans="1:2" ht="16.149999999999999" customHeight="1">
      <c r="A5871" s="877">
        <v>39431</v>
      </c>
      <c r="B5871" s="878">
        <v>2009.85</v>
      </c>
    </row>
    <row r="5872" spans="1:2" ht="16.149999999999999" customHeight="1">
      <c r="A5872" s="877">
        <v>39432</v>
      </c>
      <c r="B5872" s="880">
        <v>2009.85</v>
      </c>
    </row>
    <row r="5873" spans="1:2" ht="16.149999999999999" customHeight="1">
      <c r="A5873" s="877">
        <v>39433</v>
      </c>
      <c r="B5873" s="878">
        <v>2009.85</v>
      </c>
    </row>
    <row r="5874" spans="1:2" ht="16.149999999999999" customHeight="1">
      <c r="A5874" s="877">
        <v>39434</v>
      </c>
      <c r="B5874" s="880">
        <v>2006.48</v>
      </c>
    </row>
    <row r="5875" spans="1:2" ht="16.149999999999999" customHeight="1">
      <c r="A5875" s="877">
        <v>39435</v>
      </c>
      <c r="B5875" s="878">
        <v>2007.98</v>
      </c>
    </row>
    <row r="5876" spans="1:2" ht="16.149999999999999" customHeight="1">
      <c r="A5876" s="877">
        <v>39436</v>
      </c>
      <c r="B5876" s="880">
        <v>2005.92</v>
      </c>
    </row>
    <row r="5877" spans="1:2" ht="16.149999999999999" customHeight="1">
      <c r="A5877" s="877">
        <v>39437</v>
      </c>
      <c r="B5877" s="878">
        <v>2000.58</v>
      </c>
    </row>
    <row r="5878" spans="1:2" ht="16.149999999999999" customHeight="1">
      <c r="A5878" s="877">
        <v>39438</v>
      </c>
      <c r="B5878" s="880">
        <v>1993.08</v>
      </c>
    </row>
    <row r="5879" spans="1:2" ht="16.149999999999999" customHeight="1">
      <c r="A5879" s="877">
        <v>39439</v>
      </c>
      <c r="B5879" s="878">
        <v>1993.08</v>
      </c>
    </row>
    <row r="5880" spans="1:2" ht="16.149999999999999" customHeight="1">
      <c r="A5880" s="877">
        <v>39440</v>
      </c>
      <c r="B5880" s="880">
        <v>1993.08</v>
      </c>
    </row>
    <row r="5881" spans="1:2" ht="16.149999999999999" customHeight="1">
      <c r="A5881" s="877">
        <v>39441</v>
      </c>
      <c r="B5881" s="878">
        <v>1989.7</v>
      </c>
    </row>
    <row r="5882" spans="1:2" ht="16.149999999999999" customHeight="1">
      <c r="A5882" s="877">
        <v>39442</v>
      </c>
      <c r="B5882" s="880">
        <v>1989.7</v>
      </c>
    </row>
    <row r="5883" spans="1:2" ht="16.149999999999999" customHeight="1">
      <c r="A5883" s="877">
        <v>39443</v>
      </c>
      <c r="B5883" s="878">
        <v>1987.81</v>
      </c>
    </row>
    <row r="5884" spans="1:2" ht="16.149999999999999" customHeight="1">
      <c r="A5884" s="877">
        <v>39444</v>
      </c>
      <c r="B5884" s="880">
        <v>2001.72</v>
      </c>
    </row>
    <row r="5885" spans="1:2" ht="16.149999999999999" customHeight="1">
      <c r="A5885" s="877">
        <v>39445</v>
      </c>
      <c r="B5885" s="878">
        <v>2014.76</v>
      </c>
    </row>
    <row r="5886" spans="1:2" ht="16.149999999999999" customHeight="1">
      <c r="A5886" s="877">
        <v>39446</v>
      </c>
      <c r="B5886" s="880">
        <v>2014.76</v>
      </c>
    </row>
    <row r="5887" spans="1:2" ht="16.149999999999999" customHeight="1">
      <c r="A5887" s="877">
        <v>39447</v>
      </c>
      <c r="B5887" s="878">
        <v>2014.76</v>
      </c>
    </row>
    <row r="5888" spans="1:2" ht="16.149999999999999" customHeight="1">
      <c r="A5888" s="877">
        <v>39448</v>
      </c>
      <c r="B5888" s="880">
        <v>2014.76</v>
      </c>
    </row>
    <row r="5889" spans="1:2" ht="16.149999999999999" customHeight="1">
      <c r="A5889" s="877">
        <v>39449</v>
      </c>
      <c r="B5889" s="878">
        <v>2014.76</v>
      </c>
    </row>
    <row r="5890" spans="1:2" ht="16.149999999999999" customHeight="1">
      <c r="A5890" s="877">
        <v>39450</v>
      </c>
      <c r="B5890" s="880">
        <v>2012.82</v>
      </c>
    </row>
    <row r="5891" spans="1:2" ht="16.149999999999999" customHeight="1">
      <c r="A5891" s="877">
        <v>39451</v>
      </c>
      <c r="B5891" s="878">
        <v>2013.27</v>
      </c>
    </row>
    <row r="5892" spans="1:2" ht="16.149999999999999" customHeight="1">
      <c r="A5892" s="877">
        <v>39452</v>
      </c>
      <c r="B5892" s="880">
        <v>2013.98</v>
      </c>
    </row>
    <row r="5893" spans="1:2" ht="16.149999999999999" customHeight="1">
      <c r="A5893" s="877">
        <v>39453</v>
      </c>
      <c r="B5893" s="878">
        <v>2013.98</v>
      </c>
    </row>
    <row r="5894" spans="1:2" ht="16.149999999999999" customHeight="1">
      <c r="A5894" s="877">
        <v>39454</v>
      </c>
      <c r="B5894" s="880">
        <v>2013.98</v>
      </c>
    </row>
    <row r="5895" spans="1:2" ht="16.149999999999999" customHeight="1">
      <c r="A5895" s="877">
        <v>39455</v>
      </c>
      <c r="B5895" s="878">
        <v>2013.98</v>
      </c>
    </row>
    <row r="5896" spans="1:2" ht="16.149999999999999" customHeight="1">
      <c r="A5896" s="877">
        <v>39456</v>
      </c>
      <c r="B5896" s="880">
        <v>2000.91</v>
      </c>
    </row>
    <row r="5897" spans="1:2" ht="16.149999999999999" customHeight="1">
      <c r="A5897" s="877">
        <v>39457</v>
      </c>
      <c r="B5897" s="878">
        <v>2004.7</v>
      </c>
    </row>
    <row r="5898" spans="1:2" ht="16.149999999999999" customHeight="1">
      <c r="A5898" s="877">
        <v>39458</v>
      </c>
      <c r="B5898" s="880">
        <v>2003.74</v>
      </c>
    </row>
    <row r="5899" spans="1:2" ht="16.149999999999999" customHeight="1">
      <c r="A5899" s="877">
        <v>39459</v>
      </c>
      <c r="B5899" s="878">
        <v>1985.35</v>
      </c>
    </row>
    <row r="5900" spans="1:2" ht="16.149999999999999" customHeight="1">
      <c r="A5900" s="877">
        <v>39460</v>
      </c>
      <c r="B5900" s="880">
        <v>1985.35</v>
      </c>
    </row>
    <row r="5901" spans="1:2" ht="16.149999999999999" customHeight="1">
      <c r="A5901" s="877">
        <v>39461</v>
      </c>
      <c r="B5901" s="878">
        <v>1985.35</v>
      </c>
    </row>
    <row r="5902" spans="1:2" ht="16.149999999999999" customHeight="1">
      <c r="A5902" s="877">
        <v>39462</v>
      </c>
      <c r="B5902" s="880">
        <v>1949.43</v>
      </c>
    </row>
    <row r="5903" spans="1:2" ht="16.149999999999999" customHeight="1">
      <c r="A5903" s="877">
        <v>39463</v>
      </c>
      <c r="B5903" s="878">
        <v>1948.91</v>
      </c>
    </row>
    <row r="5904" spans="1:2" ht="16.149999999999999" customHeight="1">
      <c r="A5904" s="877">
        <v>39464</v>
      </c>
      <c r="B5904" s="880">
        <v>1960.49</v>
      </c>
    </row>
    <row r="5905" spans="1:2" ht="16.149999999999999" customHeight="1">
      <c r="A5905" s="877">
        <v>39465</v>
      </c>
      <c r="B5905" s="878">
        <v>1947.6</v>
      </c>
    </row>
    <row r="5906" spans="1:2" ht="16.149999999999999" customHeight="1">
      <c r="A5906" s="877">
        <v>39466</v>
      </c>
      <c r="B5906" s="880">
        <v>1968.13</v>
      </c>
    </row>
    <row r="5907" spans="1:2" ht="16.149999999999999" customHeight="1">
      <c r="A5907" s="877">
        <v>39467</v>
      </c>
      <c r="B5907" s="878">
        <v>1968.13</v>
      </c>
    </row>
    <row r="5908" spans="1:2" ht="16.149999999999999" customHeight="1">
      <c r="A5908" s="877">
        <v>39468</v>
      </c>
      <c r="B5908" s="880">
        <v>1968.13</v>
      </c>
    </row>
    <row r="5909" spans="1:2" ht="16.149999999999999" customHeight="1">
      <c r="A5909" s="877">
        <v>39469</v>
      </c>
      <c r="B5909" s="878">
        <v>1968.13</v>
      </c>
    </row>
    <row r="5910" spans="1:2" ht="16.149999999999999" customHeight="1">
      <c r="A5910" s="877">
        <v>39470</v>
      </c>
      <c r="B5910" s="880">
        <v>2007.41</v>
      </c>
    </row>
    <row r="5911" spans="1:2" ht="16.149999999999999" customHeight="1">
      <c r="A5911" s="877">
        <v>39471</v>
      </c>
      <c r="B5911" s="878">
        <v>2005.08</v>
      </c>
    </row>
    <row r="5912" spans="1:2" ht="16.149999999999999" customHeight="1">
      <c r="A5912" s="877">
        <v>39472</v>
      </c>
      <c r="B5912" s="880">
        <v>1970.65</v>
      </c>
    </row>
    <row r="5913" spans="1:2" ht="16.149999999999999" customHeight="1">
      <c r="A5913" s="877">
        <v>39473</v>
      </c>
      <c r="B5913" s="878">
        <v>1961.3</v>
      </c>
    </row>
    <row r="5914" spans="1:2" ht="16.149999999999999" customHeight="1">
      <c r="A5914" s="877">
        <v>39474</v>
      </c>
      <c r="B5914" s="880">
        <v>1961.3</v>
      </c>
    </row>
    <row r="5915" spans="1:2" ht="16.149999999999999" customHeight="1">
      <c r="A5915" s="877">
        <v>39475</v>
      </c>
      <c r="B5915" s="878">
        <v>1961.3</v>
      </c>
    </row>
    <row r="5916" spans="1:2" ht="16.149999999999999" customHeight="1">
      <c r="A5916" s="877">
        <v>39476</v>
      </c>
      <c r="B5916" s="880">
        <v>1969.65</v>
      </c>
    </row>
    <row r="5917" spans="1:2" ht="16.149999999999999" customHeight="1">
      <c r="A5917" s="877">
        <v>39477</v>
      </c>
      <c r="B5917" s="878">
        <v>1946.54</v>
      </c>
    </row>
    <row r="5918" spans="1:2" ht="16.149999999999999" customHeight="1">
      <c r="A5918" s="877">
        <v>39478</v>
      </c>
      <c r="B5918" s="880">
        <v>1939.6</v>
      </c>
    </row>
    <row r="5919" spans="1:2" ht="16.149999999999999" customHeight="1">
      <c r="A5919" s="877">
        <v>39479</v>
      </c>
      <c r="B5919" s="878">
        <v>1939.77</v>
      </c>
    </row>
    <row r="5920" spans="1:2" ht="16.149999999999999" customHeight="1">
      <c r="A5920" s="877">
        <v>39480</v>
      </c>
      <c r="B5920" s="880">
        <v>1921.94</v>
      </c>
    </row>
    <row r="5921" spans="1:2" ht="16.149999999999999" customHeight="1">
      <c r="A5921" s="877">
        <v>39481</v>
      </c>
      <c r="B5921" s="878">
        <v>1921.94</v>
      </c>
    </row>
    <row r="5922" spans="1:2" ht="16.149999999999999" customHeight="1">
      <c r="A5922" s="877">
        <v>39482</v>
      </c>
      <c r="B5922" s="880">
        <v>1921.94</v>
      </c>
    </row>
    <row r="5923" spans="1:2" ht="16.149999999999999" customHeight="1">
      <c r="A5923" s="877">
        <v>39483</v>
      </c>
      <c r="B5923" s="878">
        <v>1917.26</v>
      </c>
    </row>
    <row r="5924" spans="1:2" ht="16.149999999999999" customHeight="1">
      <c r="A5924" s="877">
        <v>39484</v>
      </c>
      <c r="B5924" s="880">
        <v>1928.3</v>
      </c>
    </row>
    <row r="5925" spans="1:2" ht="16.149999999999999" customHeight="1">
      <c r="A5925" s="877">
        <v>39485</v>
      </c>
      <c r="B5925" s="878">
        <v>1929.7</v>
      </c>
    </row>
    <row r="5926" spans="1:2" ht="16.149999999999999" customHeight="1">
      <c r="A5926" s="877">
        <v>39486</v>
      </c>
      <c r="B5926" s="880">
        <v>1935.49</v>
      </c>
    </row>
    <row r="5927" spans="1:2" ht="16.149999999999999" customHeight="1">
      <c r="A5927" s="877">
        <v>39487</v>
      </c>
      <c r="B5927" s="878">
        <v>1923.08</v>
      </c>
    </row>
    <row r="5928" spans="1:2" ht="16.149999999999999" customHeight="1">
      <c r="A5928" s="877">
        <v>39488</v>
      </c>
      <c r="B5928" s="880">
        <v>1923.08</v>
      </c>
    </row>
    <row r="5929" spans="1:2" ht="16.149999999999999" customHeight="1">
      <c r="A5929" s="877">
        <v>39489</v>
      </c>
      <c r="B5929" s="878">
        <v>1923.08</v>
      </c>
    </row>
    <row r="5930" spans="1:2" ht="16.149999999999999" customHeight="1">
      <c r="A5930" s="877">
        <v>39490</v>
      </c>
      <c r="B5930" s="880">
        <v>1912.8</v>
      </c>
    </row>
    <row r="5931" spans="1:2" ht="16.149999999999999" customHeight="1">
      <c r="A5931" s="877">
        <v>39491</v>
      </c>
      <c r="B5931" s="878">
        <v>1901.38</v>
      </c>
    </row>
    <row r="5932" spans="1:2" ht="16.149999999999999" customHeight="1">
      <c r="A5932" s="877">
        <v>39492</v>
      </c>
      <c r="B5932" s="880">
        <v>1898.4</v>
      </c>
    </row>
    <row r="5933" spans="1:2" ht="16.149999999999999" customHeight="1">
      <c r="A5933" s="877">
        <v>39493</v>
      </c>
      <c r="B5933" s="878">
        <v>1894.87</v>
      </c>
    </row>
    <row r="5934" spans="1:2" ht="16.149999999999999" customHeight="1">
      <c r="A5934" s="877">
        <v>39494</v>
      </c>
      <c r="B5934" s="880">
        <v>1905.37</v>
      </c>
    </row>
    <row r="5935" spans="1:2" ht="16.149999999999999" customHeight="1">
      <c r="A5935" s="877">
        <v>39495</v>
      </c>
      <c r="B5935" s="878">
        <v>1905.37</v>
      </c>
    </row>
    <row r="5936" spans="1:2" ht="16.149999999999999" customHeight="1">
      <c r="A5936" s="877">
        <v>39496</v>
      </c>
      <c r="B5936" s="880">
        <v>1905.37</v>
      </c>
    </row>
    <row r="5937" spans="1:2" ht="16.149999999999999" customHeight="1">
      <c r="A5937" s="877">
        <v>39497</v>
      </c>
      <c r="B5937" s="878">
        <v>1905.37</v>
      </c>
    </row>
    <row r="5938" spans="1:2" ht="16.149999999999999" customHeight="1">
      <c r="A5938" s="877">
        <v>39498</v>
      </c>
      <c r="B5938" s="880">
        <v>1890.74</v>
      </c>
    </row>
    <row r="5939" spans="1:2" ht="16.149999999999999" customHeight="1">
      <c r="A5939" s="877">
        <v>39499</v>
      </c>
      <c r="B5939" s="878">
        <v>1910.81</v>
      </c>
    </row>
    <row r="5940" spans="1:2" ht="16.149999999999999" customHeight="1">
      <c r="A5940" s="877">
        <v>39500</v>
      </c>
      <c r="B5940" s="880">
        <v>1895.85</v>
      </c>
    </row>
    <row r="5941" spans="1:2" ht="16.149999999999999" customHeight="1">
      <c r="A5941" s="877">
        <v>39501</v>
      </c>
      <c r="B5941" s="878">
        <v>1892</v>
      </c>
    </row>
    <row r="5942" spans="1:2" ht="16.149999999999999" customHeight="1">
      <c r="A5942" s="877">
        <v>39502</v>
      </c>
      <c r="B5942" s="880">
        <v>1892</v>
      </c>
    </row>
    <row r="5943" spans="1:2" ht="16.149999999999999" customHeight="1">
      <c r="A5943" s="877">
        <v>39503</v>
      </c>
      <c r="B5943" s="878">
        <v>1892</v>
      </c>
    </row>
    <row r="5944" spans="1:2" ht="16.149999999999999" customHeight="1">
      <c r="A5944" s="877">
        <v>39504</v>
      </c>
      <c r="B5944" s="880">
        <v>1887.97</v>
      </c>
    </row>
    <row r="5945" spans="1:2" ht="16.149999999999999" customHeight="1">
      <c r="A5945" s="877">
        <v>39505</v>
      </c>
      <c r="B5945" s="878">
        <v>1879.19</v>
      </c>
    </row>
    <row r="5946" spans="1:2" ht="16.149999999999999" customHeight="1">
      <c r="A5946" s="877">
        <v>39506</v>
      </c>
      <c r="B5946" s="880">
        <v>1854.87</v>
      </c>
    </row>
    <row r="5947" spans="1:2" ht="16.149999999999999" customHeight="1">
      <c r="A5947" s="877">
        <v>39507</v>
      </c>
      <c r="B5947" s="878">
        <v>1843.59</v>
      </c>
    </row>
    <row r="5948" spans="1:2" ht="16.149999999999999" customHeight="1">
      <c r="A5948" s="877">
        <v>39508</v>
      </c>
      <c r="B5948" s="880">
        <v>1845.17</v>
      </c>
    </row>
    <row r="5949" spans="1:2" ht="16.149999999999999" customHeight="1">
      <c r="A5949" s="877">
        <v>39509</v>
      </c>
      <c r="B5949" s="878">
        <v>1845.17</v>
      </c>
    </row>
    <row r="5950" spans="1:2" ht="16.149999999999999" customHeight="1">
      <c r="A5950" s="877">
        <v>39510</v>
      </c>
      <c r="B5950" s="880">
        <v>1845.17</v>
      </c>
    </row>
    <row r="5951" spans="1:2" ht="16.149999999999999" customHeight="1">
      <c r="A5951" s="877">
        <v>39511</v>
      </c>
      <c r="B5951" s="878">
        <v>1849.46</v>
      </c>
    </row>
    <row r="5952" spans="1:2" ht="16.149999999999999" customHeight="1">
      <c r="A5952" s="877">
        <v>39512</v>
      </c>
      <c r="B5952" s="880">
        <v>1841.61</v>
      </c>
    </row>
    <row r="5953" spans="1:2" ht="16.149999999999999" customHeight="1">
      <c r="A5953" s="877">
        <v>39513</v>
      </c>
      <c r="B5953" s="878">
        <v>1856.69</v>
      </c>
    </row>
    <row r="5954" spans="1:2" ht="16.149999999999999" customHeight="1">
      <c r="A5954" s="877">
        <v>39514</v>
      </c>
      <c r="B5954" s="880">
        <v>1880.12</v>
      </c>
    </row>
    <row r="5955" spans="1:2" ht="16.149999999999999" customHeight="1">
      <c r="A5955" s="877">
        <v>39515</v>
      </c>
      <c r="B5955" s="878">
        <v>1902.17</v>
      </c>
    </row>
    <row r="5956" spans="1:2" ht="16.149999999999999" customHeight="1">
      <c r="A5956" s="877">
        <v>39516</v>
      </c>
      <c r="B5956" s="880">
        <v>1902.17</v>
      </c>
    </row>
    <row r="5957" spans="1:2" ht="16.149999999999999" customHeight="1">
      <c r="A5957" s="877">
        <v>39517</v>
      </c>
      <c r="B5957" s="878">
        <v>1902.17</v>
      </c>
    </row>
    <row r="5958" spans="1:2" ht="16.149999999999999" customHeight="1">
      <c r="A5958" s="877">
        <v>39518</v>
      </c>
      <c r="B5958" s="880">
        <v>1864.78</v>
      </c>
    </row>
    <row r="5959" spans="1:2" ht="16.149999999999999" customHeight="1">
      <c r="A5959" s="877">
        <v>39519</v>
      </c>
      <c r="B5959" s="878">
        <v>1865.98</v>
      </c>
    </row>
    <row r="5960" spans="1:2" ht="16.149999999999999" customHeight="1">
      <c r="A5960" s="877">
        <v>39520</v>
      </c>
      <c r="B5960" s="880">
        <v>1853.41</v>
      </c>
    </row>
    <row r="5961" spans="1:2" ht="16.149999999999999" customHeight="1">
      <c r="A5961" s="877">
        <v>39521</v>
      </c>
      <c r="B5961" s="878">
        <v>1856.01</v>
      </c>
    </row>
    <row r="5962" spans="1:2" ht="16.149999999999999" customHeight="1">
      <c r="A5962" s="877">
        <v>39522</v>
      </c>
      <c r="B5962" s="880">
        <v>1843.95</v>
      </c>
    </row>
    <row r="5963" spans="1:2" ht="16.149999999999999" customHeight="1">
      <c r="A5963" s="877">
        <v>39523</v>
      </c>
      <c r="B5963" s="878">
        <v>1843.95</v>
      </c>
    </row>
    <row r="5964" spans="1:2" ht="16.149999999999999" customHeight="1">
      <c r="A5964" s="877">
        <v>39524</v>
      </c>
      <c r="B5964" s="880">
        <v>1843.95</v>
      </c>
    </row>
    <row r="5965" spans="1:2" ht="16.149999999999999" customHeight="1">
      <c r="A5965" s="877">
        <v>39525</v>
      </c>
      <c r="B5965" s="878">
        <v>1857.55</v>
      </c>
    </row>
    <row r="5966" spans="1:2" ht="16.149999999999999" customHeight="1">
      <c r="A5966" s="877">
        <v>39526</v>
      </c>
      <c r="B5966" s="880">
        <v>1823.11</v>
      </c>
    </row>
    <row r="5967" spans="1:2" ht="16.149999999999999" customHeight="1">
      <c r="A5967" s="877">
        <v>39527</v>
      </c>
      <c r="B5967" s="878">
        <v>1815.65</v>
      </c>
    </row>
    <row r="5968" spans="1:2" ht="16.149999999999999" customHeight="1">
      <c r="A5968" s="877">
        <v>39528</v>
      </c>
      <c r="B5968" s="880">
        <v>1815.65</v>
      </c>
    </row>
    <row r="5969" spans="1:2" ht="16.149999999999999" customHeight="1">
      <c r="A5969" s="877">
        <v>39529</v>
      </c>
      <c r="B5969" s="878">
        <v>1815.65</v>
      </c>
    </row>
    <row r="5970" spans="1:2" ht="16.149999999999999" customHeight="1">
      <c r="A5970" s="877">
        <v>39530</v>
      </c>
      <c r="B5970" s="880">
        <v>1815.65</v>
      </c>
    </row>
    <row r="5971" spans="1:2" ht="16.149999999999999" customHeight="1">
      <c r="A5971" s="877">
        <v>39531</v>
      </c>
      <c r="B5971" s="878">
        <v>1815.65</v>
      </c>
    </row>
    <row r="5972" spans="1:2" ht="16.149999999999999" customHeight="1">
      <c r="A5972" s="877">
        <v>39532</v>
      </c>
      <c r="B5972" s="880">
        <v>1815.65</v>
      </c>
    </row>
    <row r="5973" spans="1:2" ht="16.149999999999999" customHeight="1">
      <c r="A5973" s="877">
        <v>39533</v>
      </c>
      <c r="B5973" s="878">
        <v>1835.01</v>
      </c>
    </row>
    <row r="5974" spans="1:2" ht="16.149999999999999" customHeight="1">
      <c r="A5974" s="877">
        <v>39534</v>
      </c>
      <c r="B5974" s="880">
        <v>1821.31</v>
      </c>
    </row>
    <row r="5975" spans="1:2" ht="16.149999999999999" customHeight="1">
      <c r="A5975" s="877">
        <v>39535</v>
      </c>
      <c r="B5975" s="878">
        <v>1810.68</v>
      </c>
    </row>
    <row r="5976" spans="1:2" ht="16.149999999999999" customHeight="1">
      <c r="A5976" s="877">
        <v>39536</v>
      </c>
      <c r="B5976" s="880">
        <v>1821.6</v>
      </c>
    </row>
    <row r="5977" spans="1:2" ht="16.149999999999999" customHeight="1">
      <c r="A5977" s="877">
        <v>39537</v>
      </c>
      <c r="B5977" s="878">
        <v>1821.6</v>
      </c>
    </row>
    <row r="5978" spans="1:2" ht="16.149999999999999" customHeight="1">
      <c r="A5978" s="877">
        <v>39538</v>
      </c>
      <c r="B5978" s="880">
        <v>1821.6</v>
      </c>
    </row>
    <row r="5979" spans="1:2" ht="16.149999999999999" customHeight="1">
      <c r="A5979" s="877">
        <v>39539</v>
      </c>
      <c r="B5979" s="878">
        <v>1834.96</v>
      </c>
    </row>
    <row r="5980" spans="1:2" ht="16.149999999999999" customHeight="1">
      <c r="A5980" s="877">
        <v>39540</v>
      </c>
      <c r="B5980" s="880">
        <v>1827.94</v>
      </c>
    </row>
    <row r="5981" spans="1:2" ht="16.149999999999999" customHeight="1">
      <c r="A5981" s="877">
        <v>39541</v>
      </c>
      <c r="B5981" s="878">
        <v>1826.34</v>
      </c>
    </row>
    <row r="5982" spans="1:2" ht="16.149999999999999" customHeight="1">
      <c r="A5982" s="877">
        <v>39542</v>
      </c>
      <c r="B5982" s="880">
        <v>1824.39</v>
      </c>
    </row>
    <row r="5983" spans="1:2" ht="16.149999999999999" customHeight="1">
      <c r="A5983" s="877">
        <v>39543</v>
      </c>
      <c r="B5983" s="878">
        <v>1816.28</v>
      </c>
    </row>
    <row r="5984" spans="1:2" ht="16.149999999999999" customHeight="1">
      <c r="A5984" s="877">
        <v>39544</v>
      </c>
      <c r="B5984" s="880">
        <v>1816.28</v>
      </c>
    </row>
    <row r="5985" spans="1:2" ht="16.149999999999999" customHeight="1">
      <c r="A5985" s="877">
        <v>39545</v>
      </c>
      <c r="B5985" s="878">
        <v>1816.28</v>
      </c>
    </row>
    <row r="5986" spans="1:2" ht="16.149999999999999" customHeight="1">
      <c r="A5986" s="877">
        <v>39546</v>
      </c>
      <c r="B5986" s="880">
        <v>1811.23</v>
      </c>
    </row>
    <row r="5987" spans="1:2" ht="16.149999999999999" customHeight="1">
      <c r="A5987" s="877">
        <v>39547</v>
      </c>
      <c r="B5987" s="878">
        <v>1812.85</v>
      </c>
    </row>
    <row r="5988" spans="1:2" ht="16.149999999999999" customHeight="1">
      <c r="A5988" s="877">
        <v>39548</v>
      </c>
      <c r="B5988" s="880">
        <v>1799.07</v>
      </c>
    </row>
    <row r="5989" spans="1:2" ht="16.149999999999999" customHeight="1">
      <c r="A5989" s="877">
        <v>39549</v>
      </c>
      <c r="B5989" s="878">
        <v>1791.63</v>
      </c>
    </row>
    <row r="5990" spans="1:2" ht="16.149999999999999" customHeight="1">
      <c r="A5990" s="877">
        <v>39550</v>
      </c>
      <c r="B5990" s="880">
        <v>1792.49</v>
      </c>
    </row>
    <row r="5991" spans="1:2" ht="16.149999999999999" customHeight="1">
      <c r="A5991" s="877">
        <v>39551</v>
      </c>
      <c r="B5991" s="878">
        <v>1792.49</v>
      </c>
    </row>
    <row r="5992" spans="1:2" ht="16.149999999999999" customHeight="1">
      <c r="A5992" s="877">
        <v>39552</v>
      </c>
      <c r="B5992" s="880">
        <v>1792.49</v>
      </c>
    </row>
    <row r="5993" spans="1:2" ht="16.149999999999999" customHeight="1">
      <c r="A5993" s="877">
        <v>39553</v>
      </c>
      <c r="B5993" s="878">
        <v>1792.69</v>
      </c>
    </row>
    <row r="5994" spans="1:2" ht="16.149999999999999" customHeight="1">
      <c r="A5994" s="877">
        <v>39554</v>
      </c>
      <c r="B5994" s="880">
        <v>1797.89</v>
      </c>
    </row>
    <row r="5995" spans="1:2" ht="16.149999999999999" customHeight="1">
      <c r="A5995" s="877">
        <v>39555</v>
      </c>
      <c r="B5995" s="878">
        <v>1798.89</v>
      </c>
    </row>
    <row r="5996" spans="1:2" ht="16.149999999999999" customHeight="1">
      <c r="A5996" s="877">
        <v>39556</v>
      </c>
      <c r="B5996" s="880">
        <v>1792.87</v>
      </c>
    </row>
    <row r="5997" spans="1:2" ht="16.149999999999999" customHeight="1">
      <c r="A5997" s="877">
        <v>39557</v>
      </c>
      <c r="B5997" s="878">
        <v>1785.17</v>
      </c>
    </row>
    <row r="5998" spans="1:2" ht="16.149999999999999" customHeight="1">
      <c r="A5998" s="877">
        <v>39558</v>
      </c>
      <c r="B5998" s="880">
        <v>1785.17</v>
      </c>
    </row>
    <row r="5999" spans="1:2" ht="16.149999999999999" customHeight="1">
      <c r="A5999" s="877">
        <v>39559</v>
      </c>
      <c r="B5999" s="878">
        <v>1785.17</v>
      </c>
    </row>
    <row r="6000" spans="1:2" ht="16.149999999999999" customHeight="1">
      <c r="A6000" s="877">
        <v>39560</v>
      </c>
      <c r="B6000" s="880">
        <v>1780.79</v>
      </c>
    </row>
    <row r="6001" spans="1:2" ht="16.149999999999999" customHeight="1">
      <c r="A6001" s="877">
        <v>39561</v>
      </c>
      <c r="B6001" s="878">
        <v>1775.08</v>
      </c>
    </row>
    <row r="6002" spans="1:2" ht="16.149999999999999" customHeight="1">
      <c r="A6002" s="877">
        <v>39562</v>
      </c>
      <c r="B6002" s="880">
        <v>1765.3</v>
      </c>
    </row>
    <row r="6003" spans="1:2" ht="16.149999999999999" customHeight="1">
      <c r="A6003" s="877">
        <v>39563</v>
      </c>
      <c r="B6003" s="878">
        <v>1765.75</v>
      </c>
    </row>
    <row r="6004" spans="1:2" ht="16.149999999999999" customHeight="1">
      <c r="A6004" s="877">
        <v>39564</v>
      </c>
      <c r="B6004" s="880">
        <v>1775.22</v>
      </c>
    </row>
    <row r="6005" spans="1:2" ht="16.149999999999999" customHeight="1">
      <c r="A6005" s="877">
        <v>39565</v>
      </c>
      <c r="B6005" s="878">
        <v>1775.22</v>
      </c>
    </row>
    <row r="6006" spans="1:2" ht="16.149999999999999" customHeight="1">
      <c r="A6006" s="877">
        <v>39566</v>
      </c>
      <c r="B6006" s="880">
        <v>1775.22</v>
      </c>
    </row>
    <row r="6007" spans="1:2" ht="16.149999999999999" customHeight="1">
      <c r="A6007" s="877">
        <v>39567</v>
      </c>
      <c r="B6007" s="878">
        <v>1767.73</v>
      </c>
    </row>
    <row r="6008" spans="1:2" ht="16.149999999999999" customHeight="1">
      <c r="A6008" s="877">
        <v>39568</v>
      </c>
      <c r="B6008" s="880">
        <v>1780.21</v>
      </c>
    </row>
    <row r="6009" spans="1:2" ht="16.149999999999999" customHeight="1">
      <c r="A6009" s="877">
        <v>39569</v>
      </c>
      <c r="B6009" s="878">
        <v>1767.27</v>
      </c>
    </row>
    <row r="6010" spans="1:2" ht="16.149999999999999" customHeight="1">
      <c r="A6010" s="877">
        <v>39570</v>
      </c>
      <c r="B6010" s="880">
        <v>1767.27</v>
      </c>
    </row>
    <row r="6011" spans="1:2" ht="16.149999999999999" customHeight="1">
      <c r="A6011" s="877">
        <v>39571</v>
      </c>
      <c r="B6011" s="878">
        <v>1756.25</v>
      </c>
    </row>
    <row r="6012" spans="1:2" ht="16.149999999999999" customHeight="1">
      <c r="A6012" s="877">
        <v>39572</v>
      </c>
      <c r="B6012" s="880">
        <v>1756.25</v>
      </c>
    </row>
    <row r="6013" spans="1:2" ht="16.149999999999999" customHeight="1">
      <c r="A6013" s="877">
        <v>39573</v>
      </c>
      <c r="B6013" s="878">
        <v>1756.25</v>
      </c>
    </row>
    <row r="6014" spans="1:2" ht="16.149999999999999" customHeight="1">
      <c r="A6014" s="877">
        <v>39574</v>
      </c>
      <c r="B6014" s="880">
        <v>1756.25</v>
      </c>
    </row>
    <row r="6015" spans="1:2" ht="16.149999999999999" customHeight="1">
      <c r="A6015" s="877">
        <v>39575</v>
      </c>
      <c r="B6015" s="878">
        <v>1769.32</v>
      </c>
    </row>
    <row r="6016" spans="1:2" ht="16.149999999999999" customHeight="1">
      <c r="A6016" s="877">
        <v>39576</v>
      </c>
      <c r="B6016" s="880">
        <v>1787.62</v>
      </c>
    </row>
    <row r="6017" spans="1:2" ht="16.149999999999999" customHeight="1">
      <c r="A6017" s="877">
        <v>39577</v>
      </c>
      <c r="B6017" s="878">
        <v>1793.13</v>
      </c>
    </row>
    <row r="6018" spans="1:2" ht="16.149999999999999" customHeight="1">
      <c r="A6018" s="877">
        <v>39578</v>
      </c>
      <c r="B6018" s="880">
        <v>1781.79</v>
      </c>
    </row>
    <row r="6019" spans="1:2" ht="16.149999999999999" customHeight="1">
      <c r="A6019" s="877">
        <v>39579</v>
      </c>
      <c r="B6019" s="878">
        <v>1781.79</v>
      </c>
    </row>
    <row r="6020" spans="1:2" ht="16.149999999999999" customHeight="1">
      <c r="A6020" s="877">
        <v>39580</v>
      </c>
      <c r="B6020" s="880">
        <v>1781.79</v>
      </c>
    </row>
    <row r="6021" spans="1:2" ht="16.149999999999999" customHeight="1">
      <c r="A6021" s="877">
        <v>39581</v>
      </c>
      <c r="B6021" s="878">
        <v>1781.29</v>
      </c>
    </row>
    <row r="6022" spans="1:2" ht="16.149999999999999" customHeight="1">
      <c r="A6022" s="877">
        <v>39582</v>
      </c>
      <c r="B6022" s="880">
        <v>1780.01</v>
      </c>
    </row>
    <row r="6023" spans="1:2" ht="16.149999999999999" customHeight="1">
      <c r="A6023" s="877">
        <v>39583</v>
      </c>
      <c r="B6023" s="878">
        <v>1787.65</v>
      </c>
    </row>
    <row r="6024" spans="1:2" ht="16.149999999999999" customHeight="1">
      <c r="A6024" s="877">
        <v>39584</v>
      </c>
      <c r="B6024" s="880">
        <v>1792.94</v>
      </c>
    </row>
    <row r="6025" spans="1:2" ht="16.149999999999999" customHeight="1">
      <c r="A6025" s="877">
        <v>39585</v>
      </c>
      <c r="B6025" s="878">
        <v>1785.04</v>
      </c>
    </row>
    <row r="6026" spans="1:2" ht="16.149999999999999" customHeight="1">
      <c r="A6026" s="877">
        <v>39586</v>
      </c>
      <c r="B6026" s="880">
        <v>1785.04</v>
      </c>
    </row>
    <row r="6027" spans="1:2" ht="16.149999999999999" customHeight="1">
      <c r="A6027" s="877">
        <v>39587</v>
      </c>
      <c r="B6027" s="878">
        <v>1785.04</v>
      </c>
    </row>
    <row r="6028" spans="1:2" ht="16.149999999999999" customHeight="1">
      <c r="A6028" s="877">
        <v>39588</v>
      </c>
      <c r="B6028" s="880">
        <v>1779.35</v>
      </c>
    </row>
    <row r="6029" spans="1:2" ht="16.149999999999999" customHeight="1">
      <c r="A6029" s="877">
        <v>39589</v>
      </c>
      <c r="B6029" s="878">
        <v>1787.59</v>
      </c>
    </row>
    <row r="6030" spans="1:2" ht="16.149999999999999" customHeight="1">
      <c r="A6030" s="877">
        <v>39590</v>
      </c>
      <c r="B6030" s="880">
        <v>1779.48</v>
      </c>
    </row>
    <row r="6031" spans="1:2" ht="16.149999999999999" customHeight="1">
      <c r="A6031" s="877">
        <v>39591</v>
      </c>
      <c r="B6031" s="878">
        <v>1779.59</v>
      </c>
    </row>
    <row r="6032" spans="1:2" ht="16.149999999999999" customHeight="1">
      <c r="A6032" s="877">
        <v>39592</v>
      </c>
      <c r="B6032" s="880">
        <v>1777.98</v>
      </c>
    </row>
    <row r="6033" spans="1:2" ht="16.149999999999999" customHeight="1">
      <c r="A6033" s="877">
        <v>39593</v>
      </c>
      <c r="B6033" s="878">
        <v>1777.98</v>
      </c>
    </row>
    <row r="6034" spans="1:2" ht="16.149999999999999" customHeight="1">
      <c r="A6034" s="877">
        <v>39594</v>
      </c>
      <c r="B6034" s="880">
        <v>1777.98</v>
      </c>
    </row>
    <row r="6035" spans="1:2" ht="16.149999999999999" customHeight="1">
      <c r="A6035" s="877">
        <v>39595</v>
      </c>
      <c r="B6035" s="878">
        <v>1777.98</v>
      </c>
    </row>
    <row r="6036" spans="1:2" ht="16.149999999999999" customHeight="1">
      <c r="A6036" s="877">
        <v>39596</v>
      </c>
      <c r="B6036" s="880">
        <v>1772.55</v>
      </c>
    </row>
    <row r="6037" spans="1:2" ht="16.149999999999999" customHeight="1">
      <c r="A6037" s="877">
        <v>39597</v>
      </c>
      <c r="B6037" s="878">
        <v>1767.41</v>
      </c>
    </row>
    <row r="6038" spans="1:2" ht="16.149999999999999" customHeight="1">
      <c r="A6038" s="877">
        <v>39598</v>
      </c>
      <c r="B6038" s="880">
        <v>1755.95</v>
      </c>
    </row>
    <row r="6039" spans="1:2" ht="16.149999999999999" customHeight="1">
      <c r="A6039" s="877">
        <v>39599</v>
      </c>
      <c r="B6039" s="878">
        <v>1744.01</v>
      </c>
    </row>
    <row r="6040" spans="1:2" ht="16.149999999999999" customHeight="1">
      <c r="A6040" s="877">
        <v>39600</v>
      </c>
      <c r="B6040" s="880">
        <v>1744.01</v>
      </c>
    </row>
    <row r="6041" spans="1:2" ht="16.149999999999999" customHeight="1">
      <c r="A6041" s="877">
        <v>39601</v>
      </c>
      <c r="B6041" s="878">
        <v>1744.01</v>
      </c>
    </row>
    <row r="6042" spans="1:2" ht="16.149999999999999" customHeight="1">
      <c r="A6042" s="877">
        <v>39602</v>
      </c>
      <c r="B6042" s="880">
        <v>1744.01</v>
      </c>
    </row>
    <row r="6043" spans="1:2" ht="16.149999999999999" customHeight="1">
      <c r="A6043" s="877">
        <v>39603</v>
      </c>
      <c r="B6043" s="878">
        <v>1730.61</v>
      </c>
    </row>
    <row r="6044" spans="1:2" ht="16.149999999999999" customHeight="1">
      <c r="A6044" s="877">
        <v>39604</v>
      </c>
      <c r="B6044" s="880">
        <v>1728.76</v>
      </c>
    </row>
    <row r="6045" spans="1:2" ht="16.149999999999999" customHeight="1">
      <c r="A6045" s="877">
        <v>39605</v>
      </c>
      <c r="B6045" s="878">
        <v>1709.95</v>
      </c>
    </row>
    <row r="6046" spans="1:2" ht="16.149999999999999" customHeight="1">
      <c r="A6046" s="877">
        <v>39606</v>
      </c>
      <c r="B6046" s="880">
        <v>1702.44</v>
      </c>
    </row>
    <row r="6047" spans="1:2" ht="16.149999999999999" customHeight="1">
      <c r="A6047" s="877">
        <v>39607</v>
      </c>
      <c r="B6047" s="878">
        <v>1702.44</v>
      </c>
    </row>
    <row r="6048" spans="1:2" ht="16.149999999999999" customHeight="1">
      <c r="A6048" s="877">
        <v>39608</v>
      </c>
      <c r="B6048" s="880">
        <v>1702.44</v>
      </c>
    </row>
    <row r="6049" spans="1:2" ht="16.149999999999999" customHeight="1">
      <c r="A6049" s="877">
        <v>39609</v>
      </c>
      <c r="B6049" s="878">
        <v>1687.13</v>
      </c>
    </row>
    <row r="6050" spans="1:2" ht="16.149999999999999" customHeight="1">
      <c r="A6050" s="877">
        <v>39610</v>
      </c>
      <c r="B6050" s="880">
        <v>1696.79</v>
      </c>
    </row>
    <row r="6051" spans="1:2" ht="16.149999999999999" customHeight="1">
      <c r="A6051" s="877">
        <v>39611</v>
      </c>
      <c r="B6051" s="878">
        <v>1700.94</v>
      </c>
    </row>
    <row r="6052" spans="1:2" ht="16.149999999999999" customHeight="1">
      <c r="A6052" s="877">
        <v>39612</v>
      </c>
      <c r="B6052" s="880">
        <v>1705.35</v>
      </c>
    </row>
    <row r="6053" spans="1:2" ht="16.149999999999999" customHeight="1">
      <c r="A6053" s="877">
        <v>39613</v>
      </c>
      <c r="B6053" s="878">
        <v>1707.87</v>
      </c>
    </row>
    <row r="6054" spans="1:2" ht="16.149999999999999" customHeight="1">
      <c r="A6054" s="877">
        <v>39614</v>
      </c>
      <c r="B6054" s="880">
        <v>1707.87</v>
      </c>
    </row>
    <row r="6055" spans="1:2" ht="16.149999999999999" customHeight="1">
      <c r="A6055" s="877">
        <v>39615</v>
      </c>
      <c r="B6055" s="878">
        <v>1707.87</v>
      </c>
    </row>
    <row r="6056" spans="1:2" ht="16.149999999999999" customHeight="1">
      <c r="A6056" s="877">
        <v>39616</v>
      </c>
      <c r="B6056" s="880">
        <v>1684.52</v>
      </c>
    </row>
    <row r="6057" spans="1:2" ht="16.149999999999999" customHeight="1">
      <c r="A6057" s="877">
        <v>39617</v>
      </c>
      <c r="B6057" s="878">
        <v>1655.42</v>
      </c>
    </row>
    <row r="6058" spans="1:2" ht="16.149999999999999" customHeight="1">
      <c r="A6058" s="877">
        <v>39618</v>
      </c>
      <c r="B6058" s="880">
        <v>1652.41</v>
      </c>
    </row>
    <row r="6059" spans="1:2" ht="16.149999999999999" customHeight="1">
      <c r="A6059" s="877">
        <v>39619</v>
      </c>
      <c r="B6059" s="878">
        <v>1670.31</v>
      </c>
    </row>
    <row r="6060" spans="1:2" ht="16.149999999999999" customHeight="1">
      <c r="A6060" s="877">
        <v>39620</v>
      </c>
      <c r="B6060" s="880">
        <v>1678.82</v>
      </c>
    </row>
    <row r="6061" spans="1:2" ht="16.149999999999999" customHeight="1">
      <c r="A6061" s="877">
        <v>39621</v>
      </c>
      <c r="B6061" s="878">
        <v>1678.82</v>
      </c>
    </row>
    <row r="6062" spans="1:2" ht="16.149999999999999" customHeight="1">
      <c r="A6062" s="877">
        <v>39622</v>
      </c>
      <c r="B6062" s="880">
        <v>1678.82</v>
      </c>
    </row>
    <row r="6063" spans="1:2" ht="16.149999999999999" customHeight="1">
      <c r="A6063" s="877">
        <v>39623</v>
      </c>
      <c r="B6063" s="878">
        <v>1713.63</v>
      </c>
    </row>
    <row r="6064" spans="1:2" ht="16.149999999999999" customHeight="1">
      <c r="A6064" s="877">
        <v>39624</v>
      </c>
      <c r="B6064" s="880">
        <v>1748.04</v>
      </c>
    </row>
    <row r="6065" spans="1:2" ht="16.149999999999999" customHeight="1">
      <c r="A6065" s="877">
        <v>39625</v>
      </c>
      <c r="B6065" s="878">
        <v>1783.44</v>
      </c>
    </row>
    <row r="6066" spans="1:2" ht="16.149999999999999" customHeight="1">
      <c r="A6066" s="877">
        <v>39626</v>
      </c>
      <c r="B6066" s="880">
        <v>1832.81</v>
      </c>
    </row>
    <row r="6067" spans="1:2" ht="16.149999999999999" customHeight="1">
      <c r="A6067" s="877">
        <v>39627</v>
      </c>
      <c r="B6067" s="878">
        <v>1923.02</v>
      </c>
    </row>
    <row r="6068" spans="1:2" ht="16.149999999999999" customHeight="1">
      <c r="A6068" s="877">
        <v>39628</v>
      </c>
      <c r="B6068" s="880">
        <v>1923.02</v>
      </c>
    </row>
    <row r="6069" spans="1:2" ht="16.149999999999999" customHeight="1">
      <c r="A6069" s="877">
        <v>39629</v>
      </c>
      <c r="B6069" s="878">
        <v>1923.02</v>
      </c>
    </row>
    <row r="6070" spans="1:2" ht="16.149999999999999" customHeight="1">
      <c r="A6070" s="877">
        <v>39630</v>
      </c>
      <c r="B6070" s="880">
        <v>1923.02</v>
      </c>
    </row>
    <row r="6071" spans="1:2" ht="16.149999999999999" customHeight="1">
      <c r="A6071" s="877">
        <v>39631</v>
      </c>
      <c r="B6071" s="878">
        <v>1915.44</v>
      </c>
    </row>
    <row r="6072" spans="1:2" ht="16.149999999999999" customHeight="1">
      <c r="A6072" s="877">
        <v>39632</v>
      </c>
      <c r="B6072" s="880">
        <v>1818.6</v>
      </c>
    </row>
    <row r="6073" spans="1:2" ht="16.149999999999999" customHeight="1">
      <c r="A6073" s="877">
        <v>39633</v>
      </c>
      <c r="B6073" s="878">
        <v>1748.43</v>
      </c>
    </row>
    <row r="6074" spans="1:2" ht="16.149999999999999" customHeight="1">
      <c r="A6074" s="877">
        <v>39634</v>
      </c>
      <c r="B6074" s="880">
        <v>1748.43</v>
      </c>
    </row>
    <row r="6075" spans="1:2" ht="16.149999999999999" customHeight="1">
      <c r="A6075" s="877">
        <v>39635</v>
      </c>
      <c r="B6075" s="878">
        <v>1748.43</v>
      </c>
    </row>
    <row r="6076" spans="1:2" ht="16.149999999999999" customHeight="1">
      <c r="A6076" s="877">
        <v>39636</v>
      </c>
      <c r="B6076" s="880">
        <v>1748.43</v>
      </c>
    </row>
    <row r="6077" spans="1:2" ht="16.149999999999999" customHeight="1">
      <c r="A6077" s="877">
        <v>39637</v>
      </c>
      <c r="B6077" s="878">
        <v>1719.48</v>
      </c>
    </row>
    <row r="6078" spans="1:2" ht="16.149999999999999" customHeight="1">
      <c r="A6078" s="877">
        <v>39638</v>
      </c>
      <c r="B6078" s="880">
        <v>1736.49</v>
      </c>
    </row>
    <row r="6079" spans="1:2" ht="16.149999999999999" customHeight="1">
      <c r="A6079" s="877">
        <v>39639</v>
      </c>
      <c r="B6079" s="878">
        <v>1728.74</v>
      </c>
    </row>
    <row r="6080" spans="1:2" ht="16.149999999999999" customHeight="1">
      <c r="A6080" s="877">
        <v>39640</v>
      </c>
      <c r="B6080" s="880">
        <v>1768.09</v>
      </c>
    </row>
    <row r="6081" spans="1:2" ht="16.149999999999999" customHeight="1">
      <c r="A6081" s="877">
        <v>39641</v>
      </c>
      <c r="B6081" s="878">
        <v>1778.8</v>
      </c>
    </row>
    <row r="6082" spans="1:2" ht="16.149999999999999" customHeight="1">
      <c r="A6082" s="877">
        <v>39642</v>
      </c>
      <c r="B6082" s="880">
        <v>1778.8</v>
      </c>
    </row>
    <row r="6083" spans="1:2" ht="16.149999999999999" customHeight="1">
      <c r="A6083" s="877">
        <v>39643</v>
      </c>
      <c r="B6083" s="878">
        <v>1778.8</v>
      </c>
    </row>
    <row r="6084" spans="1:2" ht="16.149999999999999" customHeight="1">
      <c r="A6084" s="877">
        <v>39644</v>
      </c>
      <c r="B6084" s="880">
        <v>1753.51</v>
      </c>
    </row>
    <row r="6085" spans="1:2" ht="16.149999999999999" customHeight="1">
      <c r="A6085" s="877">
        <v>39645</v>
      </c>
      <c r="B6085" s="878">
        <v>1777.17</v>
      </c>
    </row>
    <row r="6086" spans="1:2" ht="16.149999999999999" customHeight="1">
      <c r="A6086" s="877">
        <v>39646</v>
      </c>
      <c r="B6086" s="880">
        <v>1768.53</v>
      </c>
    </row>
    <row r="6087" spans="1:2" ht="16.149999999999999" customHeight="1">
      <c r="A6087" s="877">
        <v>39647</v>
      </c>
      <c r="B6087" s="878">
        <v>1757.79</v>
      </c>
    </row>
    <row r="6088" spans="1:2" ht="16.149999999999999" customHeight="1">
      <c r="A6088" s="877">
        <v>39648</v>
      </c>
      <c r="B6088" s="880">
        <v>1788.24</v>
      </c>
    </row>
    <row r="6089" spans="1:2" ht="16.149999999999999" customHeight="1">
      <c r="A6089" s="877">
        <v>39649</v>
      </c>
      <c r="B6089" s="878">
        <v>1788.24</v>
      </c>
    </row>
    <row r="6090" spans="1:2" ht="16.149999999999999" customHeight="1">
      <c r="A6090" s="877">
        <v>39650</v>
      </c>
      <c r="B6090" s="880">
        <v>1788.24</v>
      </c>
    </row>
    <row r="6091" spans="1:2" ht="16.149999999999999" customHeight="1">
      <c r="A6091" s="877">
        <v>39651</v>
      </c>
      <c r="B6091" s="878">
        <v>1802.01</v>
      </c>
    </row>
    <row r="6092" spans="1:2" ht="16.149999999999999" customHeight="1">
      <c r="A6092" s="877">
        <v>39652</v>
      </c>
      <c r="B6092" s="880">
        <v>1797.43</v>
      </c>
    </row>
    <row r="6093" spans="1:2" ht="16.149999999999999" customHeight="1">
      <c r="A6093" s="877">
        <v>39653</v>
      </c>
      <c r="B6093" s="878">
        <v>1772.25</v>
      </c>
    </row>
    <row r="6094" spans="1:2" ht="16.149999999999999" customHeight="1">
      <c r="A6094" s="877">
        <v>39654</v>
      </c>
      <c r="B6094" s="880">
        <v>1777.1</v>
      </c>
    </row>
    <row r="6095" spans="1:2" ht="16.149999999999999" customHeight="1">
      <c r="A6095" s="877">
        <v>39655</v>
      </c>
      <c r="B6095" s="878">
        <v>1785.17</v>
      </c>
    </row>
    <row r="6096" spans="1:2" ht="16.149999999999999" customHeight="1">
      <c r="A6096" s="877">
        <v>39656</v>
      </c>
      <c r="B6096" s="880">
        <v>1785.17</v>
      </c>
    </row>
    <row r="6097" spans="1:2" ht="16.149999999999999" customHeight="1">
      <c r="A6097" s="877">
        <v>39657</v>
      </c>
      <c r="B6097" s="878">
        <v>1785.17</v>
      </c>
    </row>
    <row r="6098" spans="1:2" ht="16.149999999999999" customHeight="1">
      <c r="A6098" s="877">
        <v>39658</v>
      </c>
      <c r="B6098" s="880">
        <v>1764.48</v>
      </c>
    </row>
    <row r="6099" spans="1:2" ht="16.149999999999999" customHeight="1">
      <c r="A6099" s="877">
        <v>39659</v>
      </c>
      <c r="B6099" s="878">
        <v>1789.68</v>
      </c>
    </row>
    <row r="6100" spans="1:2" ht="16.149999999999999" customHeight="1">
      <c r="A6100" s="877">
        <v>39660</v>
      </c>
      <c r="B6100" s="880">
        <v>1792.24</v>
      </c>
    </row>
    <row r="6101" spans="1:2" ht="16.149999999999999" customHeight="1">
      <c r="A6101" s="877">
        <v>39661</v>
      </c>
      <c r="B6101" s="878">
        <v>1800.54</v>
      </c>
    </row>
    <row r="6102" spans="1:2" ht="16.149999999999999" customHeight="1">
      <c r="A6102" s="877">
        <v>39662</v>
      </c>
      <c r="B6102" s="880">
        <v>1779.97</v>
      </c>
    </row>
    <row r="6103" spans="1:2" ht="16.149999999999999" customHeight="1">
      <c r="A6103" s="877">
        <v>39663</v>
      </c>
      <c r="B6103" s="878">
        <v>1779.97</v>
      </c>
    </row>
    <row r="6104" spans="1:2" ht="16.149999999999999" customHeight="1">
      <c r="A6104" s="877">
        <v>39664</v>
      </c>
      <c r="B6104" s="880">
        <v>1779.97</v>
      </c>
    </row>
    <row r="6105" spans="1:2" ht="16.149999999999999" customHeight="1">
      <c r="A6105" s="877">
        <v>39665</v>
      </c>
      <c r="B6105" s="878">
        <v>1771.31</v>
      </c>
    </row>
    <row r="6106" spans="1:2" ht="16.149999999999999" customHeight="1">
      <c r="A6106" s="877">
        <v>39666</v>
      </c>
      <c r="B6106" s="880">
        <v>1772.16</v>
      </c>
    </row>
    <row r="6107" spans="1:2" ht="16.149999999999999" customHeight="1">
      <c r="A6107" s="877">
        <v>39667</v>
      </c>
      <c r="B6107" s="878">
        <v>1782.92</v>
      </c>
    </row>
    <row r="6108" spans="1:2" ht="16.149999999999999" customHeight="1">
      <c r="A6108" s="877">
        <v>39668</v>
      </c>
      <c r="B6108" s="880">
        <v>1782.92</v>
      </c>
    </row>
    <row r="6109" spans="1:2" ht="16.149999999999999" customHeight="1">
      <c r="A6109" s="877">
        <v>39669</v>
      </c>
      <c r="B6109" s="878">
        <v>1816.25</v>
      </c>
    </row>
    <row r="6110" spans="1:2" ht="16.149999999999999" customHeight="1">
      <c r="A6110" s="877">
        <v>39670</v>
      </c>
      <c r="B6110" s="880">
        <v>1816.25</v>
      </c>
    </row>
    <row r="6111" spans="1:2" ht="16.149999999999999" customHeight="1">
      <c r="A6111" s="877">
        <v>39671</v>
      </c>
      <c r="B6111" s="878">
        <v>1816.25</v>
      </c>
    </row>
    <row r="6112" spans="1:2" ht="16.149999999999999" customHeight="1">
      <c r="A6112" s="877">
        <v>39672</v>
      </c>
      <c r="B6112" s="880">
        <v>1821.76</v>
      </c>
    </row>
    <row r="6113" spans="1:2" ht="16.149999999999999" customHeight="1">
      <c r="A6113" s="877">
        <v>39673</v>
      </c>
      <c r="B6113" s="878">
        <v>1836.25</v>
      </c>
    </row>
    <row r="6114" spans="1:2" ht="16.149999999999999" customHeight="1">
      <c r="A6114" s="877">
        <v>39674</v>
      </c>
      <c r="B6114" s="880">
        <v>1854.16</v>
      </c>
    </row>
    <row r="6115" spans="1:2" ht="16.149999999999999" customHeight="1">
      <c r="A6115" s="877">
        <v>39675</v>
      </c>
      <c r="B6115" s="878">
        <v>1853.45</v>
      </c>
    </row>
    <row r="6116" spans="1:2" ht="16.149999999999999" customHeight="1">
      <c r="A6116" s="877">
        <v>39676</v>
      </c>
      <c r="B6116" s="880">
        <v>1882.11</v>
      </c>
    </row>
    <row r="6117" spans="1:2" ht="16.149999999999999" customHeight="1">
      <c r="A6117" s="877">
        <v>39677</v>
      </c>
      <c r="B6117" s="878">
        <v>1882.11</v>
      </c>
    </row>
    <row r="6118" spans="1:2" ht="16.149999999999999" customHeight="1">
      <c r="A6118" s="877">
        <v>39678</v>
      </c>
      <c r="B6118" s="880">
        <v>1882.11</v>
      </c>
    </row>
    <row r="6119" spans="1:2" ht="16.149999999999999" customHeight="1">
      <c r="A6119" s="877">
        <v>39679</v>
      </c>
      <c r="B6119" s="878">
        <v>1882.11</v>
      </c>
    </row>
    <row r="6120" spans="1:2" ht="16.149999999999999" customHeight="1">
      <c r="A6120" s="877">
        <v>39680</v>
      </c>
      <c r="B6120" s="880">
        <v>1891.99</v>
      </c>
    </row>
    <row r="6121" spans="1:2" ht="16.149999999999999" customHeight="1">
      <c r="A6121" s="877">
        <v>39681</v>
      </c>
      <c r="B6121" s="878">
        <v>1880.69</v>
      </c>
    </row>
    <row r="6122" spans="1:2" ht="16.149999999999999" customHeight="1">
      <c r="A6122" s="877">
        <v>39682</v>
      </c>
      <c r="B6122" s="880">
        <v>1864.26</v>
      </c>
    </row>
    <row r="6123" spans="1:2" ht="16.149999999999999" customHeight="1">
      <c r="A6123" s="877">
        <v>39683</v>
      </c>
      <c r="B6123" s="878">
        <v>1872.07</v>
      </c>
    </row>
    <row r="6124" spans="1:2" ht="16.149999999999999" customHeight="1">
      <c r="A6124" s="877">
        <v>39684</v>
      </c>
      <c r="B6124" s="880">
        <v>1872.07</v>
      </c>
    </row>
    <row r="6125" spans="1:2" ht="16.149999999999999" customHeight="1">
      <c r="A6125" s="877">
        <v>39685</v>
      </c>
      <c r="B6125" s="878">
        <v>1872.07</v>
      </c>
    </row>
    <row r="6126" spans="1:2" ht="16.149999999999999" customHeight="1">
      <c r="A6126" s="877">
        <v>39686</v>
      </c>
      <c r="B6126" s="880">
        <v>1873.94</v>
      </c>
    </row>
    <row r="6127" spans="1:2" ht="16.149999999999999" customHeight="1">
      <c r="A6127" s="877">
        <v>39687</v>
      </c>
      <c r="B6127" s="878">
        <v>1892.06</v>
      </c>
    </row>
    <row r="6128" spans="1:2" ht="16.149999999999999" customHeight="1">
      <c r="A6128" s="877">
        <v>39688</v>
      </c>
      <c r="B6128" s="880">
        <v>1887.71</v>
      </c>
    </row>
    <row r="6129" spans="1:2" ht="16.149999999999999" customHeight="1">
      <c r="A6129" s="877">
        <v>39689</v>
      </c>
      <c r="B6129" s="878">
        <v>1907.97</v>
      </c>
    </row>
    <row r="6130" spans="1:2" ht="16.149999999999999" customHeight="1">
      <c r="A6130" s="877">
        <v>39690</v>
      </c>
      <c r="B6130" s="880">
        <v>1932.2</v>
      </c>
    </row>
    <row r="6131" spans="1:2" ht="16.149999999999999" customHeight="1">
      <c r="A6131" s="877">
        <v>39691</v>
      </c>
      <c r="B6131" s="878">
        <v>1932.2</v>
      </c>
    </row>
    <row r="6132" spans="1:2" ht="16.149999999999999" customHeight="1">
      <c r="A6132" s="877">
        <v>39692</v>
      </c>
      <c r="B6132" s="880">
        <v>1932.2</v>
      </c>
    </row>
    <row r="6133" spans="1:2" ht="16.149999999999999" customHeight="1">
      <c r="A6133" s="877">
        <v>39693</v>
      </c>
      <c r="B6133" s="878">
        <v>1932.2</v>
      </c>
    </row>
    <row r="6134" spans="1:2" ht="16.149999999999999" customHeight="1">
      <c r="A6134" s="877">
        <v>39694</v>
      </c>
      <c r="B6134" s="880">
        <v>1975.1</v>
      </c>
    </row>
    <row r="6135" spans="1:2" ht="16.149999999999999" customHeight="1">
      <c r="A6135" s="877">
        <v>39695</v>
      </c>
      <c r="B6135" s="878">
        <v>1992.59</v>
      </c>
    </row>
    <row r="6136" spans="1:2" ht="16.149999999999999" customHeight="1">
      <c r="A6136" s="877">
        <v>39696</v>
      </c>
      <c r="B6136" s="880">
        <v>2017.53</v>
      </c>
    </row>
    <row r="6137" spans="1:2" ht="16.149999999999999" customHeight="1">
      <c r="A6137" s="877">
        <v>39697</v>
      </c>
      <c r="B6137" s="878">
        <v>2041.81</v>
      </c>
    </row>
    <row r="6138" spans="1:2" ht="16.149999999999999" customHeight="1">
      <c r="A6138" s="877">
        <v>39698</v>
      </c>
      <c r="B6138" s="880">
        <v>2041.81</v>
      </c>
    </row>
    <row r="6139" spans="1:2" ht="16.149999999999999" customHeight="1">
      <c r="A6139" s="877">
        <v>39699</v>
      </c>
      <c r="B6139" s="878">
        <v>2041.81</v>
      </c>
    </row>
    <row r="6140" spans="1:2" ht="16.149999999999999" customHeight="1">
      <c r="A6140" s="877">
        <v>39700</v>
      </c>
      <c r="B6140" s="880">
        <v>2031.12</v>
      </c>
    </row>
    <row r="6141" spans="1:2" ht="16.149999999999999" customHeight="1">
      <c r="A6141" s="877">
        <v>39701</v>
      </c>
      <c r="B6141" s="878">
        <v>2071.2399999999998</v>
      </c>
    </row>
    <row r="6142" spans="1:2" ht="16.149999999999999" customHeight="1">
      <c r="A6142" s="877">
        <v>39702</v>
      </c>
      <c r="B6142" s="880">
        <v>2081.3200000000002</v>
      </c>
    </row>
    <row r="6143" spans="1:2" ht="16.149999999999999" customHeight="1">
      <c r="A6143" s="877">
        <v>39703</v>
      </c>
      <c r="B6143" s="878">
        <v>2082.46</v>
      </c>
    </row>
    <row r="6144" spans="1:2" ht="16.149999999999999" customHeight="1">
      <c r="A6144" s="877">
        <v>39704</v>
      </c>
      <c r="B6144" s="880">
        <v>2051.5500000000002</v>
      </c>
    </row>
    <row r="6145" spans="1:2" ht="16.149999999999999" customHeight="1">
      <c r="A6145" s="877">
        <v>39705</v>
      </c>
      <c r="B6145" s="878">
        <v>2051.5500000000002</v>
      </c>
    </row>
    <row r="6146" spans="1:2" ht="16.149999999999999" customHeight="1">
      <c r="A6146" s="877">
        <v>39706</v>
      </c>
      <c r="B6146" s="880">
        <v>2051.5500000000002</v>
      </c>
    </row>
    <row r="6147" spans="1:2" ht="16.149999999999999" customHeight="1">
      <c r="A6147" s="877">
        <v>39707</v>
      </c>
      <c r="B6147" s="878">
        <v>2071.29</v>
      </c>
    </row>
    <row r="6148" spans="1:2" ht="16.149999999999999" customHeight="1">
      <c r="A6148" s="877">
        <v>39708</v>
      </c>
      <c r="B6148" s="880">
        <v>2109.37</v>
      </c>
    </row>
    <row r="6149" spans="1:2" ht="16.149999999999999" customHeight="1">
      <c r="A6149" s="877">
        <v>39709</v>
      </c>
      <c r="B6149" s="878">
        <v>2139.14</v>
      </c>
    </row>
    <row r="6150" spans="1:2" ht="16.149999999999999" customHeight="1">
      <c r="A6150" s="877">
        <v>39710</v>
      </c>
      <c r="B6150" s="880">
        <v>2187.0100000000002</v>
      </c>
    </row>
    <row r="6151" spans="1:2" ht="16.149999999999999" customHeight="1">
      <c r="A6151" s="877">
        <v>39711</v>
      </c>
      <c r="B6151" s="878">
        <v>2067.4499999999998</v>
      </c>
    </row>
    <row r="6152" spans="1:2" ht="16.149999999999999" customHeight="1">
      <c r="A6152" s="877">
        <v>39712</v>
      </c>
      <c r="B6152" s="880">
        <v>2067.4499999999998</v>
      </c>
    </row>
    <row r="6153" spans="1:2" ht="16.149999999999999" customHeight="1">
      <c r="A6153" s="877">
        <v>39713</v>
      </c>
      <c r="B6153" s="878">
        <v>2067.4499999999998</v>
      </c>
    </row>
    <row r="6154" spans="1:2" ht="16.149999999999999" customHeight="1">
      <c r="A6154" s="877">
        <v>39714</v>
      </c>
      <c r="B6154" s="880">
        <v>2045.85</v>
      </c>
    </row>
    <row r="6155" spans="1:2" ht="16.149999999999999" customHeight="1">
      <c r="A6155" s="877">
        <v>39715</v>
      </c>
      <c r="B6155" s="878">
        <v>2077.59</v>
      </c>
    </row>
    <row r="6156" spans="1:2" ht="16.149999999999999" customHeight="1">
      <c r="A6156" s="877">
        <v>39716</v>
      </c>
      <c r="B6156" s="880">
        <v>2147.41</v>
      </c>
    </row>
    <row r="6157" spans="1:2" ht="16.149999999999999" customHeight="1">
      <c r="A6157" s="877">
        <v>39717</v>
      </c>
      <c r="B6157" s="878">
        <v>2118.31</v>
      </c>
    </row>
    <row r="6158" spans="1:2" ht="16.149999999999999" customHeight="1">
      <c r="A6158" s="877">
        <v>39718</v>
      </c>
      <c r="B6158" s="880">
        <v>2105.61</v>
      </c>
    </row>
    <row r="6159" spans="1:2" ht="16.149999999999999" customHeight="1">
      <c r="A6159" s="877">
        <v>39719</v>
      </c>
      <c r="B6159" s="878">
        <v>2105.61</v>
      </c>
    </row>
    <row r="6160" spans="1:2" ht="16.149999999999999" customHeight="1">
      <c r="A6160" s="877">
        <v>39720</v>
      </c>
      <c r="B6160" s="880">
        <v>2105.61</v>
      </c>
    </row>
    <row r="6161" spans="1:2" ht="16.149999999999999" customHeight="1">
      <c r="A6161" s="877">
        <v>39721</v>
      </c>
      <c r="B6161" s="878">
        <v>2174.62</v>
      </c>
    </row>
    <row r="6162" spans="1:2" ht="16.149999999999999" customHeight="1">
      <c r="A6162" s="877">
        <v>39722</v>
      </c>
      <c r="B6162" s="880">
        <v>2184.7600000000002</v>
      </c>
    </row>
    <row r="6163" spans="1:2" ht="16.149999999999999" customHeight="1">
      <c r="A6163" s="877">
        <v>39723</v>
      </c>
      <c r="B6163" s="878">
        <v>2166.0500000000002</v>
      </c>
    </row>
    <row r="6164" spans="1:2" ht="16.149999999999999" customHeight="1">
      <c r="A6164" s="877">
        <v>39724</v>
      </c>
      <c r="B6164" s="880">
        <v>2192.69</v>
      </c>
    </row>
    <row r="6165" spans="1:2" ht="16.149999999999999" customHeight="1">
      <c r="A6165" s="877">
        <v>39725</v>
      </c>
      <c r="B6165" s="878">
        <v>2160.08</v>
      </c>
    </row>
    <row r="6166" spans="1:2" ht="16.149999999999999" customHeight="1">
      <c r="A6166" s="877">
        <v>39726</v>
      </c>
      <c r="B6166" s="880">
        <v>2160.08</v>
      </c>
    </row>
    <row r="6167" spans="1:2" ht="16.149999999999999" customHeight="1">
      <c r="A6167" s="877">
        <v>39727</v>
      </c>
      <c r="B6167" s="878">
        <v>2160.08</v>
      </c>
    </row>
    <row r="6168" spans="1:2" ht="16.149999999999999" customHeight="1">
      <c r="A6168" s="877">
        <v>39728</v>
      </c>
      <c r="B6168" s="880">
        <v>2250.73</v>
      </c>
    </row>
    <row r="6169" spans="1:2" ht="16.149999999999999" customHeight="1">
      <c r="A6169" s="877">
        <v>39729</v>
      </c>
      <c r="B6169" s="878">
        <v>2261.96</v>
      </c>
    </row>
    <row r="6170" spans="1:2" ht="16.149999999999999" customHeight="1">
      <c r="A6170" s="877">
        <v>39730</v>
      </c>
      <c r="B6170" s="880">
        <v>2326.41</v>
      </c>
    </row>
    <row r="6171" spans="1:2" ht="16.149999999999999" customHeight="1">
      <c r="A6171" s="877">
        <v>39731</v>
      </c>
      <c r="B6171" s="878">
        <v>2254.2399999999998</v>
      </c>
    </row>
    <row r="6172" spans="1:2" ht="16.149999999999999" customHeight="1">
      <c r="A6172" s="877">
        <v>39732</v>
      </c>
      <c r="B6172" s="880">
        <v>2318.63</v>
      </c>
    </row>
    <row r="6173" spans="1:2" ht="16.149999999999999" customHeight="1">
      <c r="A6173" s="877">
        <v>39733</v>
      </c>
      <c r="B6173" s="878">
        <v>2318.63</v>
      </c>
    </row>
    <row r="6174" spans="1:2" ht="16.149999999999999" customHeight="1">
      <c r="A6174" s="877">
        <v>39734</v>
      </c>
      <c r="B6174" s="880">
        <v>2318.63</v>
      </c>
    </row>
    <row r="6175" spans="1:2" ht="16.149999999999999" customHeight="1">
      <c r="A6175" s="877">
        <v>39735</v>
      </c>
      <c r="B6175" s="878">
        <v>2318.63</v>
      </c>
    </row>
    <row r="6176" spans="1:2" ht="16.149999999999999" customHeight="1">
      <c r="A6176" s="877">
        <v>39736</v>
      </c>
      <c r="B6176" s="880">
        <v>2223.94</v>
      </c>
    </row>
    <row r="6177" spans="1:2" ht="16.149999999999999" customHeight="1">
      <c r="A6177" s="877">
        <v>39737</v>
      </c>
      <c r="B6177" s="878">
        <v>2316.54</v>
      </c>
    </row>
    <row r="6178" spans="1:2" ht="16.149999999999999" customHeight="1">
      <c r="A6178" s="877">
        <v>39738</v>
      </c>
      <c r="B6178" s="880">
        <v>2304.6799999999998</v>
      </c>
    </row>
    <row r="6179" spans="1:2" ht="16.149999999999999" customHeight="1">
      <c r="A6179" s="877">
        <v>39739</v>
      </c>
      <c r="B6179" s="878">
        <v>2271.98</v>
      </c>
    </row>
    <row r="6180" spans="1:2" ht="16.149999999999999" customHeight="1">
      <c r="A6180" s="877">
        <v>39740</v>
      </c>
      <c r="B6180" s="880">
        <v>2271.98</v>
      </c>
    </row>
    <row r="6181" spans="1:2" ht="16.149999999999999" customHeight="1">
      <c r="A6181" s="877">
        <v>39741</v>
      </c>
      <c r="B6181" s="878">
        <v>2271.98</v>
      </c>
    </row>
    <row r="6182" spans="1:2" ht="16.149999999999999" customHeight="1">
      <c r="A6182" s="877">
        <v>39742</v>
      </c>
      <c r="B6182" s="880">
        <v>2243.4899999999998</v>
      </c>
    </row>
    <row r="6183" spans="1:2" ht="16.149999999999999" customHeight="1">
      <c r="A6183" s="877">
        <v>39743</v>
      </c>
      <c r="B6183" s="878">
        <v>2296.3200000000002</v>
      </c>
    </row>
    <row r="6184" spans="1:2" ht="16.149999999999999" customHeight="1">
      <c r="A6184" s="877">
        <v>39744</v>
      </c>
      <c r="B6184" s="880">
        <v>2346.4699999999998</v>
      </c>
    </row>
    <row r="6185" spans="1:2" ht="16.149999999999999" customHeight="1">
      <c r="A6185" s="877">
        <v>39745</v>
      </c>
      <c r="B6185" s="878">
        <v>2361.0100000000002</v>
      </c>
    </row>
    <row r="6186" spans="1:2" ht="16.149999999999999" customHeight="1">
      <c r="A6186" s="877">
        <v>39746</v>
      </c>
      <c r="B6186" s="880">
        <v>2386.48</v>
      </c>
    </row>
    <row r="6187" spans="1:2" ht="16.149999999999999" customHeight="1">
      <c r="A6187" s="877">
        <v>39747</v>
      </c>
      <c r="B6187" s="878">
        <v>2386.48</v>
      </c>
    </row>
    <row r="6188" spans="1:2" ht="16.149999999999999" customHeight="1">
      <c r="A6188" s="877">
        <v>39748</v>
      </c>
      <c r="B6188" s="880">
        <v>2386.48</v>
      </c>
    </row>
    <row r="6189" spans="1:2" ht="16.149999999999999" customHeight="1">
      <c r="A6189" s="877">
        <v>39749</v>
      </c>
      <c r="B6189" s="878">
        <v>2379.2399999999998</v>
      </c>
    </row>
    <row r="6190" spans="1:2" ht="16.149999999999999" customHeight="1">
      <c r="A6190" s="877">
        <v>39750</v>
      </c>
      <c r="B6190" s="880">
        <v>2382.31</v>
      </c>
    </row>
    <row r="6191" spans="1:2" ht="16.149999999999999" customHeight="1">
      <c r="A6191" s="877">
        <v>39751</v>
      </c>
      <c r="B6191" s="878">
        <v>2374.1</v>
      </c>
    </row>
    <row r="6192" spans="1:2" ht="16.149999999999999" customHeight="1">
      <c r="A6192" s="877">
        <v>39752</v>
      </c>
      <c r="B6192" s="880">
        <v>2359.52</v>
      </c>
    </row>
    <row r="6193" spans="1:2" ht="16.149999999999999" customHeight="1">
      <c r="A6193" s="877">
        <v>39753</v>
      </c>
      <c r="B6193" s="878">
        <v>2392.2800000000002</v>
      </c>
    </row>
    <row r="6194" spans="1:2" ht="16.149999999999999" customHeight="1">
      <c r="A6194" s="877">
        <v>39754</v>
      </c>
      <c r="B6194" s="880">
        <v>2392.2800000000002</v>
      </c>
    </row>
    <row r="6195" spans="1:2" ht="16.149999999999999" customHeight="1">
      <c r="A6195" s="877">
        <v>39755</v>
      </c>
      <c r="B6195" s="878">
        <v>2392.2800000000002</v>
      </c>
    </row>
    <row r="6196" spans="1:2" ht="16.149999999999999" customHeight="1">
      <c r="A6196" s="877">
        <v>39756</v>
      </c>
      <c r="B6196" s="880">
        <v>2392.2800000000002</v>
      </c>
    </row>
    <row r="6197" spans="1:2" ht="16.149999999999999" customHeight="1">
      <c r="A6197" s="877">
        <v>39757</v>
      </c>
      <c r="B6197" s="878">
        <v>2351.56</v>
      </c>
    </row>
    <row r="6198" spans="1:2" ht="16.149999999999999" customHeight="1">
      <c r="A6198" s="877">
        <v>39758</v>
      </c>
      <c r="B6198" s="880">
        <v>2327.7800000000002</v>
      </c>
    </row>
    <row r="6199" spans="1:2" ht="16.149999999999999" customHeight="1">
      <c r="A6199" s="877">
        <v>39759</v>
      </c>
      <c r="B6199" s="878">
        <v>2342.65</v>
      </c>
    </row>
    <row r="6200" spans="1:2" ht="16.149999999999999" customHeight="1">
      <c r="A6200" s="877">
        <v>39760</v>
      </c>
      <c r="B6200" s="880">
        <v>2317.34</v>
      </c>
    </row>
    <row r="6201" spans="1:2" ht="16.149999999999999" customHeight="1">
      <c r="A6201" s="877">
        <v>39761</v>
      </c>
      <c r="B6201" s="878">
        <v>2317.34</v>
      </c>
    </row>
    <row r="6202" spans="1:2" ht="16.149999999999999" customHeight="1">
      <c r="A6202" s="877">
        <v>39762</v>
      </c>
      <c r="B6202" s="880">
        <v>2317.34</v>
      </c>
    </row>
    <row r="6203" spans="1:2" ht="16.149999999999999" customHeight="1">
      <c r="A6203" s="877">
        <v>39763</v>
      </c>
      <c r="B6203" s="878">
        <v>2281.2399999999998</v>
      </c>
    </row>
    <row r="6204" spans="1:2" ht="16.149999999999999" customHeight="1">
      <c r="A6204" s="877">
        <v>39764</v>
      </c>
      <c r="B6204" s="880">
        <v>2281.2399999999998</v>
      </c>
    </row>
    <row r="6205" spans="1:2" ht="16.149999999999999" customHeight="1">
      <c r="A6205" s="877">
        <v>39765</v>
      </c>
      <c r="B6205" s="878">
        <v>2335.02</v>
      </c>
    </row>
    <row r="6206" spans="1:2" ht="16.149999999999999" customHeight="1">
      <c r="A6206" s="877">
        <v>39766</v>
      </c>
      <c r="B6206" s="880">
        <v>2329.8200000000002</v>
      </c>
    </row>
    <row r="6207" spans="1:2" ht="16.149999999999999" customHeight="1">
      <c r="A6207" s="877">
        <v>39767</v>
      </c>
      <c r="B6207" s="878">
        <v>2308.65</v>
      </c>
    </row>
    <row r="6208" spans="1:2" ht="16.149999999999999" customHeight="1">
      <c r="A6208" s="877">
        <v>39768</v>
      </c>
      <c r="B6208" s="880">
        <v>2308.65</v>
      </c>
    </row>
    <row r="6209" spans="1:2" ht="16.149999999999999" customHeight="1">
      <c r="A6209" s="877">
        <v>39769</v>
      </c>
      <c r="B6209" s="878">
        <v>2308.65</v>
      </c>
    </row>
    <row r="6210" spans="1:2" ht="16.149999999999999" customHeight="1">
      <c r="A6210" s="877">
        <v>39770</v>
      </c>
      <c r="B6210" s="880">
        <v>2308.65</v>
      </c>
    </row>
    <row r="6211" spans="1:2" ht="16.149999999999999" customHeight="1">
      <c r="A6211" s="877">
        <v>39771</v>
      </c>
      <c r="B6211" s="878">
        <v>2329.9</v>
      </c>
    </row>
    <row r="6212" spans="1:2" ht="16.149999999999999" customHeight="1">
      <c r="A6212" s="877">
        <v>39772</v>
      </c>
      <c r="B6212" s="880">
        <v>2342.1799999999998</v>
      </c>
    </row>
    <row r="6213" spans="1:2" ht="16.149999999999999" customHeight="1">
      <c r="A6213" s="877">
        <v>39773</v>
      </c>
      <c r="B6213" s="878">
        <v>2359.2600000000002</v>
      </c>
    </row>
    <row r="6214" spans="1:2" ht="16.149999999999999" customHeight="1">
      <c r="A6214" s="877">
        <v>39774</v>
      </c>
      <c r="B6214" s="880">
        <v>2355.71</v>
      </c>
    </row>
    <row r="6215" spans="1:2" ht="16.149999999999999" customHeight="1">
      <c r="A6215" s="877">
        <v>39775</v>
      </c>
      <c r="B6215" s="878">
        <v>2355.71</v>
      </c>
    </row>
    <row r="6216" spans="1:2" ht="16.149999999999999" customHeight="1">
      <c r="A6216" s="877">
        <v>39776</v>
      </c>
      <c r="B6216" s="880">
        <v>2355.71</v>
      </c>
    </row>
    <row r="6217" spans="1:2" ht="16.149999999999999" customHeight="1">
      <c r="A6217" s="877">
        <v>39777</v>
      </c>
      <c r="B6217" s="878">
        <v>2314.7199999999998</v>
      </c>
    </row>
    <row r="6218" spans="1:2" ht="16.149999999999999" customHeight="1">
      <c r="A6218" s="877">
        <v>39778</v>
      </c>
      <c r="B6218" s="880">
        <v>2307.37</v>
      </c>
    </row>
    <row r="6219" spans="1:2" ht="16.149999999999999" customHeight="1">
      <c r="A6219" s="877">
        <v>39779</v>
      </c>
      <c r="B6219" s="878">
        <v>2324.1</v>
      </c>
    </row>
    <row r="6220" spans="1:2" ht="16.149999999999999" customHeight="1">
      <c r="A6220" s="877">
        <v>39780</v>
      </c>
      <c r="B6220" s="880">
        <v>2324.1</v>
      </c>
    </row>
    <row r="6221" spans="1:2" ht="16.149999999999999" customHeight="1">
      <c r="A6221" s="877">
        <v>39781</v>
      </c>
      <c r="B6221" s="878">
        <v>2318</v>
      </c>
    </row>
    <row r="6222" spans="1:2" ht="16.149999999999999" customHeight="1">
      <c r="A6222" s="877">
        <v>39782</v>
      </c>
      <c r="B6222" s="880">
        <v>2318</v>
      </c>
    </row>
    <row r="6223" spans="1:2" ht="16.149999999999999" customHeight="1">
      <c r="A6223" s="877">
        <v>39783</v>
      </c>
      <c r="B6223" s="878">
        <v>2318</v>
      </c>
    </row>
    <row r="6224" spans="1:2" ht="16.149999999999999" customHeight="1">
      <c r="A6224" s="877">
        <v>39784</v>
      </c>
      <c r="B6224" s="880">
        <v>2320.12</v>
      </c>
    </row>
    <row r="6225" spans="1:2" ht="16.149999999999999" customHeight="1">
      <c r="A6225" s="877">
        <v>39785</v>
      </c>
      <c r="B6225" s="878">
        <v>2315.35</v>
      </c>
    </row>
    <row r="6226" spans="1:2" ht="16.149999999999999" customHeight="1">
      <c r="A6226" s="877">
        <v>39786</v>
      </c>
      <c r="B6226" s="880">
        <v>2317.48</v>
      </c>
    </row>
    <row r="6227" spans="1:2" ht="16.149999999999999" customHeight="1">
      <c r="A6227" s="877">
        <v>39787</v>
      </c>
      <c r="B6227" s="878">
        <v>2323.2800000000002</v>
      </c>
    </row>
    <row r="6228" spans="1:2" ht="16.149999999999999" customHeight="1">
      <c r="A6228" s="877">
        <v>39788</v>
      </c>
      <c r="B6228" s="880">
        <v>2333.54</v>
      </c>
    </row>
    <row r="6229" spans="1:2" ht="16.149999999999999" customHeight="1">
      <c r="A6229" s="877">
        <v>39789</v>
      </c>
      <c r="B6229" s="878">
        <v>2333.54</v>
      </c>
    </row>
    <row r="6230" spans="1:2" ht="16.149999999999999" customHeight="1">
      <c r="A6230" s="877">
        <v>39790</v>
      </c>
      <c r="B6230" s="880">
        <v>2333.54</v>
      </c>
    </row>
    <row r="6231" spans="1:2" ht="16.149999999999999" customHeight="1">
      <c r="A6231" s="877">
        <v>39791</v>
      </c>
      <c r="B6231" s="878">
        <v>2333.54</v>
      </c>
    </row>
    <row r="6232" spans="1:2" ht="16.149999999999999" customHeight="1">
      <c r="A6232" s="877">
        <v>39792</v>
      </c>
      <c r="B6232" s="880">
        <v>2311.6999999999998</v>
      </c>
    </row>
    <row r="6233" spans="1:2" ht="16.149999999999999" customHeight="1">
      <c r="A6233" s="877">
        <v>39793</v>
      </c>
      <c r="B6233" s="878">
        <v>2302.9299999999998</v>
      </c>
    </row>
    <row r="6234" spans="1:2" ht="16.149999999999999" customHeight="1">
      <c r="A6234" s="877">
        <v>39794</v>
      </c>
      <c r="B6234" s="880">
        <v>2278.29</v>
      </c>
    </row>
    <row r="6235" spans="1:2" ht="16.149999999999999" customHeight="1">
      <c r="A6235" s="877">
        <v>39795</v>
      </c>
      <c r="B6235" s="878">
        <v>2273.2399999999998</v>
      </c>
    </row>
    <row r="6236" spans="1:2" ht="16.149999999999999" customHeight="1">
      <c r="A6236" s="877">
        <v>39796</v>
      </c>
      <c r="B6236" s="880">
        <v>2273.2399999999998</v>
      </c>
    </row>
    <row r="6237" spans="1:2" ht="16.149999999999999" customHeight="1">
      <c r="A6237" s="877">
        <v>39797</v>
      </c>
      <c r="B6237" s="878">
        <v>2273.2399999999998</v>
      </c>
    </row>
    <row r="6238" spans="1:2" ht="16.149999999999999" customHeight="1">
      <c r="A6238" s="877">
        <v>39798</v>
      </c>
      <c r="B6238" s="880">
        <v>2254.5</v>
      </c>
    </row>
    <row r="6239" spans="1:2" ht="16.149999999999999" customHeight="1">
      <c r="A6239" s="877">
        <v>39799</v>
      </c>
      <c r="B6239" s="878">
        <v>2223.3000000000002</v>
      </c>
    </row>
    <row r="6240" spans="1:2" ht="16.149999999999999" customHeight="1">
      <c r="A6240" s="877">
        <v>39800</v>
      </c>
      <c r="B6240" s="880">
        <v>2173.86</v>
      </c>
    </row>
    <row r="6241" spans="1:2" ht="16.149999999999999" customHeight="1">
      <c r="A6241" s="877">
        <v>39801</v>
      </c>
      <c r="B6241" s="878">
        <v>2163.14</v>
      </c>
    </row>
    <row r="6242" spans="1:2" ht="16.149999999999999" customHeight="1">
      <c r="A6242" s="877">
        <v>39802</v>
      </c>
      <c r="B6242" s="880">
        <v>2167.35</v>
      </c>
    </row>
    <row r="6243" spans="1:2" ht="16.149999999999999" customHeight="1">
      <c r="A6243" s="877">
        <v>39803</v>
      </c>
      <c r="B6243" s="878">
        <v>2167.35</v>
      </c>
    </row>
    <row r="6244" spans="1:2" ht="16.149999999999999" customHeight="1">
      <c r="A6244" s="877">
        <v>39804</v>
      </c>
      <c r="B6244" s="880">
        <v>2167.35</v>
      </c>
    </row>
    <row r="6245" spans="1:2" ht="16.149999999999999" customHeight="1">
      <c r="A6245" s="877">
        <v>39805</v>
      </c>
      <c r="B6245" s="878">
        <v>2169.83</v>
      </c>
    </row>
    <row r="6246" spans="1:2" ht="16.149999999999999" customHeight="1">
      <c r="A6246" s="877">
        <v>39806</v>
      </c>
      <c r="B6246" s="880">
        <v>2180.4899999999998</v>
      </c>
    </row>
    <row r="6247" spans="1:2" ht="16.149999999999999" customHeight="1">
      <c r="A6247" s="877">
        <v>39807</v>
      </c>
      <c r="B6247" s="878">
        <v>2198.09</v>
      </c>
    </row>
    <row r="6248" spans="1:2" ht="16.149999999999999" customHeight="1">
      <c r="A6248" s="877">
        <v>39808</v>
      </c>
      <c r="B6248" s="880">
        <v>2198.09</v>
      </c>
    </row>
    <row r="6249" spans="1:2" ht="16.149999999999999" customHeight="1">
      <c r="A6249" s="877">
        <v>39809</v>
      </c>
      <c r="B6249" s="878">
        <v>2204.9499999999998</v>
      </c>
    </row>
    <row r="6250" spans="1:2" ht="16.149999999999999" customHeight="1">
      <c r="A6250" s="877">
        <v>39810</v>
      </c>
      <c r="B6250" s="880">
        <v>2204.9499999999998</v>
      </c>
    </row>
    <row r="6251" spans="1:2" ht="16.149999999999999" customHeight="1">
      <c r="A6251" s="877">
        <v>39811</v>
      </c>
      <c r="B6251" s="878">
        <v>2204.9499999999998</v>
      </c>
    </row>
    <row r="6252" spans="1:2" ht="16.149999999999999" customHeight="1">
      <c r="A6252" s="877">
        <v>39812</v>
      </c>
      <c r="B6252" s="880">
        <v>2234</v>
      </c>
    </row>
    <row r="6253" spans="1:2" ht="16.149999999999999" customHeight="1">
      <c r="A6253" s="877">
        <v>39813</v>
      </c>
      <c r="B6253" s="878">
        <v>2243.59</v>
      </c>
    </row>
    <row r="6254" spans="1:2" ht="16.149999999999999" customHeight="1">
      <c r="A6254" s="877">
        <v>39814</v>
      </c>
      <c r="B6254" s="880">
        <v>2243.59</v>
      </c>
    </row>
    <row r="6255" spans="1:2" ht="16.149999999999999" customHeight="1">
      <c r="A6255" s="877">
        <v>39815</v>
      </c>
      <c r="B6255" s="878">
        <v>2243.59</v>
      </c>
    </row>
    <row r="6256" spans="1:2" ht="16.149999999999999" customHeight="1">
      <c r="A6256" s="877">
        <v>39816</v>
      </c>
      <c r="B6256" s="880">
        <v>2234.81</v>
      </c>
    </row>
    <row r="6257" spans="1:2" ht="16.149999999999999" customHeight="1">
      <c r="A6257" s="877">
        <v>39817</v>
      </c>
      <c r="B6257" s="878">
        <v>2234.81</v>
      </c>
    </row>
    <row r="6258" spans="1:2" ht="16.149999999999999" customHeight="1">
      <c r="A6258" s="877">
        <v>39818</v>
      </c>
      <c r="B6258" s="880">
        <v>2234.81</v>
      </c>
    </row>
    <row r="6259" spans="1:2" ht="16.149999999999999" customHeight="1">
      <c r="A6259" s="877">
        <v>39819</v>
      </c>
      <c r="B6259" s="878">
        <v>2227.2399999999998</v>
      </c>
    </row>
    <row r="6260" spans="1:2" ht="16.149999999999999" customHeight="1">
      <c r="A6260" s="877">
        <v>39820</v>
      </c>
      <c r="B6260" s="880">
        <v>2197.7199999999998</v>
      </c>
    </row>
    <row r="6261" spans="1:2" ht="16.149999999999999" customHeight="1">
      <c r="A6261" s="877">
        <v>39821</v>
      </c>
      <c r="B6261" s="878">
        <v>2214.13</v>
      </c>
    </row>
    <row r="6262" spans="1:2" ht="16.149999999999999" customHeight="1">
      <c r="A6262" s="877">
        <v>39822</v>
      </c>
      <c r="B6262" s="880">
        <v>2220.8200000000002</v>
      </c>
    </row>
    <row r="6263" spans="1:2" ht="16.149999999999999" customHeight="1">
      <c r="A6263" s="877">
        <v>39823</v>
      </c>
      <c r="B6263" s="878">
        <v>2216.23</v>
      </c>
    </row>
    <row r="6264" spans="1:2" ht="16.149999999999999" customHeight="1">
      <c r="A6264" s="877">
        <v>39824</v>
      </c>
      <c r="B6264" s="880">
        <v>2216.23</v>
      </c>
    </row>
    <row r="6265" spans="1:2" ht="16.149999999999999" customHeight="1">
      <c r="A6265" s="877">
        <v>39825</v>
      </c>
      <c r="B6265" s="878">
        <v>2216.23</v>
      </c>
    </row>
    <row r="6266" spans="1:2" ht="16.149999999999999" customHeight="1">
      <c r="A6266" s="877">
        <v>39826</v>
      </c>
      <c r="B6266" s="880">
        <v>2216.23</v>
      </c>
    </row>
    <row r="6267" spans="1:2" ht="16.149999999999999" customHeight="1">
      <c r="A6267" s="877">
        <v>39827</v>
      </c>
      <c r="B6267" s="878">
        <v>2226.87</v>
      </c>
    </row>
    <row r="6268" spans="1:2" ht="16.149999999999999" customHeight="1">
      <c r="A6268" s="877">
        <v>39828</v>
      </c>
      <c r="B6268" s="880">
        <v>2234.4</v>
      </c>
    </row>
    <row r="6269" spans="1:2" ht="16.149999999999999" customHeight="1">
      <c r="A6269" s="877">
        <v>39829</v>
      </c>
      <c r="B6269" s="878">
        <v>2249.64</v>
      </c>
    </row>
    <row r="6270" spans="1:2" ht="16.149999999999999" customHeight="1">
      <c r="A6270" s="877">
        <v>39830</v>
      </c>
      <c r="B6270" s="880">
        <v>2227.6799999999998</v>
      </c>
    </row>
    <row r="6271" spans="1:2" ht="16.149999999999999" customHeight="1">
      <c r="A6271" s="877">
        <v>39831</v>
      </c>
      <c r="B6271" s="878">
        <v>2227.6799999999998</v>
      </c>
    </row>
    <row r="6272" spans="1:2" ht="16.149999999999999" customHeight="1">
      <c r="A6272" s="877">
        <v>39832</v>
      </c>
      <c r="B6272" s="880">
        <v>2227.6799999999998</v>
      </c>
    </row>
    <row r="6273" spans="1:2" ht="16.149999999999999" customHeight="1">
      <c r="A6273" s="877">
        <v>39833</v>
      </c>
      <c r="B6273" s="878">
        <v>2227.6799999999998</v>
      </c>
    </row>
    <row r="6274" spans="1:2" ht="16.149999999999999" customHeight="1">
      <c r="A6274" s="877">
        <v>39834</v>
      </c>
      <c r="B6274" s="880">
        <v>2245.2800000000002</v>
      </c>
    </row>
    <row r="6275" spans="1:2" ht="16.149999999999999" customHeight="1">
      <c r="A6275" s="877">
        <v>39835</v>
      </c>
      <c r="B6275" s="878">
        <v>2245.9699999999998</v>
      </c>
    </row>
    <row r="6276" spans="1:2" ht="16.149999999999999" customHeight="1">
      <c r="A6276" s="877">
        <v>39836</v>
      </c>
      <c r="B6276" s="880">
        <v>2247.87</v>
      </c>
    </row>
    <row r="6277" spans="1:2" ht="16.149999999999999" customHeight="1">
      <c r="A6277" s="877">
        <v>39837</v>
      </c>
      <c r="B6277" s="878">
        <v>2280.77</v>
      </c>
    </row>
    <row r="6278" spans="1:2" ht="16.149999999999999" customHeight="1">
      <c r="A6278" s="877">
        <v>39838</v>
      </c>
      <c r="B6278" s="880">
        <v>2280.77</v>
      </c>
    </row>
    <row r="6279" spans="1:2" ht="16.149999999999999" customHeight="1">
      <c r="A6279" s="877">
        <v>39839</v>
      </c>
      <c r="B6279" s="878">
        <v>2280.77</v>
      </c>
    </row>
    <row r="6280" spans="1:2" ht="16.149999999999999" customHeight="1">
      <c r="A6280" s="877">
        <v>39840</v>
      </c>
      <c r="B6280" s="880">
        <v>2280.4299999999998</v>
      </c>
    </row>
    <row r="6281" spans="1:2" ht="16.149999999999999" customHeight="1">
      <c r="A6281" s="877">
        <v>39841</v>
      </c>
      <c r="B6281" s="878">
        <v>2310.83</v>
      </c>
    </row>
    <row r="6282" spans="1:2" ht="16.149999999999999" customHeight="1">
      <c r="A6282" s="877">
        <v>39842</v>
      </c>
      <c r="B6282" s="880">
        <v>2341.09</v>
      </c>
    </row>
    <row r="6283" spans="1:2" ht="16.149999999999999" customHeight="1">
      <c r="A6283" s="877">
        <v>39843</v>
      </c>
      <c r="B6283" s="878">
        <v>2386.58</v>
      </c>
    </row>
    <row r="6284" spans="1:2" ht="16.149999999999999" customHeight="1">
      <c r="A6284" s="877">
        <v>39844</v>
      </c>
      <c r="B6284" s="880">
        <v>2420.2600000000002</v>
      </c>
    </row>
    <row r="6285" spans="1:2" ht="16.149999999999999" customHeight="1">
      <c r="A6285" s="877">
        <v>39845</v>
      </c>
      <c r="B6285" s="878">
        <v>2420.2600000000002</v>
      </c>
    </row>
    <row r="6286" spans="1:2" ht="16.149999999999999" customHeight="1">
      <c r="A6286" s="877">
        <v>39846</v>
      </c>
      <c r="B6286" s="880">
        <v>2420.2600000000002</v>
      </c>
    </row>
    <row r="6287" spans="1:2" ht="16.149999999999999" customHeight="1">
      <c r="A6287" s="877">
        <v>39847</v>
      </c>
      <c r="B6287" s="878">
        <v>2450.7800000000002</v>
      </c>
    </row>
    <row r="6288" spans="1:2" ht="16.149999999999999" customHeight="1">
      <c r="A6288" s="877">
        <v>39848</v>
      </c>
      <c r="B6288" s="880">
        <v>2443.67</v>
      </c>
    </row>
    <row r="6289" spans="1:2" ht="16.149999999999999" customHeight="1">
      <c r="A6289" s="877">
        <v>39849</v>
      </c>
      <c r="B6289" s="878">
        <v>2469.02</v>
      </c>
    </row>
    <row r="6290" spans="1:2" ht="16.149999999999999" customHeight="1">
      <c r="A6290" s="877">
        <v>39850</v>
      </c>
      <c r="B6290" s="880">
        <v>2472.65</v>
      </c>
    </row>
    <row r="6291" spans="1:2" ht="16.149999999999999" customHeight="1">
      <c r="A6291" s="877">
        <v>39851</v>
      </c>
      <c r="B6291" s="878">
        <v>2449.4899999999998</v>
      </c>
    </row>
    <row r="6292" spans="1:2" ht="16.149999999999999" customHeight="1">
      <c r="A6292" s="877">
        <v>39852</v>
      </c>
      <c r="B6292" s="880">
        <v>2449.4899999999998</v>
      </c>
    </row>
    <row r="6293" spans="1:2" ht="16.149999999999999" customHeight="1">
      <c r="A6293" s="877">
        <v>39853</v>
      </c>
      <c r="B6293" s="878">
        <v>2449.4899999999998</v>
      </c>
    </row>
    <row r="6294" spans="1:2" ht="16.149999999999999" customHeight="1">
      <c r="A6294" s="877">
        <v>39854</v>
      </c>
      <c r="B6294" s="880">
        <v>2450.6</v>
      </c>
    </row>
    <row r="6295" spans="1:2" ht="16.149999999999999" customHeight="1">
      <c r="A6295" s="877">
        <v>39855</v>
      </c>
      <c r="B6295" s="878">
        <v>2494.0700000000002</v>
      </c>
    </row>
    <row r="6296" spans="1:2" ht="16.149999999999999" customHeight="1">
      <c r="A6296" s="877">
        <v>39856</v>
      </c>
      <c r="B6296" s="880">
        <v>2537.8200000000002</v>
      </c>
    </row>
    <row r="6297" spans="1:2" ht="16.149999999999999" customHeight="1">
      <c r="A6297" s="877">
        <v>39857</v>
      </c>
      <c r="B6297" s="878">
        <v>2520.06</v>
      </c>
    </row>
    <row r="6298" spans="1:2" ht="16.149999999999999" customHeight="1">
      <c r="A6298" s="877">
        <v>39858</v>
      </c>
      <c r="B6298" s="880">
        <v>2509.5</v>
      </c>
    </row>
    <row r="6299" spans="1:2" ht="16.149999999999999" customHeight="1">
      <c r="A6299" s="877">
        <v>39859</v>
      </c>
      <c r="B6299" s="878">
        <v>2509.5</v>
      </c>
    </row>
    <row r="6300" spans="1:2" ht="16.149999999999999" customHeight="1">
      <c r="A6300" s="877">
        <v>39860</v>
      </c>
      <c r="B6300" s="880">
        <v>2509.5</v>
      </c>
    </row>
    <row r="6301" spans="1:2" ht="16.149999999999999" customHeight="1">
      <c r="A6301" s="877">
        <v>39861</v>
      </c>
      <c r="B6301" s="878">
        <v>2509.5</v>
      </c>
    </row>
    <row r="6302" spans="1:2" ht="16.149999999999999" customHeight="1">
      <c r="A6302" s="877">
        <v>39862</v>
      </c>
      <c r="B6302" s="880">
        <v>2554.4</v>
      </c>
    </row>
    <row r="6303" spans="1:2" ht="16.149999999999999" customHeight="1">
      <c r="A6303" s="877">
        <v>39863</v>
      </c>
      <c r="B6303" s="878">
        <v>2558.14</v>
      </c>
    </row>
    <row r="6304" spans="1:2" ht="16.149999999999999" customHeight="1">
      <c r="A6304" s="877">
        <v>39864</v>
      </c>
      <c r="B6304" s="880">
        <v>2547.4</v>
      </c>
    </row>
    <row r="6305" spans="1:2" ht="16.149999999999999" customHeight="1">
      <c r="A6305" s="877">
        <v>39865</v>
      </c>
      <c r="B6305" s="878">
        <v>2588.31</v>
      </c>
    </row>
    <row r="6306" spans="1:2" ht="16.149999999999999" customHeight="1">
      <c r="A6306" s="877">
        <v>39866</v>
      </c>
      <c r="B6306" s="880">
        <v>2588.31</v>
      </c>
    </row>
    <row r="6307" spans="1:2" ht="16.149999999999999" customHeight="1">
      <c r="A6307" s="877">
        <v>39867</v>
      </c>
      <c r="B6307" s="878">
        <v>2588.31</v>
      </c>
    </row>
    <row r="6308" spans="1:2" ht="16.149999999999999" customHeight="1">
      <c r="A6308" s="877">
        <v>39868</v>
      </c>
      <c r="B6308" s="880">
        <v>2572.3000000000002</v>
      </c>
    </row>
    <row r="6309" spans="1:2" ht="16.149999999999999" customHeight="1">
      <c r="A6309" s="877">
        <v>39869</v>
      </c>
      <c r="B6309" s="878">
        <v>2596.37</v>
      </c>
    </row>
    <row r="6310" spans="1:2" ht="16.149999999999999" customHeight="1">
      <c r="A6310" s="877">
        <v>39870</v>
      </c>
      <c r="B6310" s="880">
        <v>2575.5</v>
      </c>
    </row>
    <row r="6311" spans="1:2" ht="16.149999999999999" customHeight="1">
      <c r="A6311" s="877">
        <v>39871</v>
      </c>
      <c r="B6311" s="878">
        <v>2555.0500000000002</v>
      </c>
    </row>
    <row r="6312" spans="1:2" ht="16.149999999999999" customHeight="1">
      <c r="A6312" s="877">
        <v>39872</v>
      </c>
      <c r="B6312" s="880">
        <v>2555.89</v>
      </c>
    </row>
    <row r="6313" spans="1:2" ht="16.149999999999999" customHeight="1">
      <c r="A6313" s="877">
        <v>39873</v>
      </c>
      <c r="B6313" s="878">
        <v>2555.89</v>
      </c>
    </row>
    <row r="6314" spans="1:2" ht="16.149999999999999" customHeight="1">
      <c r="A6314" s="877">
        <v>39874</v>
      </c>
      <c r="B6314" s="880">
        <v>2555.89</v>
      </c>
    </row>
    <row r="6315" spans="1:2" ht="16.149999999999999" customHeight="1">
      <c r="A6315" s="877">
        <v>39875</v>
      </c>
      <c r="B6315" s="878">
        <v>2590.9699999999998</v>
      </c>
    </row>
    <row r="6316" spans="1:2" ht="16.149999999999999" customHeight="1">
      <c r="A6316" s="877">
        <v>39876</v>
      </c>
      <c r="B6316" s="880">
        <v>2588.96</v>
      </c>
    </row>
    <row r="6317" spans="1:2" ht="16.149999999999999" customHeight="1">
      <c r="A6317" s="877">
        <v>39877</v>
      </c>
      <c r="B6317" s="878">
        <v>2589.48</v>
      </c>
    </row>
    <row r="6318" spans="1:2" ht="16.149999999999999" customHeight="1">
      <c r="A6318" s="877">
        <v>39878</v>
      </c>
      <c r="B6318" s="880">
        <v>2572.92</v>
      </c>
    </row>
    <row r="6319" spans="1:2" ht="16.149999999999999" customHeight="1">
      <c r="A6319" s="877">
        <v>39879</v>
      </c>
      <c r="B6319" s="878">
        <v>2548.5700000000002</v>
      </c>
    </row>
    <row r="6320" spans="1:2" ht="16.149999999999999" customHeight="1">
      <c r="A6320" s="877">
        <v>39880</v>
      </c>
      <c r="B6320" s="880">
        <v>2548.5700000000002</v>
      </c>
    </row>
    <row r="6321" spans="1:2" ht="16.149999999999999" customHeight="1">
      <c r="A6321" s="877">
        <v>39881</v>
      </c>
      <c r="B6321" s="878">
        <v>2548.5700000000002</v>
      </c>
    </row>
    <row r="6322" spans="1:2" ht="16.149999999999999" customHeight="1">
      <c r="A6322" s="877">
        <v>39882</v>
      </c>
      <c r="B6322" s="880">
        <v>2559.36</v>
      </c>
    </row>
    <row r="6323" spans="1:2" ht="16.149999999999999" customHeight="1">
      <c r="A6323" s="877">
        <v>39883</v>
      </c>
      <c r="B6323" s="878">
        <v>2525.06</v>
      </c>
    </row>
    <row r="6324" spans="1:2" ht="16.149999999999999" customHeight="1">
      <c r="A6324" s="877">
        <v>39884</v>
      </c>
      <c r="B6324" s="880">
        <v>2506.73</v>
      </c>
    </row>
    <row r="6325" spans="1:2" ht="16.149999999999999" customHeight="1">
      <c r="A6325" s="877">
        <v>39885</v>
      </c>
      <c r="B6325" s="878">
        <v>2481.2600000000002</v>
      </c>
    </row>
    <row r="6326" spans="1:2" ht="16.149999999999999" customHeight="1">
      <c r="A6326" s="877">
        <v>39886</v>
      </c>
      <c r="B6326" s="880">
        <v>2445.3000000000002</v>
      </c>
    </row>
    <row r="6327" spans="1:2" ht="16.149999999999999" customHeight="1">
      <c r="A6327" s="877">
        <v>39887</v>
      </c>
      <c r="B6327" s="878">
        <v>2445.3000000000002</v>
      </c>
    </row>
    <row r="6328" spans="1:2" ht="16.149999999999999" customHeight="1">
      <c r="A6328" s="877">
        <v>39888</v>
      </c>
      <c r="B6328" s="880">
        <v>2445.3000000000002</v>
      </c>
    </row>
    <row r="6329" spans="1:2" ht="16.149999999999999" customHeight="1">
      <c r="A6329" s="877">
        <v>39889</v>
      </c>
      <c r="B6329" s="878">
        <v>2390.96</v>
      </c>
    </row>
    <row r="6330" spans="1:2" ht="16.149999999999999" customHeight="1">
      <c r="A6330" s="877">
        <v>39890</v>
      </c>
      <c r="B6330" s="880">
        <v>2390.98</v>
      </c>
    </row>
    <row r="6331" spans="1:2" ht="16.149999999999999" customHeight="1">
      <c r="A6331" s="877">
        <v>39891</v>
      </c>
      <c r="B6331" s="878">
        <v>2383.15</v>
      </c>
    </row>
    <row r="6332" spans="1:2" ht="16.149999999999999" customHeight="1">
      <c r="A6332" s="877">
        <v>39892</v>
      </c>
      <c r="B6332" s="880">
        <v>2335.29</v>
      </c>
    </row>
    <row r="6333" spans="1:2" ht="16.149999999999999" customHeight="1">
      <c r="A6333" s="877">
        <v>39893</v>
      </c>
      <c r="B6333" s="878">
        <v>2340.83</v>
      </c>
    </row>
    <row r="6334" spans="1:2" ht="16.149999999999999" customHeight="1">
      <c r="A6334" s="877">
        <v>39894</v>
      </c>
      <c r="B6334" s="880">
        <v>2340.83</v>
      </c>
    </row>
    <row r="6335" spans="1:2" ht="16.149999999999999" customHeight="1">
      <c r="A6335" s="877">
        <v>39895</v>
      </c>
      <c r="B6335" s="878">
        <v>2340.83</v>
      </c>
    </row>
    <row r="6336" spans="1:2" ht="16.149999999999999" customHeight="1">
      <c r="A6336" s="877">
        <v>39896</v>
      </c>
      <c r="B6336" s="880">
        <v>2340.83</v>
      </c>
    </row>
    <row r="6337" spans="1:2" ht="16.149999999999999" customHeight="1">
      <c r="A6337" s="877">
        <v>39897</v>
      </c>
      <c r="B6337" s="878">
        <v>2353.21</v>
      </c>
    </row>
    <row r="6338" spans="1:2" ht="16.149999999999999" customHeight="1">
      <c r="A6338" s="877">
        <v>39898</v>
      </c>
      <c r="B6338" s="880">
        <v>2379.94</v>
      </c>
    </row>
    <row r="6339" spans="1:2" ht="16.149999999999999" customHeight="1">
      <c r="A6339" s="877">
        <v>39899</v>
      </c>
      <c r="B6339" s="878">
        <v>2435.81</v>
      </c>
    </row>
    <row r="6340" spans="1:2" ht="16.149999999999999" customHeight="1">
      <c r="A6340" s="877">
        <v>39900</v>
      </c>
      <c r="B6340" s="880">
        <v>2485.56</v>
      </c>
    </row>
    <row r="6341" spans="1:2" ht="16.149999999999999" customHeight="1">
      <c r="A6341" s="877">
        <v>39901</v>
      </c>
      <c r="B6341" s="878">
        <v>2485.56</v>
      </c>
    </row>
    <row r="6342" spans="1:2" ht="16.149999999999999" customHeight="1">
      <c r="A6342" s="877">
        <v>39902</v>
      </c>
      <c r="B6342" s="880">
        <v>2485.56</v>
      </c>
    </row>
    <row r="6343" spans="1:2" ht="16.149999999999999" customHeight="1">
      <c r="A6343" s="877">
        <v>39903</v>
      </c>
      <c r="B6343" s="878">
        <v>2561.21</v>
      </c>
    </row>
    <row r="6344" spans="1:2" ht="16.149999999999999" customHeight="1">
      <c r="A6344" s="877">
        <v>39904</v>
      </c>
      <c r="B6344" s="880">
        <v>2544.2399999999998</v>
      </c>
    </row>
    <row r="6345" spans="1:2" ht="16.149999999999999" customHeight="1">
      <c r="A6345" s="877">
        <v>39905</v>
      </c>
      <c r="B6345" s="878">
        <v>2534.9899999999998</v>
      </c>
    </row>
    <row r="6346" spans="1:2" ht="16.149999999999999" customHeight="1">
      <c r="A6346" s="877">
        <v>39906</v>
      </c>
      <c r="B6346" s="880">
        <v>2451.7199999999998</v>
      </c>
    </row>
    <row r="6347" spans="1:2" ht="16.149999999999999" customHeight="1">
      <c r="A6347" s="877">
        <v>39907</v>
      </c>
      <c r="B6347" s="878">
        <v>2422.71</v>
      </c>
    </row>
    <row r="6348" spans="1:2" ht="16.149999999999999" customHeight="1">
      <c r="A6348" s="877">
        <v>39908</v>
      </c>
      <c r="B6348" s="880">
        <v>2422.71</v>
      </c>
    </row>
    <row r="6349" spans="1:2" ht="16.149999999999999" customHeight="1">
      <c r="A6349" s="877">
        <v>39909</v>
      </c>
      <c r="B6349" s="878">
        <v>2422.71</v>
      </c>
    </row>
    <row r="6350" spans="1:2" ht="16.149999999999999" customHeight="1">
      <c r="A6350" s="877">
        <v>39910</v>
      </c>
      <c r="B6350" s="880">
        <v>2408.42</v>
      </c>
    </row>
    <row r="6351" spans="1:2" ht="16.149999999999999" customHeight="1">
      <c r="A6351" s="877">
        <v>39911</v>
      </c>
      <c r="B6351" s="878">
        <v>2416.63</v>
      </c>
    </row>
    <row r="6352" spans="1:2" ht="16.149999999999999" customHeight="1">
      <c r="A6352" s="877">
        <v>39912</v>
      </c>
      <c r="B6352" s="880">
        <v>2388.11</v>
      </c>
    </row>
    <row r="6353" spans="1:2" ht="16.149999999999999" customHeight="1">
      <c r="A6353" s="877">
        <v>39913</v>
      </c>
      <c r="B6353" s="878">
        <v>2388.11</v>
      </c>
    </row>
    <row r="6354" spans="1:2" ht="16.149999999999999" customHeight="1">
      <c r="A6354" s="877">
        <v>39914</v>
      </c>
      <c r="B6354" s="880">
        <v>2388.11</v>
      </c>
    </row>
    <row r="6355" spans="1:2" ht="16.149999999999999" customHeight="1">
      <c r="A6355" s="877">
        <v>39915</v>
      </c>
      <c r="B6355" s="878">
        <v>2388.11</v>
      </c>
    </row>
    <row r="6356" spans="1:2" ht="16.149999999999999" customHeight="1">
      <c r="A6356" s="877">
        <v>39916</v>
      </c>
      <c r="B6356" s="880">
        <v>2388.11</v>
      </c>
    </row>
    <row r="6357" spans="1:2" ht="16.149999999999999" customHeight="1">
      <c r="A6357" s="877">
        <v>39917</v>
      </c>
      <c r="B6357" s="878">
        <v>2392.2199999999998</v>
      </c>
    </row>
    <row r="6358" spans="1:2" ht="16.149999999999999" customHeight="1">
      <c r="A6358" s="877">
        <v>39918</v>
      </c>
      <c r="B6358" s="880">
        <v>2394.27</v>
      </c>
    </row>
    <row r="6359" spans="1:2" ht="16.149999999999999" customHeight="1">
      <c r="A6359" s="877">
        <v>39919</v>
      </c>
      <c r="B6359" s="878">
        <v>2380.69</v>
      </c>
    </row>
    <row r="6360" spans="1:2" ht="16.149999999999999" customHeight="1">
      <c r="A6360" s="877">
        <v>39920</v>
      </c>
      <c r="B6360" s="880">
        <v>2344.98</v>
      </c>
    </row>
    <row r="6361" spans="1:2" ht="16.149999999999999" customHeight="1">
      <c r="A6361" s="877">
        <v>39921</v>
      </c>
      <c r="B6361" s="878">
        <v>2343.34</v>
      </c>
    </row>
    <row r="6362" spans="1:2" ht="16.149999999999999" customHeight="1">
      <c r="A6362" s="877">
        <v>39922</v>
      </c>
      <c r="B6362" s="880">
        <v>2343.34</v>
      </c>
    </row>
    <row r="6363" spans="1:2" ht="16.149999999999999" customHeight="1">
      <c r="A6363" s="877">
        <v>39923</v>
      </c>
      <c r="B6363" s="878">
        <v>2343.34</v>
      </c>
    </row>
    <row r="6364" spans="1:2" ht="16.149999999999999" customHeight="1">
      <c r="A6364" s="877">
        <v>39924</v>
      </c>
      <c r="B6364" s="880">
        <v>2376.38</v>
      </c>
    </row>
    <row r="6365" spans="1:2" ht="16.149999999999999" customHeight="1">
      <c r="A6365" s="877">
        <v>39925</v>
      </c>
      <c r="B6365" s="878">
        <v>2338.6</v>
      </c>
    </row>
    <row r="6366" spans="1:2" ht="16.149999999999999" customHeight="1">
      <c r="A6366" s="877">
        <v>39926</v>
      </c>
      <c r="B6366" s="880">
        <v>2318.83</v>
      </c>
    </row>
    <row r="6367" spans="1:2" ht="16.149999999999999" customHeight="1">
      <c r="A6367" s="877">
        <v>39927</v>
      </c>
      <c r="B6367" s="878">
        <v>2300.7399999999998</v>
      </c>
    </row>
    <row r="6368" spans="1:2" ht="16.149999999999999" customHeight="1">
      <c r="A6368" s="877">
        <v>39928</v>
      </c>
      <c r="B6368" s="880">
        <v>2283.1999999999998</v>
      </c>
    </row>
    <row r="6369" spans="1:2" ht="16.149999999999999" customHeight="1">
      <c r="A6369" s="877">
        <v>39929</v>
      </c>
      <c r="B6369" s="878">
        <v>2283.1999999999998</v>
      </c>
    </row>
    <row r="6370" spans="1:2" ht="16.149999999999999" customHeight="1">
      <c r="A6370" s="877">
        <v>39930</v>
      </c>
      <c r="B6370" s="880">
        <v>2283.1999999999998</v>
      </c>
    </row>
    <row r="6371" spans="1:2" ht="16.149999999999999" customHeight="1">
      <c r="A6371" s="877">
        <v>39931</v>
      </c>
      <c r="B6371" s="878">
        <v>2325.02</v>
      </c>
    </row>
    <row r="6372" spans="1:2" ht="16.149999999999999" customHeight="1">
      <c r="A6372" s="877">
        <v>39932</v>
      </c>
      <c r="B6372" s="880">
        <v>2332.4699999999998</v>
      </c>
    </row>
    <row r="6373" spans="1:2" ht="16.149999999999999" customHeight="1">
      <c r="A6373" s="877">
        <v>39933</v>
      </c>
      <c r="B6373" s="878">
        <v>2289.73</v>
      </c>
    </row>
    <row r="6374" spans="1:2" ht="16.149999999999999" customHeight="1">
      <c r="A6374" s="877">
        <v>39934</v>
      </c>
      <c r="B6374" s="880">
        <v>2288.64</v>
      </c>
    </row>
    <row r="6375" spans="1:2" ht="16.149999999999999" customHeight="1">
      <c r="A6375" s="877">
        <v>39935</v>
      </c>
      <c r="B6375" s="878">
        <v>2288.64</v>
      </c>
    </row>
    <row r="6376" spans="1:2" ht="16.149999999999999" customHeight="1">
      <c r="A6376" s="877">
        <v>39936</v>
      </c>
      <c r="B6376" s="880">
        <v>2288.64</v>
      </c>
    </row>
    <row r="6377" spans="1:2" ht="16.149999999999999" customHeight="1">
      <c r="A6377" s="877">
        <v>39937</v>
      </c>
      <c r="B6377" s="878">
        <v>2288.64</v>
      </c>
    </row>
    <row r="6378" spans="1:2" ht="16.149999999999999" customHeight="1">
      <c r="A6378" s="877">
        <v>39938</v>
      </c>
      <c r="B6378" s="880">
        <v>2272.5500000000002</v>
      </c>
    </row>
    <row r="6379" spans="1:2" ht="16.149999999999999" customHeight="1">
      <c r="A6379" s="877">
        <v>39939</v>
      </c>
      <c r="B6379" s="878">
        <v>2256.9899999999998</v>
      </c>
    </row>
    <row r="6380" spans="1:2" ht="16.149999999999999" customHeight="1">
      <c r="A6380" s="877">
        <v>39940</v>
      </c>
      <c r="B6380" s="880">
        <v>2233.5</v>
      </c>
    </row>
    <row r="6381" spans="1:2" ht="16.149999999999999" customHeight="1">
      <c r="A6381" s="877">
        <v>39941</v>
      </c>
      <c r="B6381" s="878">
        <v>2208.98</v>
      </c>
    </row>
    <row r="6382" spans="1:2" ht="16.149999999999999" customHeight="1">
      <c r="A6382" s="877">
        <v>39942</v>
      </c>
      <c r="B6382" s="880">
        <v>2210.35</v>
      </c>
    </row>
    <row r="6383" spans="1:2" ht="16.149999999999999" customHeight="1">
      <c r="A6383" s="877">
        <v>39943</v>
      </c>
      <c r="B6383" s="878">
        <v>2210.35</v>
      </c>
    </row>
    <row r="6384" spans="1:2" ht="16.149999999999999" customHeight="1">
      <c r="A6384" s="877">
        <v>39944</v>
      </c>
      <c r="B6384" s="880">
        <v>2210.35</v>
      </c>
    </row>
    <row r="6385" spans="1:2" ht="16.149999999999999" customHeight="1">
      <c r="A6385" s="877">
        <v>39945</v>
      </c>
      <c r="B6385" s="878">
        <v>2220.92</v>
      </c>
    </row>
    <row r="6386" spans="1:2" ht="16.149999999999999" customHeight="1">
      <c r="A6386" s="877">
        <v>39946</v>
      </c>
      <c r="B6386" s="880">
        <v>2221.4</v>
      </c>
    </row>
    <row r="6387" spans="1:2" ht="16.149999999999999" customHeight="1">
      <c r="A6387" s="877">
        <v>39947</v>
      </c>
      <c r="B6387" s="878">
        <v>2257.36</v>
      </c>
    </row>
    <row r="6388" spans="1:2" ht="16.149999999999999" customHeight="1">
      <c r="A6388" s="877">
        <v>39948</v>
      </c>
      <c r="B6388" s="880">
        <v>2251.5300000000002</v>
      </c>
    </row>
    <row r="6389" spans="1:2" ht="16.149999999999999" customHeight="1">
      <c r="A6389" s="877">
        <v>39949</v>
      </c>
      <c r="B6389" s="878">
        <v>2252.8000000000002</v>
      </c>
    </row>
    <row r="6390" spans="1:2" ht="16.149999999999999" customHeight="1">
      <c r="A6390" s="877">
        <v>39950</v>
      </c>
      <c r="B6390" s="880">
        <v>2252.8000000000002</v>
      </c>
    </row>
    <row r="6391" spans="1:2" ht="16.149999999999999" customHeight="1">
      <c r="A6391" s="877">
        <v>39951</v>
      </c>
      <c r="B6391" s="878">
        <v>2252.8000000000002</v>
      </c>
    </row>
    <row r="6392" spans="1:2" ht="16.149999999999999" customHeight="1">
      <c r="A6392" s="877">
        <v>39952</v>
      </c>
      <c r="B6392" s="880">
        <v>2255.2199999999998</v>
      </c>
    </row>
    <row r="6393" spans="1:2" ht="16.149999999999999" customHeight="1">
      <c r="A6393" s="877">
        <v>39953</v>
      </c>
      <c r="B6393" s="878">
        <v>2221.27</v>
      </c>
    </row>
    <row r="6394" spans="1:2" ht="16.149999999999999" customHeight="1">
      <c r="A6394" s="877">
        <v>39954</v>
      </c>
      <c r="B6394" s="880">
        <v>2196.21</v>
      </c>
    </row>
    <row r="6395" spans="1:2" ht="16.149999999999999" customHeight="1">
      <c r="A6395" s="877">
        <v>39955</v>
      </c>
      <c r="B6395" s="878">
        <v>2206.6</v>
      </c>
    </row>
    <row r="6396" spans="1:2" ht="16.149999999999999" customHeight="1">
      <c r="A6396" s="877">
        <v>39956</v>
      </c>
      <c r="B6396" s="880">
        <v>2201.44</v>
      </c>
    </row>
    <row r="6397" spans="1:2" ht="16.149999999999999" customHeight="1">
      <c r="A6397" s="877">
        <v>39957</v>
      </c>
      <c r="B6397" s="878">
        <v>2201.44</v>
      </c>
    </row>
    <row r="6398" spans="1:2" ht="16.149999999999999" customHeight="1">
      <c r="A6398" s="877">
        <v>39958</v>
      </c>
      <c r="B6398" s="880">
        <v>2201.44</v>
      </c>
    </row>
    <row r="6399" spans="1:2" ht="16.149999999999999" customHeight="1">
      <c r="A6399" s="877">
        <v>39959</v>
      </c>
      <c r="B6399" s="878">
        <v>2201.44</v>
      </c>
    </row>
    <row r="6400" spans="1:2" ht="16.149999999999999" customHeight="1">
      <c r="A6400" s="877">
        <v>39960</v>
      </c>
      <c r="B6400" s="880">
        <v>2213.89</v>
      </c>
    </row>
    <row r="6401" spans="1:2" ht="16.149999999999999" customHeight="1">
      <c r="A6401" s="877">
        <v>39961</v>
      </c>
      <c r="B6401" s="878">
        <v>2208.89</v>
      </c>
    </row>
    <row r="6402" spans="1:2" ht="16.149999999999999" customHeight="1">
      <c r="A6402" s="877">
        <v>39962</v>
      </c>
      <c r="B6402" s="880">
        <v>2190.4499999999998</v>
      </c>
    </row>
    <row r="6403" spans="1:2" ht="16.149999999999999" customHeight="1">
      <c r="A6403" s="877">
        <v>39963</v>
      </c>
      <c r="B6403" s="878">
        <v>2140.66</v>
      </c>
    </row>
    <row r="6404" spans="1:2" ht="16.149999999999999" customHeight="1">
      <c r="A6404" s="877">
        <v>39964</v>
      </c>
      <c r="B6404" s="880">
        <v>2140.66</v>
      </c>
    </row>
    <row r="6405" spans="1:2" ht="16.149999999999999" customHeight="1">
      <c r="A6405" s="877">
        <v>39965</v>
      </c>
      <c r="B6405" s="878">
        <v>2140.66</v>
      </c>
    </row>
    <row r="6406" spans="1:2" ht="16.149999999999999" customHeight="1">
      <c r="A6406" s="877">
        <v>39966</v>
      </c>
      <c r="B6406" s="880">
        <v>2109.42</v>
      </c>
    </row>
    <row r="6407" spans="1:2" ht="16.149999999999999" customHeight="1">
      <c r="A6407" s="877">
        <v>39967</v>
      </c>
      <c r="B6407" s="878">
        <v>2077.02</v>
      </c>
    </row>
    <row r="6408" spans="1:2" ht="16.149999999999999" customHeight="1">
      <c r="A6408" s="877">
        <v>39968</v>
      </c>
      <c r="B6408" s="880">
        <v>2073.5500000000002</v>
      </c>
    </row>
    <row r="6409" spans="1:2" ht="16.149999999999999" customHeight="1">
      <c r="A6409" s="877">
        <v>39969</v>
      </c>
      <c r="B6409" s="878">
        <v>2072</v>
      </c>
    </row>
    <row r="6410" spans="1:2" ht="16.149999999999999" customHeight="1">
      <c r="A6410" s="877">
        <v>39970</v>
      </c>
      <c r="B6410" s="880">
        <v>2063.1</v>
      </c>
    </row>
    <row r="6411" spans="1:2" ht="16.149999999999999" customHeight="1">
      <c r="A6411" s="877">
        <v>39971</v>
      </c>
      <c r="B6411" s="878">
        <v>2063.1</v>
      </c>
    </row>
    <row r="6412" spans="1:2" ht="16.149999999999999" customHeight="1">
      <c r="A6412" s="877">
        <v>39972</v>
      </c>
      <c r="B6412" s="880">
        <v>2063.1</v>
      </c>
    </row>
    <row r="6413" spans="1:2" ht="16.149999999999999" customHeight="1">
      <c r="A6413" s="877">
        <v>39973</v>
      </c>
      <c r="B6413" s="878">
        <v>2091.1</v>
      </c>
    </row>
    <row r="6414" spans="1:2" ht="16.149999999999999" customHeight="1">
      <c r="A6414" s="877">
        <v>39974</v>
      </c>
      <c r="B6414" s="880">
        <v>2060.1799999999998</v>
      </c>
    </row>
    <row r="6415" spans="1:2" ht="16.149999999999999" customHeight="1">
      <c r="A6415" s="877">
        <v>39975</v>
      </c>
      <c r="B6415" s="878">
        <v>2042.19</v>
      </c>
    </row>
    <row r="6416" spans="1:2" ht="16.149999999999999" customHeight="1">
      <c r="A6416" s="877">
        <v>39976</v>
      </c>
      <c r="B6416" s="880">
        <v>2026.17</v>
      </c>
    </row>
    <row r="6417" spans="1:2" ht="16.149999999999999" customHeight="1">
      <c r="A6417" s="877">
        <v>39977</v>
      </c>
      <c r="B6417" s="878">
        <v>2015.4</v>
      </c>
    </row>
    <row r="6418" spans="1:2" ht="16.149999999999999" customHeight="1">
      <c r="A6418" s="877">
        <v>39978</v>
      </c>
      <c r="B6418" s="880">
        <v>2015.4</v>
      </c>
    </row>
    <row r="6419" spans="1:2" ht="16.149999999999999" customHeight="1">
      <c r="A6419" s="877">
        <v>39979</v>
      </c>
      <c r="B6419" s="878">
        <v>2015.4</v>
      </c>
    </row>
    <row r="6420" spans="1:2" ht="16.149999999999999" customHeight="1">
      <c r="A6420" s="877">
        <v>39980</v>
      </c>
      <c r="B6420" s="880">
        <v>2015.4</v>
      </c>
    </row>
    <row r="6421" spans="1:2" ht="16.149999999999999" customHeight="1">
      <c r="A6421" s="877">
        <v>39981</v>
      </c>
      <c r="B6421" s="878">
        <v>2014.91</v>
      </c>
    </row>
    <row r="6422" spans="1:2" ht="16.149999999999999" customHeight="1">
      <c r="A6422" s="877">
        <v>39982</v>
      </c>
      <c r="B6422" s="880">
        <v>2071.29</v>
      </c>
    </row>
    <row r="6423" spans="1:2" ht="16.149999999999999" customHeight="1">
      <c r="A6423" s="877">
        <v>39983</v>
      </c>
      <c r="B6423" s="878">
        <v>2074.7199999999998</v>
      </c>
    </row>
    <row r="6424" spans="1:2" ht="16.149999999999999" customHeight="1">
      <c r="A6424" s="877">
        <v>39984</v>
      </c>
      <c r="B6424" s="880">
        <v>2108.1999999999998</v>
      </c>
    </row>
    <row r="6425" spans="1:2" ht="16.149999999999999" customHeight="1">
      <c r="A6425" s="877">
        <v>39985</v>
      </c>
      <c r="B6425" s="878">
        <v>2108.1999999999998</v>
      </c>
    </row>
    <row r="6426" spans="1:2" ht="16.149999999999999" customHeight="1">
      <c r="A6426" s="877">
        <v>39986</v>
      </c>
      <c r="B6426" s="880">
        <v>2108.1999999999998</v>
      </c>
    </row>
    <row r="6427" spans="1:2" ht="16.149999999999999" customHeight="1">
      <c r="A6427" s="877">
        <v>39987</v>
      </c>
      <c r="B6427" s="878">
        <v>2108.1999999999998</v>
      </c>
    </row>
    <row r="6428" spans="1:2" ht="16.149999999999999" customHeight="1">
      <c r="A6428" s="877">
        <v>39988</v>
      </c>
      <c r="B6428" s="880">
        <v>2165</v>
      </c>
    </row>
    <row r="6429" spans="1:2" ht="16.149999999999999" customHeight="1">
      <c r="A6429" s="877">
        <v>39989</v>
      </c>
      <c r="B6429" s="878">
        <v>2158.7199999999998</v>
      </c>
    </row>
    <row r="6430" spans="1:2" ht="16.149999999999999" customHeight="1">
      <c r="A6430" s="877">
        <v>39990</v>
      </c>
      <c r="B6430" s="880">
        <v>2188.5</v>
      </c>
    </row>
    <row r="6431" spans="1:2" ht="16.149999999999999" customHeight="1">
      <c r="A6431" s="877">
        <v>39991</v>
      </c>
      <c r="B6431" s="878">
        <v>2158.67</v>
      </c>
    </row>
    <row r="6432" spans="1:2" ht="16.149999999999999" customHeight="1">
      <c r="A6432" s="877">
        <v>39992</v>
      </c>
      <c r="B6432" s="880">
        <v>2158.67</v>
      </c>
    </row>
    <row r="6433" spans="1:2" ht="16.149999999999999" customHeight="1">
      <c r="A6433" s="877">
        <v>39993</v>
      </c>
      <c r="B6433" s="878">
        <v>2158.67</v>
      </c>
    </row>
    <row r="6434" spans="1:2" ht="16.149999999999999" customHeight="1">
      <c r="A6434" s="877">
        <v>39994</v>
      </c>
      <c r="B6434" s="880">
        <v>2158.67</v>
      </c>
    </row>
    <row r="6435" spans="1:2" ht="16.149999999999999" customHeight="1">
      <c r="A6435" s="877">
        <v>39995</v>
      </c>
      <c r="B6435" s="878">
        <v>2145.21</v>
      </c>
    </row>
    <row r="6436" spans="1:2" ht="16.149999999999999" customHeight="1">
      <c r="A6436" s="877">
        <v>39996</v>
      </c>
      <c r="B6436" s="880">
        <v>2111.71</v>
      </c>
    </row>
    <row r="6437" spans="1:2" ht="16.149999999999999" customHeight="1">
      <c r="A6437" s="877">
        <v>39997</v>
      </c>
      <c r="B6437" s="878">
        <v>2096.23</v>
      </c>
    </row>
    <row r="6438" spans="1:2" ht="16.149999999999999" customHeight="1">
      <c r="A6438" s="877">
        <v>39998</v>
      </c>
      <c r="B6438" s="880">
        <v>2086.36</v>
      </c>
    </row>
    <row r="6439" spans="1:2" ht="16.149999999999999" customHeight="1">
      <c r="A6439" s="877">
        <v>39999</v>
      </c>
      <c r="B6439" s="878">
        <v>2086.36</v>
      </c>
    </row>
    <row r="6440" spans="1:2" ht="16.149999999999999" customHeight="1">
      <c r="A6440" s="877">
        <v>40000</v>
      </c>
      <c r="B6440" s="880">
        <v>2086.36</v>
      </c>
    </row>
    <row r="6441" spans="1:2" ht="16.149999999999999" customHeight="1">
      <c r="A6441" s="877">
        <v>40001</v>
      </c>
      <c r="B6441" s="878">
        <v>2109.08</v>
      </c>
    </row>
    <row r="6442" spans="1:2" ht="16.149999999999999" customHeight="1">
      <c r="A6442" s="877">
        <v>40002</v>
      </c>
      <c r="B6442" s="880">
        <v>2090.35</v>
      </c>
    </row>
    <row r="6443" spans="1:2" ht="16.149999999999999" customHeight="1">
      <c r="A6443" s="877">
        <v>40003</v>
      </c>
      <c r="B6443" s="878">
        <v>2108.1999999999998</v>
      </c>
    </row>
    <row r="6444" spans="1:2" ht="16.149999999999999" customHeight="1">
      <c r="A6444" s="877">
        <v>40004</v>
      </c>
      <c r="B6444" s="880">
        <v>2105.36</v>
      </c>
    </row>
    <row r="6445" spans="1:2" ht="16.149999999999999" customHeight="1">
      <c r="A6445" s="877">
        <v>40005</v>
      </c>
      <c r="B6445" s="878">
        <v>2116.9899999999998</v>
      </c>
    </row>
    <row r="6446" spans="1:2" ht="16.149999999999999" customHeight="1">
      <c r="A6446" s="877">
        <v>40006</v>
      </c>
      <c r="B6446" s="880">
        <v>2116.9899999999998</v>
      </c>
    </row>
    <row r="6447" spans="1:2" ht="16.149999999999999" customHeight="1">
      <c r="A6447" s="877">
        <v>40007</v>
      </c>
      <c r="B6447" s="878">
        <v>2116.9899999999998</v>
      </c>
    </row>
    <row r="6448" spans="1:2" ht="16.149999999999999" customHeight="1">
      <c r="A6448" s="877">
        <v>40008</v>
      </c>
      <c r="B6448" s="880">
        <v>2085.7399999999998</v>
      </c>
    </row>
    <row r="6449" spans="1:2" ht="16.149999999999999" customHeight="1">
      <c r="A6449" s="877">
        <v>40009</v>
      </c>
      <c r="B6449" s="878">
        <v>2054.19</v>
      </c>
    </row>
    <row r="6450" spans="1:2" ht="16.149999999999999" customHeight="1">
      <c r="A6450" s="877">
        <v>40010</v>
      </c>
      <c r="B6450" s="880">
        <v>2018.93</v>
      </c>
    </row>
    <row r="6451" spans="1:2" ht="16.149999999999999" customHeight="1">
      <c r="A6451" s="877">
        <v>40011</v>
      </c>
      <c r="B6451" s="878">
        <v>2025.71</v>
      </c>
    </row>
    <row r="6452" spans="1:2" ht="16.149999999999999" customHeight="1">
      <c r="A6452" s="877">
        <v>40012</v>
      </c>
      <c r="B6452" s="880">
        <v>2006.82</v>
      </c>
    </row>
    <row r="6453" spans="1:2" ht="16.149999999999999" customHeight="1">
      <c r="A6453" s="877">
        <v>40013</v>
      </c>
      <c r="B6453" s="878">
        <v>2006.82</v>
      </c>
    </row>
    <row r="6454" spans="1:2" ht="16.149999999999999" customHeight="1">
      <c r="A6454" s="877">
        <v>40014</v>
      </c>
      <c r="B6454" s="880">
        <v>2006.82</v>
      </c>
    </row>
    <row r="6455" spans="1:2" ht="16.149999999999999" customHeight="1">
      <c r="A6455" s="877">
        <v>40015</v>
      </c>
      <c r="B6455" s="878">
        <v>2006.82</v>
      </c>
    </row>
    <row r="6456" spans="1:2" ht="16.149999999999999" customHeight="1">
      <c r="A6456" s="877">
        <v>40016</v>
      </c>
      <c r="B6456" s="880">
        <v>1986.35</v>
      </c>
    </row>
    <row r="6457" spans="1:2" ht="16.149999999999999" customHeight="1">
      <c r="A6457" s="877">
        <v>40017</v>
      </c>
      <c r="B6457" s="878">
        <v>1975.05</v>
      </c>
    </row>
    <row r="6458" spans="1:2" ht="16.149999999999999" customHeight="1">
      <c r="A6458" s="877">
        <v>40018</v>
      </c>
      <c r="B6458" s="880">
        <v>1953.12</v>
      </c>
    </row>
    <row r="6459" spans="1:2" ht="16.149999999999999" customHeight="1">
      <c r="A6459" s="877">
        <v>40019</v>
      </c>
      <c r="B6459" s="878">
        <v>1970.11</v>
      </c>
    </row>
    <row r="6460" spans="1:2" ht="16.149999999999999" customHeight="1">
      <c r="A6460" s="877">
        <v>40020</v>
      </c>
      <c r="B6460" s="880">
        <v>1970.11</v>
      </c>
    </row>
    <row r="6461" spans="1:2" ht="16.149999999999999" customHeight="1">
      <c r="A6461" s="877">
        <v>40021</v>
      </c>
      <c r="B6461" s="878">
        <v>1970.11</v>
      </c>
    </row>
    <row r="6462" spans="1:2" ht="16.149999999999999" customHeight="1">
      <c r="A6462" s="877">
        <v>40022</v>
      </c>
      <c r="B6462" s="880">
        <v>1982.43</v>
      </c>
    </row>
    <row r="6463" spans="1:2" ht="16.149999999999999" customHeight="1">
      <c r="A6463" s="877">
        <v>40023</v>
      </c>
      <c r="B6463" s="878">
        <v>2013.82</v>
      </c>
    </row>
    <row r="6464" spans="1:2" ht="16.149999999999999" customHeight="1">
      <c r="A6464" s="877">
        <v>40024</v>
      </c>
      <c r="B6464" s="880">
        <v>2073.92</v>
      </c>
    </row>
    <row r="6465" spans="1:2" ht="16.149999999999999" customHeight="1">
      <c r="A6465" s="877">
        <v>40025</v>
      </c>
      <c r="B6465" s="878">
        <v>2043.37</v>
      </c>
    </row>
    <row r="6466" spans="1:2" ht="16.149999999999999" customHeight="1">
      <c r="A6466" s="877">
        <v>40026</v>
      </c>
      <c r="B6466" s="880">
        <v>2040.95</v>
      </c>
    </row>
    <row r="6467" spans="1:2" ht="16.149999999999999" customHeight="1">
      <c r="A6467" s="877">
        <v>40027</v>
      </c>
      <c r="B6467" s="878">
        <v>2040.95</v>
      </c>
    </row>
    <row r="6468" spans="1:2" ht="16.149999999999999" customHeight="1">
      <c r="A6468" s="877">
        <v>40028</v>
      </c>
      <c r="B6468" s="880">
        <v>2040.95</v>
      </c>
    </row>
    <row r="6469" spans="1:2" ht="16.149999999999999" customHeight="1">
      <c r="A6469" s="877">
        <v>40029</v>
      </c>
      <c r="B6469" s="878">
        <v>2008.96</v>
      </c>
    </row>
    <row r="6470" spans="1:2" ht="16.149999999999999" customHeight="1">
      <c r="A6470" s="877">
        <v>40030</v>
      </c>
      <c r="B6470" s="880">
        <v>1992.98</v>
      </c>
    </row>
    <row r="6471" spans="1:2" ht="16.149999999999999" customHeight="1">
      <c r="A6471" s="877">
        <v>40031</v>
      </c>
      <c r="B6471" s="878">
        <v>1987.84</v>
      </c>
    </row>
    <row r="6472" spans="1:2" ht="16.149999999999999" customHeight="1">
      <c r="A6472" s="877">
        <v>40032</v>
      </c>
      <c r="B6472" s="880">
        <v>1997.01</v>
      </c>
    </row>
    <row r="6473" spans="1:2" ht="16.149999999999999" customHeight="1">
      <c r="A6473" s="877">
        <v>40033</v>
      </c>
      <c r="B6473" s="878">
        <v>1997.01</v>
      </c>
    </row>
    <row r="6474" spans="1:2" ht="16.149999999999999" customHeight="1">
      <c r="A6474" s="877">
        <v>40034</v>
      </c>
      <c r="B6474" s="880">
        <v>1997.01</v>
      </c>
    </row>
    <row r="6475" spans="1:2" ht="16.149999999999999" customHeight="1">
      <c r="A6475" s="877">
        <v>40035</v>
      </c>
      <c r="B6475" s="878">
        <v>1997.01</v>
      </c>
    </row>
    <row r="6476" spans="1:2" ht="16.149999999999999" customHeight="1">
      <c r="A6476" s="877">
        <v>40036</v>
      </c>
      <c r="B6476" s="880">
        <v>2022.56</v>
      </c>
    </row>
    <row r="6477" spans="1:2" ht="16.149999999999999" customHeight="1">
      <c r="A6477" s="877">
        <v>40037</v>
      </c>
      <c r="B6477" s="878">
        <v>2050.4499999999998</v>
      </c>
    </row>
    <row r="6478" spans="1:2" ht="16.149999999999999" customHeight="1">
      <c r="A6478" s="877">
        <v>40038</v>
      </c>
      <c r="B6478" s="880">
        <v>2026.45</v>
      </c>
    </row>
    <row r="6479" spans="1:2" ht="16.149999999999999" customHeight="1">
      <c r="A6479" s="877">
        <v>40039</v>
      </c>
      <c r="B6479" s="878">
        <v>1999.98</v>
      </c>
    </row>
    <row r="6480" spans="1:2" ht="16.149999999999999" customHeight="1">
      <c r="A6480" s="877">
        <v>40040</v>
      </c>
      <c r="B6480" s="880">
        <v>2016.09</v>
      </c>
    </row>
    <row r="6481" spans="1:2" ht="16.149999999999999" customHeight="1">
      <c r="A6481" s="877">
        <v>40041</v>
      </c>
      <c r="B6481" s="878">
        <v>2016.09</v>
      </c>
    </row>
    <row r="6482" spans="1:2" ht="16.149999999999999" customHeight="1">
      <c r="A6482" s="877">
        <v>40042</v>
      </c>
      <c r="B6482" s="880">
        <v>2016.09</v>
      </c>
    </row>
    <row r="6483" spans="1:2" ht="16.149999999999999" customHeight="1">
      <c r="A6483" s="877">
        <v>40043</v>
      </c>
      <c r="B6483" s="878">
        <v>2016.09</v>
      </c>
    </row>
    <row r="6484" spans="1:2" ht="16.149999999999999" customHeight="1">
      <c r="A6484" s="877">
        <v>40044</v>
      </c>
      <c r="B6484" s="880">
        <v>2037.1</v>
      </c>
    </row>
    <row r="6485" spans="1:2" ht="16.149999999999999" customHeight="1">
      <c r="A6485" s="877">
        <v>40045</v>
      </c>
      <c r="B6485" s="878">
        <v>2041.91</v>
      </c>
    </row>
    <row r="6486" spans="1:2" ht="16.149999999999999" customHeight="1">
      <c r="A6486" s="877">
        <v>40046</v>
      </c>
      <c r="B6486" s="880">
        <v>2012.67</v>
      </c>
    </row>
    <row r="6487" spans="1:2" ht="16.149999999999999" customHeight="1">
      <c r="A6487" s="877">
        <v>40047</v>
      </c>
      <c r="B6487" s="878">
        <v>1997.31</v>
      </c>
    </row>
    <row r="6488" spans="1:2" ht="16.149999999999999" customHeight="1">
      <c r="A6488" s="877">
        <v>40048</v>
      </c>
      <c r="B6488" s="880">
        <v>1997.31</v>
      </c>
    </row>
    <row r="6489" spans="1:2" ht="16.149999999999999" customHeight="1">
      <c r="A6489" s="877">
        <v>40049</v>
      </c>
      <c r="B6489" s="878">
        <v>1997.31</v>
      </c>
    </row>
    <row r="6490" spans="1:2" ht="16.149999999999999" customHeight="1">
      <c r="A6490" s="877">
        <v>40050</v>
      </c>
      <c r="B6490" s="880">
        <v>1997.44</v>
      </c>
    </row>
    <row r="6491" spans="1:2" ht="16.149999999999999" customHeight="1">
      <c r="A6491" s="877">
        <v>40051</v>
      </c>
      <c r="B6491" s="878">
        <v>2007.2</v>
      </c>
    </row>
    <row r="6492" spans="1:2" ht="16.149999999999999" customHeight="1">
      <c r="A6492" s="877">
        <v>40052</v>
      </c>
      <c r="B6492" s="880">
        <v>2044.79</v>
      </c>
    </row>
    <row r="6493" spans="1:2" ht="16.149999999999999" customHeight="1">
      <c r="A6493" s="877">
        <v>40053</v>
      </c>
      <c r="B6493" s="878">
        <v>2043.65</v>
      </c>
    </row>
    <row r="6494" spans="1:2" ht="16.149999999999999" customHeight="1">
      <c r="A6494" s="877">
        <v>40054</v>
      </c>
      <c r="B6494" s="880">
        <v>2035</v>
      </c>
    </row>
    <row r="6495" spans="1:2" ht="16.149999999999999" customHeight="1">
      <c r="A6495" s="877">
        <v>40055</v>
      </c>
      <c r="B6495" s="878">
        <v>2035</v>
      </c>
    </row>
    <row r="6496" spans="1:2" ht="16.149999999999999" customHeight="1">
      <c r="A6496" s="877">
        <v>40056</v>
      </c>
      <c r="B6496" s="880">
        <v>2035</v>
      </c>
    </row>
    <row r="6497" spans="1:2" ht="16.149999999999999" customHeight="1">
      <c r="A6497" s="877">
        <v>40057</v>
      </c>
      <c r="B6497" s="878">
        <v>2057.81</v>
      </c>
    </row>
    <row r="6498" spans="1:2" ht="16.149999999999999" customHeight="1">
      <c r="A6498" s="877">
        <v>40058</v>
      </c>
      <c r="B6498" s="880">
        <v>2068.96</v>
      </c>
    </row>
    <row r="6499" spans="1:2" ht="16.149999999999999" customHeight="1">
      <c r="A6499" s="877">
        <v>40059</v>
      </c>
      <c r="B6499" s="878">
        <v>2065.73</v>
      </c>
    </row>
    <row r="6500" spans="1:2" ht="16.149999999999999" customHeight="1">
      <c r="A6500" s="877">
        <v>40060</v>
      </c>
      <c r="B6500" s="880">
        <v>2029.75</v>
      </c>
    </row>
    <row r="6501" spans="1:2" ht="16.149999999999999" customHeight="1">
      <c r="A6501" s="877">
        <v>40061</v>
      </c>
      <c r="B6501" s="878">
        <v>2018.72</v>
      </c>
    </row>
    <row r="6502" spans="1:2" ht="16.149999999999999" customHeight="1">
      <c r="A6502" s="877">
        <v>40062</v>
      </c>
      <c r="B6502" s="880">
        <v>2018.72</v>
      </c>
    </row>
    <row r="6503" spans="1:2" ht="16.149999999999999" customHeight="1">
      <c r="A6503" s="877">
        <v>40063</v>
      </c>
      <c r="B6503" s="878">
        <v>2018.72</v>
      </c>
    </row>
    <row r="6504" spans="1:2" ht="16.149999999999999" customHeight="1">
      <c r="A6504" s="877">
        <v>40064</v>
      </c>
      <c r="B6504" s="880">
        <v>2018.72</v>
      </c>
    </row>
    <row r="6505" spans="1:2" ht="16.149999999999999" customHeight="1">
      <c r="A6505" s="877">
        <v>40065</v>
      </c>
      <c r="B6505" s="878">
        <v>1994.44</v>
      </c>
    </row>
    <row r="6506" spans="1:2" ht="16.149999999999999" customHeight="1">
      <c r="A6506" s="877">
        <v>40066</v>
      </c>
      <c r="B6506" s="880">
        <v>1998.17</v>
      </c>
    </row>
    <row r="6507" spans="1:2" ht="16.149999999999999" customHeight="1">
      <c r="A6507" s="877">
        <v>40067</v>
      </c>
      <c r="B6507" s="878">
        <v>2008.95</v>
      </c>
    </row>
    <row r="6508" spans="1:2" ht="16.149999999999999" customHeight="1">
      <c r="A6508" s="877">
        <v>40068</v>
      </c>
      <c r="B6508" s="880">
        <v>1985.38</v>
      </c>
    </row>
    <row r="6509" spans="1:2" ht="16.149999999999999" customHeight="1">
      <c r="A6509" s="877">
        <v>40069</v>
      </c>
      <c r="B6509" s="878">
        <v>1985.38</v>
      </c>
    </row>
    <row r="6510" spans="1:2" ht="16.149999999999999" customHeight="1">
      <c r="A6510" s="877">
        <v>40070</v>
      </c>
      <c r="B6510" s="880">
        <v>1985.38</v>
      </c>
    </row>
    <row r="6511" spans="1:2" ht="16.149999999999999" customHeight="1">
      <c r="A6511" s="877">
        <v>40071</v>
      </c>
      <c r="B6511" s="878">
        <v>1998.99</v>
      </c>
    </row>
    <row r="6512" spans="1:2" ht="16.149999999999999" customHeight="1">
      <c r="A6512" s="877">
        <v>40072</v>
      </c>
      <c r="B6512" s="880">
        <v>1986.86</v>
      </c>
    </row>
    <row r="6513" spans="1:2" ht="16.149999999999999" customHeight="1">
      <c r="A6513" s="877">
        <v>40073</v>
      </c>
      <c r="B6513" s="878">
        <v>1960.76</v>
      </c>
    </row>
    <row r="6514" spans="1:2" ht="16.149999999999999" customHeight="1">
      <c r="A6514" s="877">
        <v>40074</v>
      </c>
      <c r="B6514" s="880">
        <v>1962.6</v>
      </c>
    </row>
    <row r="6515" spans="1:2" ht="16.149999999999999" customHeight="1">
      <c r="A6515" s="877">
        <v>40075</v>
      </c>
      <c r="B6515" s="878">
        <v>1951.38</v>
      </c>
    </row>
    <row r="6516" spans="1:2" ht="16.149999999999999" customHeight="1">
      <c r="A6516" s="877">
        <v>40076</v>
      </c>
      <c r="B6516" s="880">
        <v>1951.38</v>
      </c>
    </row>
    <row r="6517" spans="1:2" ht="16.149999999999999" customHeight="1">
      <c r="A6517" s="877">
        <v>40077</v>
      </c>
      <c r="B6517" s="878">
        <v>1951.38</v>
      </c>
    </row>
    <row r="6518" spans="1:2" ht="16.149999999999999" customHeight="1">
      <c r="A6518" s="877">
        <v>40078</v>
      </c>
      <c r="B6518" s="880">
        <v>1950.77</v>
      </c>
    </row>
    <row r="6519" spans="1:2" ht="16.149999999999999" customHeight="1">
      <c r="A6519" s="877">
        <v>40079</v>
      </c>
      <c r="B6519" s="878">
        <v>1914.47</v>
      </c>
    </row>
    <row r="6520" spans="1:2" ht="16.149999999999999" customHeight="1">
      <c r="A6520" s="877">
        <v>40080</v>
      </c>
      <c r="B6520" s="880">
        <v>1911.66</v>
      </c>
    </row>
    <row r="6521" spans="1:2" ht="16.149999999999999" customHeight="1">
      <c r="A6521" s="877">
        <v>40081</v>
      </c>
      <c r="B6521" s="878">
        <v>1922.5</v>
      </c>
    </row>
    <row r="6522" spans="1:2" ht="16.149999999999999" customHeight="1">
      <c r="A6522" s="877">
        <v>40082</v>
      </c>
      <c r="B6522" s="880">
        <v>1926.59</v>
      </c>
    </row>
    <row r="6523" spans="1:2" ht="16.149999999999999" customHeight="1">
      <c r="A6523" s="877">
        <v>40083</v>
      </c>
      <c r="B6523" s="878">
        <v>1926.59</v>
      </c>
    </row>
    <row r="6524" spans="1:2" ht="16.149999999999999" customHeight="1">
      <c r="A6524" s="877">
        <v>40084</v>
      </c>
      <c r="B6524" s="880">
        <v>1926.59</v>
      </c>
    </row>
    <row r="6525" spans="1:2" ht="16.149999999999999" customHeight="1">
      <c r="A6525" s="877">
        <v>40085</v>
      </c>
      <c r="B6525" s="878">
        <v>1921.64</v>
      </c>
    </row>
    <row r="6526" spans="1:2" ht="16.149999999999999" customHeight="1">
      <c r="A6526" s="877">
        <v>40086</v>
      </c>
      <c r="B6526" s="880">
        <v>1922</v>
      </c>
    </row>
    <row r="6527" spans="1:2" ht="16.149999999999999" customHeight="1">
      <c r="A6527" s="877">
        <v>40087</v>
      </c>
      <c r="B6527" s="878">
        <v>1925.49</v>
      </c>
    </row>
    <row r="6528" spans="1:2" ht="16.149999999999999" customHeight="1">
      <c r="A6528" s="877">
        <v>40088</v>
      </c>
      <c r="B6528" s="880">
        <v>1918.87</v>
      </c>
    </row>
    <row r="6529" spans="1:2" ht="16.149999999999999" customHeight="1">
      <c r="A6529" s="877">
        <v>40089</v>
      </c>
      <c r="B6529" s="878">
        <v>1919.75</v>
      </c>
    </row>
    <row r="6530" spans="1:2" ht="16.149999999999999" customHeight="1">
      <c r="A6530" s="877">
        <v>40090</v>
      </c>
      <c r="B6530" s="880">
        <v>1919.75</v>
      </c>
    </row>
    <row r="6531" spans="1:2" ht="16.149999999999999" customHeight="1">
      <c r="A6531" s="877">
        <v>40091</v>
      </c>
      <c r="B6531" s="878">
        <v>1919.75</v>
      </c>
    </row>
    <row r="6532" spans="1:2" ht="16.149999999999999" customHeight="1">
      <c r="A6532" s="877">
        <v>40092</v>
      </c>
      <c r="B6532" s="880">
        <v>1925.57</v>
      </c>
    </row>
    <row r="6533" spans="1:2" ht="16.149999999999999" customHeight="1">
      <c r="A6533" s="877">
        <v>40093</v>
      </c>
      <c r="B6533" s="878">
        <v>1906.59</v>
      </c>
    </row>
    <row r="6534" spans="1:2" ht="16.149999999999999" customHeight="1">
      <c r="A6534" s="877">
        <v>40094</v>
      </c>
      <c r="B6534" s="880">
        <v>1897.31</v>
      </c>
    </row>
    <row r="6535" spans="1:2" ht="16.149999999999999" customHeight="1">
      <c r="A6535" s="877">
        <v>40095</v>
      </c>
      <c r="B6535" s="878">
        <v>1870.96</v>
      </c>
    </row>
    <row r="6536" spans="1:2" ht="16.149999999999999" customHeight="1">
      <c r="A6536" s="877">
        <v>40096</v>
      </c>
      <c r="B6536" s="880">
        <v>1857.21</v>
      </c>
    </row>
    <row r="6537" spans="1:2" ht="16.149999999999999" customHeight="1">
      <c r="A6537" s="877">
        <v>40097</v>
      </c>
      <c r="B6537" s="878">
        <v>1857.21</v>
      </c>
    </row>
    <row r="6538" spans="1:2" ht="16.149999999999999" customHeight="1">
      <c r="A6538" s="877">
        <v>40098</v>
      </c>
      <c r="B6538" s="880">
        <v>1857.21</v>
      </c>
    </row>
    <row r="6539" spans="1:2" ht="16.149999999999999" customHeight="1">
      <c r="A6539" s="877">
        <v>40099</v>
      </c>
      <c r="B6539" s="878">
        <v>1857.21</v>
      </c>
    </row>
    <row r="6540" spans="1:2" ht="16.149999999999999" customHeight="1">
      <c r="A6540" s="877">
        <v>40100</v>
      </c>
      <c r="B6540" s="880">
        <v>1825.68</v>
      </c>
    </row>
    <row r="6541" spans="1:2" ht="16.149999999999999" customHeight="1">
      <c r="A6541" s="877">
        <v>40101</v>
      </c>
      <c r="B6541" s="878">
        <v>1830.38</v>
      </c>
    </row>
    <row r="6542" spans="1:2" ht="16.149999999999999" customHeight="1">
      <c r="A6542" s="877">
        <v>40102</v>
      </c>
      <c r="B6542" s="880">
        <v>1838.26</v>
      </c>
    </row>
    <row r="6543" spans="1:2" ht="16.149999999999999" customHeight="1">
      <c r="A6543" s="877">
        <v>40103</v>
      </c>
      <c r="B6543" s="878">
        <v>1843.81</v>
      </c>
    </row>
    <row r="6544" spans="1:2" ht="16.149999999999999" customHeight="1">
      <c r="A6544" s="877">
        <v>40104</v>
      </c>
      <c r="B6544" s="880">
        <v>1843.81</v>
      </c>
    </row>
    <row r="6545" spans="1:2" ht="16.149999999999999" customHeight="1">
      <c r="A6545" s="877">
        <v>40105</v>
      </c>
      <c r="B6545" s="878">
        <v>1843.81</v>
      </c>
    </row>
    <row r="6546" spans="1:2" ht="16.149999999999999" customHeight="1">
      <c r="A6546" s="877">
        <v>40106</v>
      </c>
      <c r="B6546" s="880">
        <v>1858.4</v>
      </c>
    </row>
    <row r="6547" spans="1:2" ht="16.149999999999999" customHeight="1">
      <c r="A6547" s="877">
        <v>40107</v>
      </c>
      <c r="B6547" s="878">
        <v>1913.98</v>
      </c>
    </row>
    <row r="6548" spans="1:2" ht="16.149999999999999" customHeight="1">
      <c r="A6548" s="877">
        <v>40108</v>
      </c>
      <c r="B6548" s="880">
        <v>1910.04</v>
      </c>
    </row>
    <row r="6549" spans="1:2" ht="16.149999999999999" customHeight="1">
      <c r="A6549" s="877">
        <v>40109</v>
      </c>
      <c r="B6549" s="878">
        <v>1914.89</v>
      </c>
    </row>
    <row r="6550" spans="1:2" ht="16.149999999999999" customHeight="1">
      <c r="A6550" s="877">
        <v>40110</v>
      </c>
      <c r="B6550" s="880">
        <v>1924.35</v>
      </c>
    </row>
    <row r="6551" spans="1:2" ht="16.149999999999999" customHeight="1">
      <c r="A6551" s="877">
        <v>40111</v>
      </c>
      <c r="B6551" s="878">
        <v>1924.35</v>
      </c>
    </row>
    <row r="6552" spans="1:2" ht="16.149999999999999" customHeight="1">
      <c r="A6552" s="877">
        <v>40112</v>
      </c>
      <c r="B6552" s="880">
        <v>1924.35</v>
      </c>
    </row>
    <row r="6553" spans="1:2" ht="16.149999999999999" customHeight="1">
      <c r="A6553" s="877">
        <v>40113</v>
      </c>
      <c r="B6553" s="878">
        <v>1932.81</v>
      </c>
    </row>
    <row r="6554" spans="1:2" ht="16.149999999999999" customHeight="1">
      <c r="A6554" s="877">
        <v>40114</v>
      </c>
      <c r="B6554" s="880">
        <v>1977.26</v>
      </c>
    </row>
    <row r="6555" spans="1:2" ht="16.149999999999999" customHeight="1">
      <c r="A6555" s="877">
        <v>40115</v>
      </c>
      <c r="B6555" s="878">
        <v>2006.18</v>
      </c>
    </row>
    <row r="6556" spans="1:2" ht="16.149999999999999" customHeight="1">
      <c r="A6556" s="877">
        <v>40116</v>
      </c>
      <c r="B6556" s="880">
        <v>2004.37</v>
      </c>
    </row>
    <row r="6557" spans="1:2" ht="16.149999999999999" customHeight="1">
      <c r="A6557" s="877">
        <v>40117</v>
      </c>
      <c r="B6557" s="878">
        <v>1993.8</v>
      </c>
    </row>
    <row r="6558" spans="1:2" ht="16.149999999999999" customHeight="1">
      <c r="A6558" s="877">
        <v>40118</v>
      </c>
      <c r="B6558" s="880">
        <v>1993.8</v>
      </c>
    </row>
    <row r="6559" spans="1:2" ht="16.149999999999999" customHeight="1">
      <c r="A6559" s="877">
        <v>40119</v>
      </c>
      <c r="B6559" s="878">
        <v>1993.8</v>
      </c>
    </row>
    <row r="6560" spans="1:2" ht="16.149999999999999" customHeight="1">
      <c r="A6560" s="877">
        <v>40120</v>
      </c>
      <c r="B6560" s="880">
        <v>1993.8</v>
      </c>
    </row>
    <row r="6561" spans="1:2" ht="16.149999999999999" customHeight="1">
      <c r="A6561" s="877">
        <v>40121</v>
      </c>
      <c r="B6561" s="878">
        <v>2008.72</v>
      </c>
    </row>
    <row r="6562" spans="1:2" ht="16.149999999999999" customHeight="1">
      <c r="A6562" s="877">
        <v>40122</v>
      </c>
      <c r="B6562" s="880">
        <v>1963.7</v>
      </c>
    </row>
    <row r="6563" spans="1:2" ht="16.149999999999999" customHeight="1">
      <c r="A6563" s="877">
        <v>40123</v>
      </c>
      <c r="B6563" s="878">
        <v>1958.24</v>
      </c>
    </row>
    <row r="6564" spans="1:2" ht="16.149999999999999" customHeight="1">
      <c r="A6564" s="877">
        <v>40124</v>
      </c>
      <c r="B6564" s="880">
        <v>1981.61</v>
      </c>
    </row>
    <row r="6565" spans="1:2" ht="16.149999999999999" customHeight="1">
      <c r="A6565" s="877">
        <v>40125</v>
      </c>
      <c r="B6565" s="878">
        <v>1981.61</v>
      </c>
    </row>
    <row r="6566" spans="1:2" ht="16.149999999999999" customHeight="1">
      <c r="A6566" s="877">
        <v>40126</v>
      </c>
      <c r="B6566" s="880">
        <v>1981.61</v>
      </c>
    </row>
    <row r="6567" spans="1:2" ht="16.149999999999999" customHeight="1">
      <c r="A6567" s="877">
        <v>40127</v>
      </c>
      <c r="B6567" s="878">
        <v>1968.45</v>
      </c>
    </row>
    <row r="6568" spans="1:2" ht="16.149999999999999" customHeight="1">
      <c r="A6568" s="877">
        <v>40128</v>
      </c>
      <c r="B6568" s="880">
        <v>1969.52</v>
      </c>
    </row>
    <row r="6569" spans="1:2" ht="16.149999999999999" customHeight="1">
      <c r="A6569" s="877">
        <v>40129</v>
      </c>
      <c r="B6569" s="878">
        <v>1969.52</v>
      </c>
    </row>
    <row r="6570" spans="1:2" ht="16.149999999999999" customHeight="1">
      <c r="A6570" s="877">
        <v>40130</v>
      </c>
      <c r="B6570" s="880">
        <v>1976.89</v>
      </c>
    </row>
    <row r="6571" spans="1:2" ht="16.149999999999999" customHeight="1">
      <c r="A6571" s="877">
        <v>40131</v>
      </c>
      <c r="B6571" s="878">
        <v>1971.27</v>
      </c>
    </row>
    <row r="6572" spans="1:2" ht="16.149999999999999" customHeight="1">
      <c r="A6572" s="877">
        <v>40132</v>
      </c>
      <c r="B6572" s="880">
        <v>1971.27</v>
      </c>
    </row>
    <row r="6573" spans="1:2" ht="16.149999999999999" customHeight="1">
      <c r="A6573" s="877">
        <v>40133</v>
      </c>
      <c r="B6573" s="878">
        <v>1971.27</v>
      </c>
    </row>
    <row r="6574" spans="1:2" ht="16.149999999999999" customHeight="1">
      <c r="A6574" s="877">
        <v>40134</v>
      </c>
      <c r="B6574" s="880">
        <v>1971.27</v>
      </c>
    </row>
    <row r="6575" spans="1:2" ht="16.149999999999999" customHeight="1">
      <c r="A6575" s="877">
        <v>40135</v>
      </c>
      <c r="B6575" s="878">
        <v>1966.22</v>
      </c>
    </row>
    <row r="6576" spans="1:2" ht="16.149999999999999" customHeight="1">
      <c r="A6576" s="877">
        <v>40136</v>
      </c>
      <c r="B6576" s="880">
        <v>1953.45</v>
      </c>
    </row>
    <row r="6577" spans="1:2" ht="16.149999999999999" customHeight="1">
      <c r="A6577" s="877">
        <v>40137</v>
      </c>
      <c r="B6577" s="878">
        <v>1962.33</v>
      </c>
    </row>
    <row r="6578" spans="1:2" ht="16.149999999999999" customHeight="1">
      <c r="A6578" s="877">
        <v>40138</v>
      </c>
      <c r="B6578" s="880">
        <v>1974.47</v>
      </c>
    </row>
    <row r="6579" spans="1:2" ht="16.149999999999999" customHeight="1">
      <c r="A6579" s="877">
        <v>40139</v>
      </c>
      <c r="B6579" s="878">
        <v>1974.47</v>
      </c>
    </row>
    <row r="6580" spans="1:2" ht="16.149999999999999" customHeight="1">
      <c r="A6580" s="877">
        <v>40140</v>
      </c>
      <c r="B6580" s="880">
        <v>1974.47</v>
      </c>
    </row>
    <row r="6581" spans="1:2" ht="16.149999999999999" customHeight="1">
      <c r="A6581" s="877">
        <v>40141</v>
      </c>
      <c r="B6581" s="878">
        <v>1964.92</v>
      </c>
    </row>
    <row r="6582" spans="1:2" ht="16.149999999999999" customHeight="1">
      <c r="A6582" s="877">
        <v>40142</v>
      </c>
      <c r="B6582" s="880">
        <v>1969.01</v>
      </c>
    </row>
    <row r="6583" spans="1:2" ht="16.149999999999999" customHeight="1">
      <c r="A6583" s="877">
        <v>40143</v>
      </c>
      <c r="B6583" s="878">
        <v>1974.14</v>
      </c>
    </row>
    <row r="6584" spans="1:2" ht="16.149999999999999" customHeight="1">
      <c r="A6584" s="877">
        <v>40144</v>
      </c>
      <c r="B6584" s="880">
        <v>1974.14</v>
      </c>
    </row>
    <row r="6585" spans="1:2" ht="16.149999999999999" customHeight="1">
      <c r="A6585" s="877">
        <v>40145</v>
      </c>
      <c r="B6585" s="878">
        <v>1997.47</v>
      </c>
    </row>
    <row r="6586" spans="1:2" ht="16.149999999999999" customHeight="1">
      <c r="A6586" s="877">
        <v>40146</v>
      </c>
      <c r="B6586" s="880">
        <v>1997.47</v>
      </c>
    </row>
    <row r="6587" spans="1:2" ht="16.149999999999999" customHeight="1">
      <c r="A6587" s="877">
        <v>40147</v>
      </c>
      <c r="B6587" s="878">
        <v>1997.47</v>
      </c>
    </row>
    <row r="6588" spans="1:2" ht="16.149999999999999" customHeight="1">
      <c r="A6588" s="877">
        <v>40148</v>
      </c>
      <c r="B6588" s="880">
        <v>1998.45</v>
      </c>
    </row>
    <row r="6589" spans="1:2" ht="16.149999999999999" customHeight="1">
      <c r="A6589" s="877">
        <v>40149</v>
      </c>
      <c r="B6589" s="878">
        <v>1990.29</v>
      </c>
    </row>
    <row r="6590" spans="1:2" ht="16.149999999999999" customHeight="1">
      <c r="A6590" s="877">
        <v>40150</v>
      </c>
      <c r="B6590" s="880">
        <v>1990.8</v>
      </c>
    </row>
    <row r="6591" spans="1:2" ht="16.149999999999999" customHeight="1">
      <c r="A6591" s="877">
        <v>40151</v>
      </c>
      <c r="B6591" s="878">
        <v>1989.94</v>
      </c>
    </row>
    <row r="6592" spans="1:2" ht="16.149999999999999" customHeight="1">
      <c r="A6592" s="877">
        <v>40152</v>
      </c>
      <c r="B6592" s="880">
        <v>2003.94</v>
      </c>
    </row>
    <row r="6593" spans="1:2" ht="16.149999999999999" customHeight="1">
      <c r="A6593" s="877">
        <v>40153</v>
      </c>
      <c r="B6593" s="878">
        <v>2003.94</v>
      </c>
    </row>
    <row r="6594" spans="1:2" ht="16.149999999999999" customHeight="1">
      <c r="A6594" s="877">
        <v>40154</v>
      </c>
      <c r="B6594" s="880">
        <v>2003.94</v>
      </c>
    </row>
    <row r="6595" spans="1:2" ht="16.149999999999999" customHeight="1">
      <c r="A6595" s="877">
        <v>40155</v>
      </c>
      <c r="B6595" s="878">
        <v>2009.45</v>
      </c>
    </row>
    <row r="6596" spans="1:2" ht="16.149999999999999" customHeight="1">
      <c r="A6596" s="877">
        <v>40156</v>
      </c>
      <c r="B6596" s="880">
        <v>2009.45</v>
      </c>
    </row>
    <row r="6597" spans="1:2" ht="16.149999999999999" customHeight="1">
      <c r="A6597" s="877">
        <v>40157</v>
      </c>
      <c r="B6597" s="878">
        <v>2016.73</v>
      </c>
    </row>
    <row r="6598" spans="1:2" ht="16.149999999999999" customHeight="1">
      <c r="A6598" s="877">
        <v>40158</v>
      </c>
      <c r="B6598" s="880">
        <v>2016.17</v>
      </c>
    </row>
    <row r="6599" spans="1:2" ht="16.149999999999999" customHeight="1">
      <c r="A6599" s="877">
        <v>40159</v>
      </c>
      <c r="B6599" s="878">
        <v>2000.54</v>
      </c>
    </row>
    <row r="6600" spans="1:2" ht="16.149999999999999" customHeight="1">
      <c r="A6600" s="877">
        <v>40160</v>
      </c>
      <c r="B6600" s="880">
        <v>2000.54</v>
      </c>
    </row>
    <row r="6601" spans="1:2" ht="16.149999999999999" customHeight="1">
      <c r="A6601" s="877">
        <v>40161</v>
      </c>
      <c r="B6601" s="878">
        <v>2000.54</v>
      </c>
    </row>
    <row r="6602" spans="1:2" ht="16.149999999999999" customHeight="1">
      <c r="A6602" s="877">
        <v>40162</v>
      </c>
      <c r="B6602" s="880">
        <v>1992.1</v>
      </c>
    </row>
    <row r="6603" spans="1:2" ht="16.149999999999999" customHeight="1">
      <c r="A6603" s="877">
        <v>40163</v>
      </c>
      <c r="B6603" s="878">
        <v>2001.86</v>
      </c>
    </row>
    <row r="6604" spans="1:2" ht="16.149999999999999" customHeight="1">
      <c r="A6604" s="877">
        <v>40164</v>
      </c>
      <c r="B6604" s="880">
        <v>2005.09</v>
      </c>
    </row>
    <row r="6605" spans="1:2" ht="16.149999999999999" customHeight="1">
      <c r="A6605" s="877">
        <v>40165</v>
      </c>
      <c r="B6605" s="878">
        <v>2015.74</v>
      </c>
    </row>
    <row r="6606" spans="1:2" ht="16.149999999999999" customHeight="1">
      <c r="A6606" s="877">
        <v>40166</v>
      </c>
      <c r="B6606" s="880">
        <v>2025.85</v>
      </c>
    </row>
    <row r="6607" spans="1:2" ht="16.149999999999999" customHeight="1">
      <c r="A6607" s="877">
        <v>40167</v>
      </c>
      <c r="B6607" s="878">
        <v>2025.85</v>
      </c>
    </row>
    <row r="6608" spans="1:2" ht="16.149999999999999" customHeight="1">
      <c r="A6608" s="877">
        <v>40168</v>
      </c>
      <c r="B6608" s="880">
        <v>2025.85</v>
      </c>
    </row>
    <row r="6609" spans="1:2" ht="16.149999999999999" customHeight="1">
      <c r="A6609" s="877">
        <v>40169</v>
      </c>
      <c r="B6609" s="878">
        <v>2030.17</v>
      </c>
    </row>
    <row r="6610" spans="1:2" ht="16.149999999999999" customHeight="1">
      <c r="A6610" s="877">
        <v>40170</v>
      </c>
      <c r="B6610" s="880">
        <v>2054.1</v>
      </c>
    </row>
    <row r="6611" spans="1:2" ht="16.149999999999999" customHeight="1">
      <c r="A6611" s="877">
        <v>40171</v>
      </c>
      <c r="B6611" s="878">
        <v>2045.07</v>
      </c>
    </row>
    <row r="6612" spans="1:2" ht="16.149999999999999" customHeight="1">
      <c r="A6612" s="877">
        <v>40172</v>
      </c>
      <c r="B6612" s="880">
        <v>2043.41</v>
      </c>
    </row>
    <row r="6613" spans="1:2" ht="16.149999999999999" customHeight="1">
      <c r="A6613" s="877">
        <v>40173</v>
      </c>
      <c r="B6613" s="878">
        <v>2043.41</v>
      </c>
    </row>
    <row r="6614" spans="1:2" ht="16.149999999999999" customHeight="1">
      <c r="A6614" s="877">
        <v>40174</v>
      </c>
      <c r="B6614" s="880">
        <v>2043.41</v>
      </c>
    </row>
    <row r="6615" spans="1:2" ht="16.149999999999999" customHeight="1">
      <c r="A6615" s="877">
        <v>40175</v>
      </c>
      <c r="B6615" s="878">
        <v>2043.41</v>
      </c>
    </row>
    <row r="6616" spans="1:2" ht="16.149999999999999" customHeight="1">
      <c r="A6616" s="877">
        <v>40176</v>
      </c>
      <c r="B6616" s="880">
        <v>2037.92</v>
      </c>
    </row>
    <row r="6617" spans="1:2" ht="16.149999999999999" customHeight="1">
      <c r="A6617" s="877">
        <v>40177</v>
      </c>
      <c r="B6617" s="878">
        <v>2046.2</v>
      </c>
    </row>
    <row r="6618" spans="1:2" ht="16.149999999999999" customHeight="1">
      <c r="A6618" s="877">
        <v>40178</v>
      </c>
      <c r="B6618" s="880">
        <v>2044.23</v>
      </c>
    </row>
    <row r="6619" spans="1:2" ht="16.149999999999999" customHeight="1">
      <c r="A6619" s="877">
        <v>40179</v>
      </c>
      <c r="B6619" s="878">
        <v>2044.23</v>
      </c>
    </row>
    <row r="6620" spans="1:2" ht="16.149999999999999" customHeight="1">
      <c r="A6620" s="877">
        <v>40180</v>
      </c>
      <c r="B6620" s="880">
        <v>2044.23</v>
      </c>
    </row>
    <row r="6621" spans="1:2" ht="16.149999999999999" customHeight="1">
      <c r="A6621" s="877">
        <v>40181</v>
      </c>
      <c r="B6621" s="878">
        <v>2044.23</v>
      </c>
    </row>
    <row r="6622" spans="1:2" ht="16.149999999999999" customHeight="1">
      <c r="A6622" s="877">
        <v>40182</v>
      </c>
      <c r="B6622" s="880">
        <v>2044.23</v>
      </c>
    </row>
    <row r="6623" spans="1:2" ht="16.149999999999999" customHeight="1">
      <c r="A6623" s="877">
        <v>40183</v>
      </c>
      <c r="B6623" s="878">
        <v>2021.21</v>
      </c>
    </row>
    <row r="6624" spans="1:2" ht="16.149999999999999" customHeight="1">
      <c r="A6624" s="877">
        <v>40184</v>
      </c>
      <c r="B6624" s="880">
        <v>1992.78</v>
      </c>
    </row>
    <row r="6625" spans="1:2" ht="16.149999999999999" customHeight="1">
      <c r="A6625" s="877">
        <v>40185</v>
      </c>
      <c r="B6625" s="878">
        <v>1971.32</v>
      </c>
    </row>
    <row r="6626" spans="1:2" ht="16.149999999999999" customHeight="1">
      <c r="A6626" s="877">
        <v>40186</v>
      </c>
      <c r="B6626" s="880">
        <v>1969.08</v>
      </c>
    </row>
    <row r="6627" spans="1:2" ht="16.149999999999999" customHeight="1">
      <c r="A6627" s="877">
        <v>40187</v>
      </c>
      <c r="B6627" s="878">
        <v>1968.24</v>
      </c>
    </row>
    <row r="6628" spans="1:2" ht="16.149999999999999" customHeight="1">
      <c r="A6628" s="877">
        <v>40188</v>
      </c>
      <c r="B6628" s="880">
        <v>1968.24</v>
      </c>
    </row>
    <row r="6629" spans="1:2" ht="16.149999999999999" customHeight="1">
      <c r="A6629" s="877">
        <v>40189</v>
      </c>
      <c r="B6629" s="878">
        <v>1968.24</v>
      </c>
    </row>
    <row r="6630" spans="1:2" ht="16.149999999999999" customHeight="1">
      <c r="A6630" s="877">
        <v>40190</v>
      </c>
      <c r="B6630" s="880">
        <v>1968.24</v>
      </c>
    </row>
    <row r="6631" spans="1:2" ht="16.149999999999999" customHeight="1">
      <c r="A6631" s="877">
        <v>40191</v>
      </c>
      <c r="B6631" s="878">
        <v>1959.43</v>
      </c>
    </row>
    <row r="6632" spans="1:2" ht="16.149999999999999" customHeight="1">
      <c r="A6632" s="877">
        <v>40192</v>
      </c>
      <c r="B6632" s="880">
        <v>1965.81</v>
      </c>
    </row>
    <row r="6633" spans="1:2" ht="16.149999999999999" customHeight="1">
      <c r="A6633" s="877">
        <v>40193</v>
      </c>
      <c r="B6633" s="878">
        <v>1974.13</v>
      </c>
    </row>
    <row r="6634" spans="1:2" ht="16.149999999999999" customHeight="1">
      <c r="A6634" s="877">
        <v>40194</v>
      </c>
      <c r="B6634" s="880">
        <v>1967.4</v>
      </c>
    </row>
    <row r="6635" spans="1:2" ht="16.149999999999999" customHeight="1">
      <c r="A6635" s="877">
        <v>40195</v>
      </c>
      <c r="B6635" s="878">
        <v>1967.4</v>
      </c>
    </row>
    <row r="6636" spans="1:2" ht="16.149999999999999" customHeight="1">
      <c r="A6636" s="877">
        <v>40196</v>
      </c>
      <c r="B6636" s="880">
        <v>1967.4</v>
      </c>
    </row>
    <row r="6637" spans="1:2" ht="16.149999999999999" customHeight="1">
      <c r="A6637" s="877">
        <v>40197</v>
      </c>
      <c r="B6637" s="878">
        <v>1967.4</v>
      </c>
    </row>
    <row r="6638" spans="1:2" ht="16.149999999999999" customHeight="1">
      <c r="A6638" s="877">
        <v>40198</v>
      </c>
      <c r="B6638" s="880">
        <v>1957.82</v>
      </c>
    </row>
    <row r="6639" spans="1:2" ht="16.149999999999999" customHeight="1">
      <c r="A6639" s="877">
        <v>40199</v>
      </c>
      <c r="B6639" s="878">
        <v>1964.18</v>
      </c>
    </row>
    <row r="6640" spans="1:2" ht="16.149999999999999" customHeight="1">
      <c r="A6640" s="877">
        <v>40200</v>
      </c>
      <c r="B6640" s="880">
        <v>1967.08</v>
      </c>
    </row>
    <row r="6641" spans="1:2" ht="16.149999999999999" customHeight="1">
      <c r="A6641" s="877">
        <v>40201</v>
      </c>
      <c r="B6641" s="878">
        <v>1981.96</v>
      </c>
    </row>
    <row r="6642" spans="1:2" ht="16.149999999999999" customHeight="1">
      <c r="A6642" s="877">
        <v>40202</v>
      </c>
      <c r="B6642" s="880">
        <v>1981.96</v>
      </c>
    </row>
    <row r="6643" spans="1:2" ht="16.149999999999999" customHeight="1">
      <c r="A6643" s="877">
        <v>40203</v>
      </c>
      <c r="B6643" s="878">
        <v>1981.96</v>
      </c>
    </row>
    <row r="6644" spans="1:2" ht="16.149999999999999" customHeight="1">
      <c r="A6644" s="877">
        <v>40204</v>
      </c>
      <c r="B6644" s="880">
        <v>1961.97</v>
      </c>
    </row>
    <row r="6645" spans="1:2" ht="16.149999999999999" customHeight="1">
      <c r="A6645" s="877">
        <v>40205</v>
      </c>
      <c r="B6645" s="878">
        <v>1972.22</v>
      </c>
    </row>
    <row r="6646" spans="1:2" ht="16.149999999999999" customHeight="1">
      <c r="A6646" s="877">
        <v>40206</v>
      </c>
      <c r="B6646" s="880">
        <v>1988.05</v>
      </c>
    </row>
    <row r="6647" spans="1:2" ht="16.149999999999999" customHeight="1">
      <c r="A6647" s="877">
        <v>40207</v>
      </c>
      <c r="B6647" s="878">
        <v>1991.21</v>
      </c>
    </row>
    <row r="6648" spans="1:2" ht="16.149999999999999" customHeight="1">
      <c r="A6648" s="877">
        <v>40208</v>
      </c>
      <c r="B6648" s="880">
        <v>1982.29</v>
      </c>
    </row>
    <row r="6649" spans="1:2" ht="16.149999999999999" customHeight="1">
      <c r="A6649" s="877">
        <v>40209</v>
      </c>
      <c r="B6649" s="878">
        <v>1982.29</v>
      </c>
    </row>
    <row r="6650" spans="1:2" ht="16.149999999999999" customHeight="1">
      <c r="A6650" s="877">
        <v>40210</v>
      </c>
      <c r="B6650" s="880">
        <v>1982.29</v>
      </c>
    </row>
    <row r="6651" spans="1:2" ht="16.149999999999999" customHeight="1">
      <c r="A6651" s="877">
        <v>40211</v>
      </c>
      <c r="B6651" s="878">
        <v>1972.6</v>
      </c>
    </row>
    <row r="6652" spans="1:2" ht="16.149999999999999" customHeight="1">
      <c r="A6652" s="877">
        <v>40212</v>
      </c>
      <c r="B6652" s="880">
        <v>1959.93</v>
      </c>
    </row>
    <row r="6653" spans="1:2" ht="16.149999999999999" customHeight="1">
      <c r="A6653" s="877">
        <v>40213</v>
      </c>
      <c r="B6653" s="878">
        <v>1966.02</v>
      </c>
    </row>
    <row r="6654" spans="1:2" ht="16.149999999999999" customHeight="1">
      <c r="A6654" s="877">
        <v>40214</v>
      </c>
      <c r="B6654" s="880">
        <v>1984.16</v>
      </c>
    </row>
    <row r="6655" spans="1:2" ht="16.149999999999999" customHeight="1">
      <c r="A6655" s="877">
        <v>40215</v>
      </c>
      <c r="B6655" s="878">
        <v>1997.13</v>
      </c>
    </row>
    <row r="6656" spans="1:2" ht="16.149999999999999" customHeight="1">
      <c r="A6656" s="877">
        <v>40216</v>
      </c>
      <c r="B6656" s="880">
        <v>1997.13</v>
      </c>
    </row>
    <row r="6657" spans="1:2" ht="16.149999999999999" customHeight="1">
      <c r="A6657" s="877">
        <v>40217</v>
      </c>
      <c r="B6657" s="878">
        <v>1997.13</v>
      </c>
    </row>
    <row r="6658" spans="1:2" ht="16.149999999999999" customHeight="1">
      <c r="A6658" s="877">
        <v>40218</v>
      </c>
      <c r="B6658" s="880">
        <v>2003.76</v>
      </c>
    </row>
    <row r="6659" spans="1:2" ht="16.149999999999999" customHeight="1">
      <c r="A6659" s="877">
        <v>40219</v>
      </c>
      <c r="B6659" s="878">
        <v>1981.4</v>
      </c>
    </row>
    <row r="6660" spans="1:2" ht="16.149999999999999" customHeight="1">
      <c r="A6660" s="877">
        <v>40220</v>
      </c>
      <c r="B6660" s="880">
        <v>1965.03</v>
      </c>
    </row>
    <row r="6661" spans="1:2" ht="16.149999999999999" customHeight="1">
      <c r="A6661" s="877">
        <v>40221</v>
      </c>
      <c r="B6661" s="878">
        <v>1943.6</v>
      </c>
    </row>
    <row r="6662" spans="1:2" ht="16.149999999999999" customHeight="1">
      <c r="A6662" s="877">
        <v>40222</v>
      </c>
      <c r="B6662" s="880">
        <v>1936.9</v>
      </c>
    </row>
    <row r="6663" spans="1:2" ht="16.149999999999999" customHeight="1">
      <c r="A6663" s="877">
        <v>40223</v>
      </c>
      <c r="B6663" s="878">
        <v>1936.9</v>
      </c>
    </row>
    <row r="6664" spans="1:2" ht="16.149999999999999" customHeight="1">
      <c r="A6664" s="877">
        <v>40224</v>
      </c>
      <c r="B6664" s="880">
        <v>1936.9</v>
      </c>
    </row>
    <row r="6665" spans="1:2" ht="16.149999999999999" customHeight="1">
      <c r="A6665" s="877">
        <v>40225</v>
      </c>
      <c r="B6665" s="878">
        <v>1936.9</v>
      </c>
    </row>
    <row r="6666" spans="1:2" ht="16.149999999999999" customHeight="1">
      <c r="A6666" s="877">
        <v>40226</v>
      </c>
      <c r="B6666" s="880">
        <v>1925.79</v>
      </c>
    </row>
    <row r="6667" spans="1:2" ht="16.149999999999999" customHeight="1">
      <c r="A6667" s="877">
        <v>40227</v>
      </c>
      <c r="B6667" s="878">
        <v>1928.79</v>
      </c>
    </row>
    <row r="6668" spans="1:2" ht="16.149999999999999" customHeight="1">
      <c r="A6668" s="877">
        <v>40228</v>
      </c>
      <c r="B6668" s="880">
        <v>1930.94</v>
      </c>
    </row>
    <row r="6669" spans="1:2" ht="16.149999999999999" customHeight="1">
      <c r="A6669" s="877">
        <v>40229</v>
      </c>
      <c r="B6669" s="878">
        <v>1928.86</v>
      </c>
    </row>
    <row r="6670" spans="1:2" ht="16.149999999999999" customHeight="1">
      <c r="A6670" s="877">
        <v>40230</v>
      </c>
      <c r="B6670" s="880">
        <v>1928.86</v>
      </c>
    </row>
    <row r="6671" spans="1:2" ht="16.149999999999999" customHeight="1">
      <c r="A6671" s="877">
        <v>40231</v>
      </c>
      <c r="B6671" s="878">
        <v>1928.86</v>
      </c>
    </row>
    <row r="6672" spans="1:2" ht="16.149999999999999" customHeight="1">
      <c r="A6672" s="877">
        <v>40232</v>
      </c>
      <c r="B6672" s="880">
        <v>1914.87</v>
      </c>
    </row>
    <row r="6673" spans="1:2" ht="16.149999999999999" customHeight="1">
      <c r="A6673" s="877">
        <v>40233</v>
      </c>
      <c r="B6673" s="878">
        <v>1924.75</v>
      </c>
    </row>
    <row r="6674" spans="1:2" ht="16.149999999999999" customHeight="1">
      <c r="A6674" s="877">
        <v>40234</v>
      </c>
      <c r="B6674" s="880">
        <v>1932.15</v>
      </c>
    </row>
    <row r="6675" spans="1:2" ht="16.149999999999999" customHeight="1">
      <c r="A6675" s="877">
        <v>40235</v>
      </c>
      <c r="B6675" s="878">
        <v>1941.98</v>
      </c>
    </row>
    <row r="6676" spans="1:2" ht="16.149999999999999" customHeight="1">
      <c r="A6676" s="877">
        <v>40236</v>
      </c>
      <c r="B6676" s="880">
        <v>1932.32</v>
      </c>
    </row>
    <row r="6677" spans="1:2" ht="16.149999999999999" customHeight="1">
      <c r="A6677" s="877">
        <v>40237</v>
      </c>
      <c r="B6677" s="878">
        <v>1932.32</v>
      </c>
    </row>
    <row r="6678" spans="1:2" ht="16.149999999999999" customHeight="1">
      <c r="A6678" s="877">
        <v>40238</v>
      </c>
      <c r="B6678" s="880">
        <v>1932.32</v>
      </c>
    </row>
    <row r="6679" spans="1:2" ht="16.149999999999999" customHeight="1">
      <c r="A6679" s="877">
        <v>40239</v>
      </c>
      <c r="B6679" s="878">
        <v>1913.86</v>
      </c>
    </row>
    <row r="6680" spans="1:2" ht="16.149999999999999" customHeight="1">
      <c r="A6680" s="877">
        <v>40240</v>
      </c>
      <c r="B6680" s="880">
        <v>1895.86</v>
      </c>
    </row>
    <row r="6681" spans="1:2" ht="16.149999999999999" customHeight="1">
      <c r="A6681" s="877">
        <v>40241</v>
      </c>
      <c r="B6681" s="878">
        <v>1916.41</v>
      </c>
    </row>
    <row r="6682" spans="1:2" ht="16.149999999999999" customHeight="1">
      <c r="A6682" s="877">
        <v>40242</v>
      </c>
      <c r="B6682" s="880">
        <v>1928.33</v>
      </c>
    </row>
    <row r="6683" spans="1:2" ht="16.149999999999999" customHeight="1">
      <c r="A6683" s="877">
        <v>40243</v>
      </c>
      <c r="B6683" s="878">
        <v>1902.31</v>
      </c>
    </row>
    <row r="6684" spans="1:2" ht="16.149999999999999" customHeight="1">
      <c r="A6684" s="877">
        <v>40244</v>
      </c>
      <c r="B6684" s="880">
        <v>1902.31</v>
      </c>
    </row>
    <row r="6685" spans="1:2" ht="16.149999999999999" customHeight="1">
      <c r="A6685" s="877">
        <v>40245</v>
      </c>
      <c r="B6685" s="878">
        <v>1902.31</v>
      </c>
    </row>
    <row r="6686" spans="1:2" ht="16.149999999999999" customHeight="1">
      <c r="A6686" s="877">
        <v>40246</v>
      </c>
      <c r="B6686" s="880">
        <v>1894.44</v>
      </c>
    </row>
    <row r="6687" spans="1:2" ht="16.149999999999999" customHeight="1">
      <c r="A6687" s="877">
        <v>40247</v>
      </c>
      <c r="B6687" s="878">
        <v>1894.3</v>
      </c>
    </row>
    <row r="6688" spans="1:2" ht="16.149999999999999" customHeight="1">
      <c r="A6688" s="877">
        <v>40248</v>
      </c>
      <c r="B6688" s="880">
        <v>1888.05</v>
      </c>
    </row>
    <row r="6689" spans="1:2" ht="16.149999999999999" customHeight="1">
      <c r="A6689" s="877">
        <v>40249</v>
      </c>
      <c r="B6689" s="878">
        <v>1894.79</v>
      </c>
    </row>
    <row r="6690" spans="1:2" ht="16.149999999999999" customHeight="1">
      <c r="A6690" s="877">
        <v>40250</v>
      </c>
      <c r="B6690" s="880">
        <v>1892.99</v>
      </c>
    </row>
    <row r="6691" spans="1:2" ht="16.149999999999999" customHeight="1">
      <c r="A6691" s="877">
        <v>40251</v>
      </c>
      <c r="B6691" s="878">
        <v>1892.99</v>
      </c>
    </row>
    <row r="6692" spans="1:2" ht="16.149999999999999" customHeight="1">
      <c r="A6692" s="877">
        <v>40252</v>
      </c>
      <c r="B6692" s="880">
        <v>1892.99</v>
      </c>
    </row>
    <row r="6693" spans="1:2" ht="16.149999999999999" customHeight="1">
      <c r="A6693" s="877">
        <v>40253</v>
      </c>
      <c r="B6693" s="878">
        <v>1899.75</v>
      </c>
    </row>
    <row r="6694" spans="1:2" ht="16.149999999999999" customHeight="1">
      <c r="A6694" s="877">
        <v>40254</v>
      </c>
      <c r="B6694" s="880">
        <v>1896.15</v>
      </c>
    </row>
    <row r="6695" spans="1:2" ht="16.149999999999999" customHeight="1">
      <c r="A6695" s="877">
        <v>40255</v>
      </c>
      <c r="B6695" s="878">
        <v>1893.42</v>
      </c>
    </row>
    <row r="6696" spans="1:2" ht="16.149999999999999" customHeight="1">
      <c r="A6696" s="877">
        <v>40256</v>
      </c>
      <c r="B6696" s="880">
        <v>1900.55</v>
      </c>
    </row>
    <row r="6697" spans="1:2" ht="16.149999999999999" customHeight="1">
      <c r="A6697" s="877">
        <v>40257</v>
      </c>
      <c r="B6697" s="878">
        <v>1907.06</v>
      </c>
    </row>
    <row r="6698" spans="1:2" ht="16.149999999999999" customHeight="1">
      <c r="A6698" s="877">
        <v>40258</v>
      </c>
      <c r="B6698" s="880">
        <v>1907.06</v>
      </c>
    </row>
    <row r="6699" spans="1:2" ht="16.149999999999999" customHeight="1">
      <c r="A6699" s="877">
        <v>40259</v>
      </c>
      <c r="B6699" s="878">
        <v>1907.06</v>
      </c>
    </row>
    <row r="6700" spans="1:2" ht="16.149999999999999" customHeight="1">
      <c r="A6700" s="877">
        <v>40260</v>
      </c>
      <c r="B6700" s="880">
        <v>1907.06</v>
      </c>
    </row>
    <row r="6701" spans="1:2" ht="16.149999999999999" customHeight="1">
      <c r="A6701" s="877">
        <v>40261</v>
      </c>
      <c r="B6701" s="878">
        <v>1907.06</v>
      </c>
    </row>
    <row r="6702" spans="1:2" ht="16.149999999999999" customHeight="1">
      <c r="A6702" s="877">
        <v>40262</v>
      </c>
      <c r="B6702" s="880">
        <v>1923.41</v>
      </c>
    </row>
    <row r="6703" spans="1:2" ht="16.149999999999999" customHeight="1">
      <c r="A6703" s="877">
        <v>40263</v>
      </c>
      <c r="B6703" s="878">
        <v>1922.91</v>
      </c>
    </row>
    <row r="6704" spans="1:2" ht="16.149999999999999" customHeight="1">
      <c r="A6704" s="877">
        <v>40264</v>
      </c>
      <c r="B6704" s="880">
        <v>1933.4</v>
      </c>
    </row>
    <row r="6705" spans="1:2" ht="16.149999999999999" customHeight="1">
      <c r="A6705" s="877">
        <v>40265</v>
      </c>
      <c r="B6705" s="878">
        <v>1933.4</v>
      </c>
    </row>
    <row r="6706" spans="1:2" ht="16.149999999999999" customHeight="1">
      <c r="A6706" s="877">
        <v>40266</v>
      </c>
      <c r="B6706" s="880">
        <v>1933.4</v>
      </c>
    </row>
    <row r="6707" spans="1:2" ht="16.149999999999999" customHeight="1">
      <c r="A6707" s="877">
        <v>40267</v>
      </c>
      <c r="B6707" s="878">
        <v>1934.21</v>
      </c>
    </row>
    <row r="6708" spans="1:2" ht="16.149999999999999" customHeight="1">
      <c r="A6708" s="877">
        <v>40268</v>
      </c>
      <c r="B6708" s="880">
        <v>1928.59</v>
      </c>
    </row>
    <row r="6709" spans="1:2" ht="16.149999999999999" customHeight="1">
      <c r="A6709" s="877">
        <v>40269</v>
      </c>
      <c r="B6709" s="878">
        <v>1921.88</v>
      </c>
    </row>
    <row r="6710" spans="1:2" ht="16.149999999999999" customHeight="1">
      <c r="A6710" s="877">
        <v>40270</v>
      </c>
      <c r="B6710" s="880">
        <v>1921.88</v>
      </c>
    </row>
    <row r="6711" spans="1:2" ht="16.149999999999999" customHeight="1">
      <c r="A6711" s="877">
        <v>40271</v>
      </c>
      <c r="B6711" s="878">
        <v>1921.88</v>
      </c>
    </row>
    <row r="6712" spans="1:2" ht="16.149999999999999" customHeight="1">
      <c r="A6712" s="877">
        <v>40272</v>
      </c>
      <c r="B6712" s="880">
        <v>1921.88</v>
      </c>
    </row>
    <row r="6713" spans="1:2" ht="16.149999999999999" customHeight="1">
      <c r="A6713" s="877">
        <v>40273</v>
      </c>
      <c r="B6713" s="878">
        <v>1921.88</v>
      </c>
    </row>
    <row r="6714" spans="1:2" ht="16.149999999999999" customHeight="1">
      <c r="A6714" s="877">
        <v>40274</v>
      </c>
      <c r="B6714" s="880">
        <v>1911.78</v>
      </c>
    </row>
    <row r="6715" spans="1:2" ht="16.149999999999999" customHeight="1">
      <c r="A6715" s="877">
        <v>40275</v>
      </c>
      <c r="B6715" s="878">
        <v>1911.07</v>
      </c>
    </row>
    <row r="6716" spans="1:2" ht="16.149999999999999" customHeight="1">
      <c r="A6716" s="877">
        <v>40276</v>
      </c>
      <c r="B6716" s="880">
        <v>1920.53</v>
      </c>
    </row>
    <row r="6717" spans="1:2" ht="16.149999999999999" customHeight="1">
      <c r="A6717" s="877">
        <v>40277</v>
      </c>
      <c r="B6717" s="878">
        <v>1931.91</v>
      </c>
    </row>
    <row r="6718" spans="1:2" ht="16.149999999999999" customHeight="1">
      <c r="A6718" s="877">
        <v>40278</v>
      </c>
      <c r="B6718" s="880">
        <v>1921.32</v>
      </c>
    </row>
    <row r="6719" spans="1:2" ht="16.149999999999999" customHeight="1">
      <c r="A6719" s="877">
        <v>40279</v>
      </c>
      <c r="B6719" s="878">
        <v>1921.32</v>
      </c>
    </row>
    <row r="6720" spans="1:2" ht="16.149999999999999" customHeight="1">
      <c r="A6720" s="877">
        <v>40280</v>
      </c>
      <c r="B6720" s="880">
        <v>1921.32</v>
      </c>
    </row>
    <row r="6721" spans="1:2" ht="16.149999999999999" customHeight="1">
      <c r="A6721" s="877">
        <v>40281</v>
      </c>
      <c r="B6721" s="878">
        <v>1926.16</v>
      </c>
    </row>
    <row r="6722" spans="1:2" ht="16.149999999999999" customHeight="1">
      <c r="A6722" s="877">
        <v>40282</v>
      </c>
      <c r="B6722" s="880">
        <v>1936.22</v>
      </c>
    </row>
    <row r="6723" spans="1:2" ht="16.149999999999999" customHeight="1">
      <c r="A6723" s="877">
        <v>40283</v>
      </c>
      <c r="B6723" s="878">
        <v>1938.24</v>
      </c>
    </row>
    <row r="6724" spans="1:2" ht="16.149999999999999" customHeight="1">
      <c r="A6724" s="877">
        <v>40284</v>
      </c>
      <c r="B6724" s="880">
        <v>1943.83</v>
      </c>
    </row>
    <row r="6725" spans="1:2" ht="16.149999999999999" customHeight="1">
      <c r="A6725" s="877">
        <v>40285</v>
      </c>
      <c r="B6725" s="878">
        <v>1942.21</v>
      </c>
    </row>
    <row r="6726" spans="1:2" ht="16.149999999999999" customHeight="1">
      <c r="A6726" s="877">
        <v>40286</v>
      </c>
      <c r="B6726" s="880">
        <v>1942.21</v>
      </c>
    </row>
    <row r="6727" spans="1:2" ht="16.149999999999999" customHeight="1">
      <c r="A6727" s="877">
        <v>40287</v>
      </c>
      <c r="B6727" s="878">
        <v>1942.21</v>
      </c>
    </row>
    <row r="6728" spans="1:2" ht="16.149999999999999" customHeight="1">
      <c r="A6728" s="877">
        <v>40288</v>
      </c>
      <c r="B6728" s="880">
        <v>1951.04</v>
      </c>
    </row>
    <row r="6729" spans="1:2" ht="16.149999999999999" customHeight="1">
      <c r="A6729" s="877">
        <v>40289</v>
      </c>
      <c r="B6729" s="878">
        <v>1947.69</v>
      </c>
    </row>
    <row r="6730" spans="1:2" ht="16.149999999999999" customHeight="1">
      <c r="A6730" s="877">
        <v>40290</v>
      </c>
      <c r="B6730" s="880">
        <v>1948.47</v>
      </c>
    </row>
    <row r="6731" spans="1:2" ht="16.149999999999999" customHeight="1">
      <c r="A6731" s="877">
        <v>40291</v>
      </c>
      <c r="B6731" s="878">
        <v>1955.84</v>
      </c>
    </row>
    <row r="6732" spans="1:2" ht="16.149999999999999" customHeight="1">
      <c r="A6732" s="877">
        <v>40292</v>
      </c>
      <c r="B6732" s="880">
        <v>1950.89</v>
      </c>
    </row>
    <row r="6733" spans="1:2" ht="16.149999999999999" customHeight="1">
      <c r="A6733" s="877">
        <v>40293</v>
      </c>
      <c r="B6733" s="878">
        <v>1950.89</v>
      </c>
    </row>
    <row r="6734" spans="1:2" ht="16.149999999999999" customHeight="1">
      <c r="A6734" s="877">
        <v>40294</v>
      </c>
      <c r="B6734" s="880">
        <v>1950.89</v>
      </c>
    </row>
    <row r="6735" spans="1:2" ht="16.149999999999999" customHeight="1">
      <c r="A6735" s="877">
        <v>40295</v>
      </c>
      <c r="B6735" s="878">
        <v>1943.41</v>
      </c>
    </row>
    <row r="6736" spans="1:2" ht="16.149999999999999" customHeight="1">
      <c r="A6736" s="877">
        <v>40296</v>
      </c>
      <c r="B6736" s="880">
        <v>1961.82</v>
      </c>
    </row>
    <row r="6737" spans="1:2" ht="16.149999999999999" customHeight="1">
      <c r="A6737" s="877">
        <v>40297</v>
      </c>
      <c r="B6737" s="878">
        <v>1973.05</v>
      </c>
    </row>
    <row r="6738" spans="1:2" ht="16.149999999999999" customHeight="1">
      <c r="A6738" s="877">
        <v>40298</v>
      </c>
      <c r="B6738" s="880">
        <v>1969.75</v>
      </c>
    </row>
    <row r="6739" spans="1:2" ht="16.149999999999999" customHeight="1">
      <c r="A6739" s="877">
        <v>40299</v>
      </c>
      <c r="B6739" s="878">
        <v>1950.44</v>
      </c>
    </row>
    <row r="6740" spans="1:2" ht="16.149999999999999" customHeight="1">
      <c r="A6740" s="877">
        <v>40300</v>
      </c>
      <c r="B6740" s="880">
        <v>1950.44</v>
      </c>
    </row>
    <row r="6741" spans="1:2" ht="16.149999999999999" customHeight="1">
      <c r="A6741" s="877">
        <v>40301</v>
      </c>
      <c r="B6741" s="878">
        <v>1950.44</v>
      </c>
    </row>
    <row r="6742" spans="1:2" ht="16.149999999999999" customHeight="1">
      <c r="A6742" s="877">
        <v>40302</v>
      </c>
      <c r="B6742" s="880">
        <v>1973.42</v>
      </c>
    </row>
    <row r="6743" spans="1:2" ht="16.149999999999999" customHeight="1">
      <c r="A6743" s="877">
        <v>40303</v>
      </c>
      <c r="B6743" s="878">
        <v>1988.47</v>
      </c>
    </row>
    <row r="6744" spans="1:2" ht="16.149999999999999" customHeight="1">
      <c r="A6744" s="877">
        <v>40304</v>
      </c>
      <c r="B6744" s="880">
        <v>2003.37</v>
      </c>
    </row>
    <row r="6745" spans="1:2" ht="16.149999999999999" customHeight="1">
      <c r="A6745" s="877">
        <v>40305</v>
      </c>
      <c r="B6745" s="878">
        <v>2010.13</v>
      </c>
    </row>
    <row r="6746" spans="1:2" ht="16.149999999999999" customHeight="1">
      <c r="A6746" s="877">
        <v>40306</v>
      </c>
      <c r="B6746" s="880">
        <v>2029.54</v>
      </c>
    </row>
    <row r="6747" spans="1:2" ht="16.149999999999999" customHeight="1">
      <c r="A6747" s="877">
        <v>40307</v>
      </c>
      <c r="B6747" s="878">
        <v>2029.54</v>
      </c>
    </row>
    <row r="6748" spans="1:2" ht="16.149999999999999" customHeight="1">
      <c r="A6748" s="877">
        <v>40308</v>
      </c>
      <c r="B6748" s="880">
        <v>2029.54</v>
      </c>
    </row>
    <row r="6749" spans="1:2" ht="16.149999999999999" customHeight="1">
      <c r="A6749" s="877">
        <v>40309</v>
      </c>
      <c r="B6749" s="878">
        <v>1988.32</v>
      </c>
    </row>
    <row r="6750" spans="1:2" ht="16.149999999999999" customHeight="1">
      <c r="A6750" s="877">
        <v>40310</v>
      </c>
      <c r="B6750" s="880">
        <v>1980.5</v>
      </c>
    </row>
    <row r="6751" spans="1:2" ht="16.149999999999999" customHeight="1">
      <c r="A6751" s="877">
        <v>40311</v>
      </c>
      <c r="B6751" s="878">
        <v>1966.36</v>
      </c>
    </row>
    <row r="6752" spans="1:2" ht="16.149999999999999" customHeight="1">
      <c r="A6752" s="877">
        <v>40312</v>
      </c>
      <c r="B6752" s="880">
        <v>1959.62</v>
      </c>
    </row>
    <row r="6753" spans="1:2" ht="16.149999999999999" customHeight="1">
      <c r="A6753" s="877">
        <v>40313</v>
      </c>
      <c r="B6753" s="878">
        <v>1968.1</v>
      </c>
    </row>
    <row r="6754" spans="1:2" ht="16.149999999999999" customHeight="1">
      <c r="A6754" s="877">
        <v>40314</v>
      </c>
      <c r="B6754" s="880">
        <v>1968.1</v>
      </c>
    </row>
    <row r="6755" spans="1:2" ht="16.149999999999999" customHeight="1">
      <c r="A6755" s="877">
        <v>40315</v>
      </c>
      <c r="B6755" s="878">
        <v>1968.1</v>
      </c>
    </row>
    <row r="6756" spans="1:2" ht="16.149999999999999" customHeight="1">
      <c r="A6756" s="877">
        <v>40316</v>
      </c>
      <c r="B6756" s="880">
        <v>1968.1</v>
      </c>
    </row>
    <row r="6757" spans="1:2" ht="16.149999999999999" customHeight="1">
      <c r="A6757" s="877">
        <v>40317</v>
      </c>
      <c r="B6757" s="878">
        <v>1976.46</v>
      </c>
    </row>
    <row r="6758" spans="1:2" ht="16.149999999999999" customHeight="1">
      <c r="A6758" s="877">
        <v>40318</v>
      </c>
      <c r="B6758" s="880">
        <v>1997.09</v>
      </c>
    </row>
    <row r="6759" spans="1:2" ht="16.149999999999999" customHeight="1">
      <c r="A6759" s="877">
        <v>40319</v>
      </c>
      <c r="B6759" s="878">
        <v>2017.68</v>
      </c>
    </row>
    <row r="6760" spans="1:2" ht="16.149999999999999" customHeight="1">
      <c r="A6760" s="877">
        <v>40320</v>
      </c>
      <c r="B6760" s="880">
        <v>1998.42</v>
      </c>
    </row>
    <row r="6761" spans="1:2" ht="16.149999999999999" customHeight="1">
      <c r="A6761" s="877">
        <v>40321</v>
      </c>
      <c r="B6761" s="878">
        <v>1998.42</v>
      </c>
    </row>
    <row r="6762" spans="1:2" ht="16.149999999999999" customHeight="1">
      <c r="A6762" s="877">
        <v>40322</v>
      </c>
      <c r="B6762" s="880">
        <v>1998.42</v>
      </c>
    </row>
    <row r="6763" spans="1:2" ht="16.149999999999999" customHeight="1">
      <c r="A6763" s="877">
        <v>40323</v>
      </c>
      <c r="B6763" s="878">
        <v>1975.01</v>
      </c>
    </row>
    <row r="6764" spans="1:2" ht="16.149999999999999" customHeight="1">
      <c r="A6764" s="877">
        <v>40324</v>
      </c>
      <c r="B6764" s="880">
        <v>1989.51</v>
      </c>
    </row>
    <row r="6765" spans="1:2" ht="16.149999999999999" customHeight="1">
      <c r="A6765" s="877">
        <v>40325</v>
      </c>
      <c r="B6765" s="878">
        <v>1976.4</v>
      </c>
    </row>
    <row r="6766" spans="1:2" ht="16.149999999999999" customHeight="1">
      <c r="A6766" s="877">
        <v>40326</v>
      </c>
      <c r="B6766" s="880">
        <v>1966.8</v>
      </c>
    </row>
    <row r="6767" spans="1:2" ht="16.149999999999999" customHeight="1">
      <c r="A6767" s="877">
        <v>40327</v>
      </c>
      <c r="B6767" s="878">
        <v>1971.55</v>
      </c>
    </row>
    <row r="6768" spans="1:2" ht="16.149999999999999" customHeight="1">
      <c r="A6768" s="877">
        <v>40328</v>
      </c>
      <c r="B6768" s="880">
        <v>1971.55</v>
      </c>
    </row>
    <row r="6769" spans="1:2" ht="16.149999999999999" customHeight="1">
      <c r="A6769" s="877">
        <v>40329</v>
      </c>
      <c r="B6769" s="878">
        <v>1971.55</v>
      </c>
    </row>
    <row r="6770" spans="1:2" ht="16.149999999999999" customHeight="1">
      <c r="A6770" s="877">
        <v>40330</v>
      </c>
      <c r="B6770" s="880">
        <v>1971.55</v>
      </c>
    </row>
    <row r="6771" spans="1:2" ht="16.149999999999999" customHeight="1">
      <c r="A6771" s="877">
        <v>40331</v>
      </c>
      <c r="B6771" s="878">
        <v>1971.45</v>
      </c>
    </row>
    <row r="6772" spans="1:2" ht="16.149999999999999" customHeight="1">
      <c r="A6772" s="877">
        <v>40332</v>
      </c>
      <c r="B6772" s="880">
        <v>1963.36</v>
      </c>
    </row>
    <row r="6773" spans="1:2" ht="16.149999999999999" customHeight="1">
      <c r="A6773" s="877">
        <v>40333</v>
      </c>
      <c r="B6773" s="878">
        <v>1961.47</v>
      </c>
    </row>
    <row r="6774" spans="1:2" ht="16.149999999999999" customHeight="1">
      <c r="A6774" s="877">
        <v>40334</v>
      </c>
      <c r="B6774" s="880">
        <v>1965.83</v>
      </c>
    </row>
    <row r="6775" spans="1:2" ht="16.149999999999999" customHeight="1">
      <c r="A6775" s="877">
        <v>40335</v>
      </c>
      <c r="B6775" s="878">
        <v>1965.83</v>
      </c>
    </row>
    <row r="6776" spans="1:2" ht="16.149999999999999" customHeight="1">
      <c r="A6776" s="877">
        <v>40336</v>
      </c>
      <c r="B6776" s="880">
        <v>1965.83</v>
      </c>
    </row>
    <row r="6777" spans="1:2" ht="16.149999999999999" customHeight="1">
      <c r="A6777" s="877">
        <v>40337</v>
      </c>
      <c r="B6777" s="878">
        <v>1965.83</v>
      </c>
    </row>
    <row r="6778" spans="1:2" ht="16.149999999999999" customHeight="1">
      <c r="A6778" s="877">
        <v>40338</v>
      </c>
      <c r="B6778" s="880">
        <v>1960.5</v>
      </c>
    </row>
    <row r="6779" spans="1:2" ht="16.149999999999999" customHeight="1">
      <c r="A6779" s="877">
        <v>40339</v>
      </c>
      <c r="B6779" s="878">
        <v>1943.41</v>
      </c>
    </row>
    <row r="6780" spans="1:2" ht="16.149999999999999" customHeight="1">
      <c r="A6780" s="877">
        <v>40340</v>
      </c>
      <c r="B6780" s="880">
        <v>1928.83</v>
      </c>
    </row>
    <row r="6781" spans="1:2" ht="16.149999999999999" customHeight="1">
      <c r="A6781" s="877">
        <v>40341</v>
      </c>
      <c r="B6781" s="878">
        <v>1925.35</v>
      </c>
    </row>
    <row r="6782" spans="1:2" ht="16.149999999999999" customHeight="1">
      <c r="A6782" s="877">
        <v>40342</v>
      </c>
      <c r="B6782" s="880">
        <v>1925.35</v>
      </c>
    </row>
    <row r="6783" spans="1:2" ht="16.149999999999999" customHeight="1">
      <c r="A6783" s="877">
        <v>40343</v>
      </c>
      <c r="B6783" s="878">
        <v>1925.35</v>
      </c>
    </row>
    <row r="6784" spans="1:2" ht="16.149999999999999" customHeight="1">
      <c r="A6784" s="877">
        <v>40344</v>
      </c>
      <c r="B6784" s="880">
        <v>1925.35</v>
      </c>
    </row>
    <row r="6785" spans="1:2" ht="16.149999999999999" customHeight="1">
      <c r="A6785" s="877">
        <v>40345</v>
      </c>
      <c r="B6785" s="878">
        <v>1917.82</v>
      </c>
    </row>
    <row r="6786" spans="1:2" ht="16.149999999999999" customHeight="1">
      <c r="A6786" s="877">
        <v>40346</v>
      </c>
      <c r="B6786" s="880">
        <v>1912.29</v>
      </c>
    </row>
    <row r="6787" spans="1:2" ht="16.149999999999999" customHeight="1">
      <c r="A6787" s="877">
        <v>40347</v>
      </c>
      <c r="B6787" s="878">
        <v>1902.78</v>
      </c>
    </row>
    <row r="6788" spans="1:2" ht="16.149999999999999" customHeight="1">
      <c r="A6788" s="877">
        <v>40348</v>
      </c>
      <c r="B6788" s="880">
        <v>1906.61</v>
      </c>
    </row>
    <row r="6789" spans="1:2" ht="16.149999999999999" customHeight="1">
      <c r="A6789" s="877">
        <v>40349</v>
      </c>
      <c r="B6789" s="878">
        <v>1906.61</v>
      </c>
    </row>
    <row r="6790" spans="1:2" ht="16.149999999999999" customHeight="1">
      <c r="A6790" s="877">
        <v>40350</v>
      </c>
      <c r="B6790" s="880">
        <v>1906.61</v>
      </c>
    </row>
    <row r="6791" spans="1:2" ht="16.149999999999999" customHeight="1">
      <c r="A6791" s="877">
        <v>40351</v>
      </c>
      <c r="B6791" s="878">
        <v>1889.51</v>
      </c>
    </row>
    <row r="6792" spans="1:2" ht="16.149999999999999" customHeight="1">
      <c r="A6792" s="877">
        <v>40352</v>
      </c>
      <c r="B6792" s="880">
        <v>1886.05</v>
      </c>
    </row>
    <row r="6793" spans="1:2" ht="16.149999999999999" customHeight="1">
      <c r="A6793" s="877">
        <v>40353</v>
      </c>
      <c r="B6793" s="878">
        <v>1895.75</v>
      </c>
    </row>
    <row r="6794" spans="1:2" ht="16.149999999999999" customHeight="1">
      <c r="A6794" s="877">
        <v>40354</v>
      </c>
      <c r="B6794" s="880">
        <v>1896.87</v>
      </c>
    </row>
    <row r="6795" spans="1:2" ht="16.149999999999999" customHeight="1">
      <c r="A6795" s="877">
        <v>40355</v>
      </c>
      <c r="B6795" s="878">
        <v>1900.36</v>
      </c>
    </row>
    <row r="6796" spans="1:2" ht="16.149999999999999" customHeight="1">
      <c r="A6796" s="877">
        <v>40356</v>
      </c>
      <c r="B6796" s="880">
        <v>1900.36</v>
      </c>
    </row>
    <row r="6797" spans="1:2" ht="16.149999999999999" customHeight="1">
      <c r="A6797" s="877">
        <v>40357</v>
      </c>
      <c r="B6797" s="878">
        <v>1900.36</v>
      </c>
    </row>
    <row r="6798" spans="1:2" ht="16.149999999999999" customHeight="1">
      <c r="A6798" s="877">
        <v>40358</v>
      </c>
      <c r="B6798" s="880">
        <v>1901.65</v>
      </c>
    </row>
    <row r="6799" spans="1:2" ht="16.149999999999999" customHeight="1">
      <c r="A6799" s="877">
        <v>40359</v>
      </c>
      <c r="B6799" s="878">
        <v>1916.46</v>
      </c>
    </row>
    <row r="6800" spans="1:2" ht="16.149999999999999" customHeight="1">
      <c r="A6800" s="877">
        <v>40360</v>
      </c>
      <c r="B6800" s="880">
        <v>1913.15</v>
      </c>
    </row>
    <row r="6801" spans="1:2" ht="16.149999999999999" customHeight="1">
      <c r="A6801" s="877">
        <v>40361</v>
      </c>
      <c r="B6801" s="878">
        <v>1897.33</v>
      </c>
    </row>
    <row r="6802" spans="1:2" ht="16.149999999999999" customHeight="1">
      <c r="A6802" s="877">
        <v>40362</v>
      </c>
      <c r="B6802" s="880">
        <v>1884.31</v>
      </c>
    </row>
    <row r="6803" spans="1:2" ht="16.149999999999999" customHeight="1">
      <c r="A6803" s="877">
        <v>40363</v>
      </c>
      <c r="B6803" s="878">
        <v>1884.31</v>
      </c>
    </row>
    <row r="6804" spans="1:2" ht="16.149999999999999" customHeight="1">
      <c r="A6804" s="877">
        <v>40364</v>
      </c>
      <c r="B6804" s="880">
        <v>1884.31</v>
      </c>
    </row>
    <row r="6805" spans="1:2" ht="16.149999999999999" customHeight="1">
      <c r="A6805" s="877">
        <v>40365</v>
      </c>
      <c r="B6805" s="878">
        <v>1884.31</v>
      </c>
    </row>
    <row r="6806" spans="1:2" ht="16.149999999999999" customHeight="1">
      <c r="A6806" s="877">
        <v>40366</v>
      </c>
      <c r="B6806" s="880">
        <v>1882.47</v>
      </c>
    </row>
    <row r="6807" spans="1:2" ht="16.149999999999999" customHeight="1">
      <c r="A6807" s="877">
        <v>40367</v>
      </c>
      <c r="B6807" s="878">
        <v>1901.38</v>
      </c>
    </row>
    <row r="6808" spans="1:2" ht="16.149999999999999" customHeight="1">
      <c r="A6808" s="877">
        <v>40368</v>
      </c>
      <c r="B6808" s="880">
        <v>1889.61</v>
      </c>
    </row>
    <row r="6809" spans="1:2" ht="16.149999999999999" customHeight="1">
      <c r="A6809" s="877">
        <v>40369</v>
      </c>
      <c r="B6809" s="878">
        <v>1877.66</v>
      </c>
    </row>
    <row r="6810" spans="1:2" ht="16.149999999999999" customHeight="1">
      <c r="A6810" s="877">
        <v>40370</v>
      </c>
      <c r="B6810" s="880">
        <v>1877.66</v>
      </c>
    </row>
    <row r="6811" spans="1:2" ht="16.149999999999999" customHeight="1">
      <c r="A6811" s="877">
        <v>40371</v>
      </c>
      <c r="B6811" s="878">
        <v>1877.66</v>
      </c>
    </row>
    <row r="6812" spans="1:2" ht="16.149999999999999" customHeight="1">
      <c r="A6812" s="877">
        <v>40372</v>
      </c>
      <c r="B6812" s="880">
        <v>1877.2</v>
      </c>
    </row>
    <row r="6813" spans="1:2" ht="16.149999999999999" customHeight="1">
      <c r="A6813" s="877">
        <v>40373</v>
      </c>
      <c r="B6813" s="878">
        <v>1871.19</v>
      </c>
    </row>
    <row r="6814" spans="1:2" ht="16.149999999999999" customHeight="1">
      <c r="A6814" s="877">
        <v>40374</v>
      </c>
      <c r="B6814" s="880">
        <v>1873.87</v>
      </c>
    </row>
    <row r="6815" spans="1:2" ht="16.149999999999999" customHeight="1">
      <c r="A6815" s="877">
        <v>40375</v>
      </c>
      <c r="B6815" s="878">
        <v>1871.96</v>
      </c>
    </row>
    <row r="6816" spans="1:2" ht="16.149999999999999" customHeight="1">
      <c r="A6816" s="877">
        <v>40376</v>
      </c>
      <c r="B6816" s="880">
        <v>1878.77</v>
      </c>
    </row>
    <row r="6817" spans="1:2" ht="16.149999999999999" customHeight="1">
      <c r="A6817" s="877">
        <v>40377</v>
      </c>
      <c r="B6817" s="878">
        <v>1878.77</v>
      </c>
    </row>
    <row r="6818" spans="1:2" ht="16.149999999999999" customHeight="1">
      <c r="A6818" s="877">
        <v>40378</v>
      </c>
      <c r="B6818" s="880">
        <v>1878.77</v>
      </c>
    </row>
    <row r="6819" spans="1:2" ht="16.149999999999999" customHeight="1">
      <c r="A6819" s="877">
        <v>40379</v>
      </c>
      <c r="B6819" s="878">
        <v>1872.92</v>
      </c>
    </row>
    <row r="6820" spans="1:2" ht="16.149999999999999" customHeight="1">
      <c r="A6820" s="877">
        <v>40380</v>
      </c>
      <c r="B6820" s="880">
        <v>1872.92</v>
      </c>
    </row>
    <row r="6821" spans="1:2" ht="16.149999999999999" customHeight="1">
      <c r="A6821" s="877">
        <v>40381</v>
      </c>
      <c r="B6821" s="878">
        <v>1867.07</v>
      </c>
    </row>
    <row r="6822" spans="1:2" ht="16.149999999999999" customHeight="1">
      <c r="A6822" s="877">
        <v>40382</v>
      </c>
      <c r="B6822" s="880">
        <v>1864.04</v>
      </c>
    </row>
    <row r="6823" spans="1:2" ht="16.149999999999999" customHeight="1">
      <c r="A6823" s="877">
        <v>40383</v>
      </c>
      <c r="B6823" s="878">
        <v>1867.47</v>
      </c>
    </row>
    <row r="6824" spans="1:2" ht="16.149999999999999" customHeight="1">
      <c r="A6824" s="877">
        <v>40384</v>
      </c>
      <c r="B6824" s="880">
        <v>1867.47</v>
      </c>
    </row>
    <row r="6825" spans="1:2" ht="16.149999999999999" customHeight="1">
      <c r="A6825" s="877">
        <v>40385</v>
      </c>
      <c r="B6825" s="878">
        <v>1867.47</v>
      </c>
    </row>
    <row r="6826" spans="1:2" ht="16.149999999999999" customHeight="1">
      <c r="A6826" s="877">
        <v>40386</v>
      </c>
      <c r="B6826" s="880">
        <v>1859.5</v>
      </c>
    </row>
    <row r="6827" spans="1:2" ht="16.149999999999999" customHeight="1">
      <c r="A6827" s="877">
        <v>40387</v>
      </c>
      <c r="B6827" s="878">
        <v>1852.83</v>
      </c>
    </row>
    <row r="6828" spans="1:2" ht="16.149999999999999" customHeight="1">
      <c r="A6828" s="877">
        <v>40388</v>
      </c>
      <c r="B6828" s="880">
        <v>1846.23</v>
      </c>
    </row>
    <row r="6829" spans="1:2" ht="16.149999999999999" customHeight="1">
      <c r="A6829" s="877">
        <v>40389</v>
      </c>
      <c r="B6829" s="878">
        <v>1841.35</v>
      </c>
    </row>
    <row r="6830" spans="1:2" ht="16.149999999999999" customHeight="1">
      <c r="A6830" s="877">
        <v>40390</v>
      </c>
      <c r="B6830" s="880">
        <v>1842.79</v>
      </c>
    </row>
    <row r="6831" spans="1:2" ht="16.149999999999999" customHeight="1">
      <c r="A6831" s="877">
        <v>40391</v>
      </c>
      <c r="B6831" s="878">
        <v>1842.79</v>
      </c>
    </row>
    <row r="6832" spans="1:2" ht="16.149999999999999" customHeight="1">
      <c r="A6832" s="877">
        <v>40392</v>
      </c>
      <c r="B6832" s="880">
        <v>1842.79</v>
      </c>
    </row>
    <row r="6833" spans="1:2" ht="16.149999999999999" customHeight="1">
      <c r="A6833" s="877">
        <v>40393</v>
      </c>
      <c r="B6833" s="878">
        <v>1832.45</v>
      </c>
    </row>
    <row r="6834" spans="1:2" ht="16.149999999999999" customHeight="1">
      <c r="A6834" s="877">
        <v>40394</v>
      </c>
      <c r="B6834" s="880">
        <v>1834.58</v>
      </c>
    </row>
    <row r="6835" spans="1:2" ht="16.149999999999999" customHeight="1">
      <c r="A6835" s="877">
        <v>40395</v>
      </c>
      <c r="B6835" s="878">
        <v>1824.52</v>
      </c>
    </row>
    <row r="6836" spans="1:2" ht="16.149999999999999" customHeight="1">
      <c r="A6836" s="877">
        <v>40396</v>
      </c>
      <c r="B6836" s="880">
        <v>1818.5</v>
      </c>
    </row>
    <row r="6837" spans="1:2" ht="16.149999999999999" customHeight="1">
      <c r="A6837" s="877">
        <v>40397</v>
      </c>
      <c r="B6837" s="878">
        <v>1815.46</v>
      </c>
    </row>
    <row r="6838" spans="1:2" ht="16.149999999999999" customHeight="1">
      <c r="A6838" s="877">
        <v>40398</v>
      </c>
      <c r="B6838" s="880">
        <v>1815.46</v>
      </c>
    </row>
    <row r="6839" spans="1:2" ht="16.149999999999999" customHeight="1">
      <c r="A6839" s="877">
        <v>40399</v>
      </c>
      <c r="B6839" s="878">
        <v>1815.46</v>
      </c>
    </row>
    <row r="6840" spans="1:2" ht="16.149999999999999" customHeight="1">
      <c r="A6840" s="877">
        <v>40400</v>
      </c>
      <c r="B6840" s="880">
        <v>1808.93</v>
      </c>
    </row>
    <row r="6841" spans="1:2" ht="16.149999999999999" customHeight="1">
      <c r="A6841" s="877">
        <v>40401</v>
      </c>
      <c r="B6841" s="878">
        <v>1810.12</v>
      </c>
    </row>
    <row r="6842" spans="1:2" ht="16.149999999999999" customHeight="1">
      <c r="A6842" s="877">
        <v>40402</v>
      </c>
      <c r="B6842" s="880">
        <v>1807.55</v>
      </c>
    </row>
    <row r="6843" spans="1:2" ht="16.149999999999999" customHeight="1">
      <c r="A6843" s="877">
        <v>40403</v>
      </c>
      <c r="B6843" s="878">
        <v>1812.2</v>
      </c>
    </row>
    <row r="6844" spans="1:2" ht="16.149999999999999" customHeight="1">
      <c r="A6844" s="877">
        <v>40404</v>
      </c>
      <c r="B6844" s="880">
        <v>1835.32</v>
      </c>
    </row>
    <row r="6845" spans="1:2" ht="16.149999999999999" customHeight="1">
      <c r="A6845" s="877">
        <v>40405</v>
      </c>
      <c r="B6845" s="878">
        <v>1835.32</v>
      </c>
    </row>
    <row r="6846" spans="1:2" ht="16.149999999999999" customHeight="1">
      <c r="A6846" s="877">
        <v>40406</v>
      </c>
      <c r="B6846" s="880">
        <v>1835.32</v>
      </c>
    </row>
    <row r="6847" spans="1:2" ht="16.149999999999999" customHeight="1">
      <c r="A6847" s="877">
        <v>40407</v>
      </c>
      <c r="B6847" s="878">
        <v>1835.32</v>
      </c>
    </row>
    <row r="6848" spans="1:2" ht="16.149999999999999" customHeight="1">
      <c r="A6848" s="877">
        <v>40408</v>
      </c>
      <c r="B6848" s="880">
        <v>1810.75</v>
      </c>
    </row>
    <row r="6849" spans="1:2" ht="16.149999999999999" customHeight="1">
      <c r="A6849" s="877">
        <v>40409</v>
      </c>
      <c r="B6849" s="878">
        <v>1808.14</v>
      </c>
    </row>
    <row r="6850" spans="1:2" ht="16.149999999999999" customHeight="1">
      <c r="A6850" s="877">
        <v>40410</v>
      </c>
      <c r="B6850" s="880">
        <v>1819.13</v>
      </c>
    </row>
    <row r="6851" spans="1:2" ht="16.149999999999999" customHeight="1">
      <c r="A6851" s="877">
        <v>40411</v>
      </c>
      <c r="B6851" s="878">
        <v>1820.93</v>
      </c>
    </row>
    <row r="6852" spans="1:2" ht="16.149999999999999" customHeight="1">
      <c r="A6852" s="877">
        <v>40412</v>
      </c>
      <c r="B6852" s="880">
        <v>1820.93</v>
      </c>
    </row>
    <row r="6853" spans="1:2" ht="16.149999999999999" customHeight="1">
      <c r="A6853" s="877">
        <v>40413</v>
      </c>
      <c r="B6853" s="878">
        <v>1820.93</v>
      </c>
    </row>
    <row r="6854" spans="1:2" ht="16.149999999999999" customHeight="1">
      <c r="A6854" s="877">
        <v>40414</v>
      </c>
      <c r="B6854" s="880">
        <v>1806.93</v>
      </c>
    </row>
    <row r="6855" spans="1:2" ht="16.149999999999999" customHeight="1">
      <c r="A6855" s="877">
        <v>40415</v>
      </c>
      <c r="B6855" s="878">
        <v>1818.86</v>
      </c>
    </row>
    <row r="6856" spans="1:2" ht="16.149999999999999" customHeight="1">
      <c r="A6856" s="877">
        <v>40416</v>
      </c>
      <c r="B6856" s="880">
        <v>1820.29</v>
      </c>
    </row>
    <row r="6857" spans="1:2" ht="16.149999999999999" customHeight="1">
      <c r="A6857" s="877">
        <v>40417</v>
      </c>
      <c r="B6857" s="878">
        <v>1811.46</v>
      </c>
    </row>
    <row r="6858" spans="1:2" ht="16.149999999999999" customHeight="1">
      <c r="A6858" s="877">
        <v>40418</v>
      </c>
      <c r="B6858" s="880">
        <v>1817.68</v>
      </c>
    </row>
    <row r="6859" spans="1:2" ht="16.149999999999999" customHeight="1">
      <c r="A6859" s="877">
        <v>40419</v>
      </c>
      <c r="B6859" s="878">
        <v>1817.68</v>
      </c>
    </row>
    <row r="6860" spans="1:2" ht="16.149999999999999" customHeight="1">
      <c r="A6860" s="877">
        <v>40420</v>
      </c>
      <c r="B6860" s="880">
        <v>1817.68</v>
      </c>
    </row>
    <row r="6861" spans="1:2" ht="16.149999999999999" customHeight="1">
      <c r="A6861" s="877">
        <v>40421</v>
      </c>
      <c r="B6861" s="878">
        <v>1823.74</v>
      </c>
    </row>
    <row r="6862" spans="1:2" ht="16.149999999999999" customHeight="1">
      <c r="A6862" s="877">
        <v>40422</v>
      </c>
      <c r="B6862" s="880">
        <v>1826.31</v>
      </c>
    </row>
    <row r="6863" spans="1:2" ht="16.149999999999999" customHeight="1">
      <c r="A6863" s="877">
        <v>40423</v>
      </c>
      <c r="B6863" s="878">
        <v>1815.09</v>
      </c>
    </row>
    <row r="6864" spans="1:2" ht="16.149999999999999" customHeight="1">
      <c r="A6864" s="877">
        <v>40424</v>
      </c>
      <c r="B6864" s="880">
        <v>1810.65</v>
      </c>
    </row>
    <row r="6865" spans="1:2" ht="16.149999999999999" customHeight="1">
      <c r="A6865" s="877">
        <v>40425</v>
      </c>
      <c r="B6865" s="878">
        <v>1807.73</v>
      </c>
    </row>
    <row r="6866" spans="1:2" ht="16.149999999999999" customHeight="1">
      <c r="A6866" s="877">
        <v>40426</v>
      </c>
      <c r="B6866" s="880">
        <v>1807.73</v>
      </c>
    </row>
    <row r="6867" spans="1:2" ht="16.149999999999999" customHeight="1">
      <c r="A6867" s="877">
        <v>40427</v>
      </c>
      <c r="B6867" s="878">
        <v>1807.73</v>
      </c>
    </row>
    <row r="6868" spans="1:2" ht="16.149999999999999" customHeight="1">
      <c r="A6868" s="877">
        <v>40428</v>
      </c>
      <c r="B6868" s="880">
        <v>1807.73</v>
      </c>
    </row>
    <row r="6869" spans="1:2" ht="16.149999999999999" customHeight="1">
      <c r="A6869" s="877">
        <v>40429</v>
      </c>
      <c r="B6869" s="878">
        <v>1808.65</v>
      </c>
    </row>
    <row r="6870" spans="1:2" ht="16.149999999999999" customHeight="1">
      <c r="A6870" s="877">
        <v>40430</v>
      </c>
      <c r="B6870" s="880">
        <v>1803</v>
      </c>
    </row>
    <row r="6871" spans="1:2" ht="16.149999999999999" customHeight="1">
      <c r="A6871" s="877">
        <v>40431</v>
      </c>
      <c r="B6871" s="878">
        <v>1802.54</v>
      </c>
    </row>
    <row r="6872" spans="1:2" ht="16.149999999999999" customHeight="1">
      <c r="A6872" s="877">
        <v>40432</v>
      </c>
      <c r="B6872" s="880">
        <v>1801.04</v>
      </c>
    </row>
    <row r="6873" spans="1:2" ht="16.149999999999999" customHeight="1">
      <c r="A6873" s="877">
        <v>40433</v>
      </c>
      <c r="B6873" s="878">
        <v>1801.04</v>
      </c>
    </row>
    <row r="6874" spans="1:2" ht="16.149999999999999" customHeight="1">
      <c r="A6874" s="877">
        <v>40434</v>
      </c>
      <c r="B6874" s="880">
        <v>1801.04</v>
      </c>
    </row>
    <row r="6875" spans="1:2" ht="16.149999999999999" customHeight="1">
      <c r="A6875" s="877">
        <v>40435</v>
      </c>
      <c r="B6875" s="878">
        <v>1793.28</v>
      </c>
    </row>
    <row r="6876" spans="1:2" ht="16.149999999999999" customHeight="1">
      <c r="A6876" s="877">
        <v>40436</v>
      </c>
      <c r="B6876" s="880">
        <v>1788.05</v>
      </c>
    </row>
    <row r="6877" spans="1:2" ht="16.149999999999999" customHeight="1">
      <c r="A6877" s="877">
        <v>40437</v>
      </c>
      <c r="B6877" s="878">
        <v>1806.78</v>
      </c>
    </row>
    <row r="6878" spans="1:2" ht="16.149999999999999" customHeight="1">
      <c r="A6878" s="877">
        <v>40438</v>
      </c>
      <c r="B6878" s="880">
        <v>1811.55</v>
      </c>
    </row>
    <row r="6879" spans="1:2" ht="16.149999999999999" customHeight="1">
      <c r="A6879" s="877">
        <v>40439</v>
      </c>
      <c r="B6879" s="878">
        <v>1806.76</v>
      </c>
    </row>
    <row r="6880" spans="1:2" ht="16.149999999999999" customHeight="1">
      <c r="A6880" s="877">
        <v>40440</v>
      </c>
      <c r="B6880" s="880">
        <v>1806.76</v>
      </c>
    </row>
    <row r="6881" spans="1:2" ht="16.149999999999999" customHeight="1">
      <c r="A6881" s="877">
        <v>40441</v>
      </c>
      <c r="B6881" s="878">
        <v>1806.76</v>
      </c>
    </row>
    <row r="6882" spans="1:2" ht="16.149999999999999" customHeight="1">
      <c r="A6882" s="877">
        <v>40442</v>
      </c>
      <c r="B6882" s="880">
        <v>1798.73</v>
      </c>
    </row>
    <row r="6883" spans="1:2" ht="16.149999999999999" customHeight="1">
      <c r="A6883" s="877">
        <v>40443</v>
      </c>
      <c r="B6883" s="878">
        <v>1805.31</v>
      </c>
    </row>
    <row r="6884" spans="1:2" ht="16.149999999999999" customHeight="1">
      <c r="A6884" s="877">
        <v>40444</v>
      </c>
      <c r="B6884" s="880">
        <v>1803.71</v>
      </c>
    </row>
    <row r="6885" spans="1:2" ht="16.149999999999999" customHeight="1">
      <c r="A6885" s="877">
        <v>40445</v>
      </c>
      <c r="B6885" s="878">
        <v>1810.72</v>
      </c>
    </row>
    <row r="6886" spans="1:2" ht="16.149999999999999" customHeight="1">
      <c r="A6886" s="877">
        <v>40446</v>
      </c>
      <c r="B6886" s="880">
        <v>1809.46</v>
      </c>
    </row>
    <row r="6887" spans="1:2" ht="16.149999999999999" customHeight="1">
      <c r="A6887" s="877">
        <v>40447</v>
      </c>
      <c r="B6887" s="878">
        <v>1809.46</v>
      </c>
    </row>
    <row r="6888" spans="1:2" ht="16.149999999999999" customHeight="1">
      <c r="A6888" s="877">
        <v>40448</v>
      </c>
      <c r="B6888" s="880">
        <v>1809.46</v>
      </c>
    </row>
    <row r="6889" spans="1:2" ht="16.149999999999999" customHeight="1">
      <c r="A6889" s="877">
        <v>40449</v>
      </c>
      <c r="B6889" s="878">
        <v>1802.15</v>
      </c>
    </row>
    <row r="6890" spans="1:2" ht="16.149999999999999" customHeight="1">
      <c r="A6890" s="877">
        <v>40450</v>
      </c>
      <c r="B6890" s="880">
        <v>1804.06</v>
      </c>
    </row>
    <row r="6891" spans="1:2" ht="16.149999999999999" customHeight="1">
      <c r="A6891" s="877">
        <v>40451</v>
      </c>
      <c r="B6891" s="878">
        <v>1799.89</v>
      </c>
    </row>
    <row r="6892" spans="1:2" ht="16.149999999999999" customHeight="1">
      <c r="A6892" s="877">
        <v>40452</v>
      </c>
      <c r="B6892" s="880">
        <v>1801.01</v>
      </c>
    </row>
    <row r="6893" spans="1:2" ht="16.149999999999999" customHeight="1">
      <c r="A6893" s="877">
        <v>40453</v>
      </c>
      <c r="B6893" s="878">
        <v>1795.93</v>
      </c>
    </row>
    <row r="6894" spans="1:2" ht="16.149999999999999" customHeight="1">
      <c r="A6894" s="877">
        <v>40454</v>
      </c>
      <c r="B6894" s="880">
        <v>1795.93</v>
      </c>
    </row>
    <row r="6895" spans="1:2" ht="16.149999999999999" customHeight="1">
      <c r="A6895" s="877">
        <v>40455</v>
      </c>
      <c r="B6895" s="878">
        <v>1795.93</v>
      </c>
    </row>
    <row r="6896" spans="1:2" ht="16.149999999999999" customHeight="1">
      <c r="A6896" s="877">
        <v>40456</v>
      </c>
      <c r="B6896" s="880">
        <v>1802.09</v>
      </c>
    </row>
    <row r="6897" spans="1:2" ht="16.149999999999999" customHeight="1">
      <c r="A6897" s="877">
        <v>40457</v>
      </c>
      <c r="B6897" s="878">
        <v>1802.43</v>
      </c>
    </row>
    <row r="6898" spans="1:2" ht="16.149999999999999" customHeight="1">
      <c r="A6898" s="877">
        <v>40458</v>
      </c>
      <c r="B6898" s="880">
        <v>1796.29</v>
      </c>
    </row>
    <row r="6899" spans="1:2" ht="16.149999999999999" customHeight="1">
      <c r="A6899" s="877">
        <v>40459</v>
      </c>
      <c r="B6899" s="878">
        <v>1786.2</v>
      </c>
    </row>
    <row r="6900" spans="1:2" ht="16.149999999999999" customHeight="1">
      <c r="A6900" s="877">
        <v>40460</v>
      </c>
      <c r="B6900" s="880">
        <v>1786.37</v>
      </c>
    </row>
    <row r="6901" spans="1:2" ht="16.149999999999999" customHeight="1">
      <c r="A6901" s="877">
        <v>40461</v>
      </c>
      <c r="B6901" s="878">
        <v>1786.37</v>
      </c>
    </row>
    <row r="6902" spans="1:2" ht="16.149999999999999" customHeight="1">
      <c r="A6902" s="877">
        <v>40462</v>
      </c>
      <c r="B6902" s="880">
        <v>1786.37</v>
      </c>
    </row>
    <row r="6903" spans="1:2" ht="16.149999999999999" customHeight="1">
      <c r="A6903" s="877">
        <v>40463</v>
      </c>
      <c r="B6903" s="878">
        <v>1786.37</v>
      </c>
    </row>
    <row r="6904" spans="1:2" ht="16.149999999999999" customHeight="1">
      <c r="A6904" s="877">
        <v>40464</v>
      </c>
      <c r="B6904" s="880">
        <v>1786.77</v>
      </c>
    </row>
    <row r="6905" spans="1:2" ht="16.149999999999999" customHeight="1">
      <c r="A6905" s="877">
        <v>40465</v>
      </c>
      <c r="B6905" s="878">
        <v>1791.56</v>
      </c>
    </row>
    <row r="6906" spans="1:2" ht="16.149999999999999" customHeight="1">
      <c r="A6906" s="877">
        <v>40466</v>
      </c>
      <c r="B6906" s="880">
        <v>1801.2</v>
      </c>
    </row>
    <row r="6907" spans="1:2" ht="16.149999999999999" customHeight="1">
      <c r="A6907" s="877">
        <v>40467</v>
      </c>
      <c r="B6907" s="878">
        <v>1807.88</v>
      </c>
    </row>
    <row r="6908" spans="1:2" ht="16.149999999999999" customHeight="1">
      <c r="A6908" s="877">
        <v>40468</v>
      </c>
      <c r="B6908" s="880">
        <v>1807.88</v>
      </c>
    </row>
    <row r="6909" spans="1:2" ht="16.149999999999999" customHeight="1">
      <c r="A6909" s="877">
        <v>40469</v>
      </c>
      <c r="B6909" s="878">
        <v>1807.88</v>
      </c>
    </row>
    <row r="6910" spans="1:2" ht="16.149999999999999" customHeight="1">
      <c r="A6910" s="877">
        <v>40470</v>
      </c>
      <c r="B6910" s="880">
        <v>1807.88</v>
      </c>
    </row>
    <row r="6911" spans="1:2" ht="16.149999999999999" customHeight="1">
      <c r="A6911" s="877">
        <v>40471</v>
      </c>
      <c r="B6911" s="878">
        <v>1817.45</v>
      </c>
    </row>
    <row r="6912" spans="1:2" ht="16.149999999999999" customHeight="1">
      <c r="A6912" s="877">
        <v>40472</v>
      </c>
      <c r="B6912" s="880">
        <v>1812.6</v>
      </c>
    </row>
    <row r="6913" spans="1:2" ht="16.149999999999999" customHeight="1">
      <c r="A6913" s="877">
        <v>40473</v>
      </c>
      <c r="B6913" s="878">
        <v>1816.28</v>
      </c>
    </row>
    <row r="6914" spans="1:2" ht="16.149999999999999" customHeight="1">
      <c r="A6914" s="877">
        <v>40474</v>
      </c>
      <c r="B6914" s="880">
        <v>1823.05</v>
      </c>
    </row>
    <row r="6915" spans="1:2" ht="16.149999999999999" customHeight="1">
      <c r="A6915" s="877">
        <v>40475</v>
      </c>
      <c r="B6915" s="878">
        <v>1823.05</v>
      </c>
    </row>
    <row r="6916" spans="1:2" ht="16.149999999999999" customHeight="1">
      <c r="A6916" s="877">
        <v>40476</v>
      </c>
      <c r="B6916" s="880">
        <v>1823.05</v>
      </c>
    </row>
    <row r="6917" spans="1:2" ht="16.149999999999999" customHeight="1">
      <c r="A6917" s="877">
        <v>40477</v>
      </c>
      <c r="B6917" s="878">
        <v>1830.96</v>
      </c>
    </row>
    <row r="6918" spans="1:2" ht="16.149999999999999" customHeight="1">
      <c r="A6918" s="877">
        <v>40478</v>
      </c>
      <c r="B6918" s="880">
        <v>1838.45</v>
      </c>
    </row>
    <row r="6919" spans="1:2" ht="16.149999999999999" customHeight="1">
      <c r="A6919" s="877">
        <v>40479</v>
      </c>
      <c r="B6919" s="878">
        <v>1846.41</v>
      </c>
    </row>
    <row r="6920" spans="1:2" ht="16.149999999999999" customHeight="1">
      <c r="A6920" s="877">
        <v>40480</v>
      </c>
      <c r="B6920" s="880">
        <v>1839.9</v>
      </c>
    </row>
    <row r="6921" spans="1:2" ht="16.149999999999999" customHeight="1">
      <c r="A6921" s="877">
        <v>40481</v>
      </c>
      <c r="B6921" s="878">
        <v>1831.64</v>
      </c>
    </row>
    <row r="6922" spans="1:2" ht="16.149999999999999" customHeight="1">
      <c r="A6922" s="877">
        <v>40482</v>
      </c>
      <c r="B6922" s="880">
        <v>1831.64</v>
      </c>
    </row>
    <row r="6923" spans="1:2" ht="16.149999999999999" customHeight="1">
      <c r="A6923" s="877">
        <v>40483</v>
      </c>
      <c r="B6923" s="878">
        <v>1831.64</v>
      </c>
    </row>
    <row r="6924" spans="1:2" ht="16.149999999999999" customHeight="1">
      <c r="A6924" s="877">
        <v>40484</v>
      </c>
      <c r="B6924" s="880">
        <v>1831.64</v>
      </c>
    </row>
    <row r="6925" spans="1:2" ht="16.149999999999999" customHeight="1">
      <c r="A6925" s="877">
        <v>40485</v>
      </c>
      <c r="B6925" s="878">
        <v>1845.51</v>
      </c>
    </row>
    <row r="6926" spans="1:2" ht="16.149999999999999" customHeight="1">
      <c r="A6926" s="877">
        <v>40486</v>
      </c>
      <c r="B6926" s="880">
        <v>1840.51</v>
      </c>
    </row>
    <row r="6927" spans="1:2" ht="16.149999999999999" customHeight="1">
      <c r="A6927" s="877">
        <v>40487</v>
      </c>
      <c r="B6927" s="878">
        <v>1821.05</v>
      </c>
    </row>
    <row r="6928" spans="1:2" ht="16.149999999999999" customHeight="1">
      <c r="A6928" s="877">
        <v>40488</v>
      </c>
      <c r="B6928" s="880">
        <v>1817.7</v>
      </c>
    </row>
    <row r="6929" spans="1:2" ht="16.149999999999999" customHeight="1">
      <c r="A6929" s="877">
        <v>40489</v>
      </c>
      <c r="B6929" s="878">
        <v>1817.7</v>
      </c>
    </row>
    <row r="6930" spans="1:2" ht="16.149999999999999" customHeight="1">
      <c r="A6930" s="877">
        <v>40490</v>
      </c>
      <c r="B6930" s="880">
        <v>1817.7</v>
      </c>
    </row>
    <row r="6931" spans="1:2" ht="16.149999999999999" customHeight="1">
      <c r="A6931" s="877">
        <v>40491</v>
      </c>
      <c r="B6931" s="878">
        <v>1828.28</v>
      </c>
    </row>
    <row r="6932" spans="1:2" ht="16.149999999999999" customHeight="1">
      <c r="A6932" s="877">
        <v>40492</v>
      </c>
      <c r="B6932" s="880">
        <v>1836.27</v>
      </c>
    </row>
    <row r="6933" spans="1:2" ht="16.149999999999999" customHeight="1">
      <c r="A6933" s="877">
        <v>40493</v>
      </c>
      <c r="B6933" s="878">
        <v>1858.01</v>
      </c>
    </row>
    <row r="6934" spans="1:2" ht="16.149999999999999" customHeight="1">
      <c r="A6934" s="877">
        <v>40494</v>
      </c>
      <c r="B6934" s="880">
        <v>1858.01</v>
      </c>
    </row>
    <row r="6935" spans="1:2" ht="16.149999999999999" customHeight="1">
      <c r="A6935" s="877">
        <v>40495</v>
      </c>
      <c r="B6935" s="878">
        <v>1861.74</v>
      </c>
    </row>
    <row r="6936" spans="1:2" ht="16.149999999999999" customHeight="1">
      <c r="A6936" s="877">
        <v>40496</v>
      </c>
      <c r="B6936" s="880">
        <v>1861.74</v>
      </c>
    </row>
    <row r="6937" spans="1:2" ht="16.149999999999999" customHeight="1">
      <c r="A6937" s="877">
        <v>40497</v>
      </c>
      <c r="B6937" s="878">
        <v>1861.74</v>
      </c>
    </row>
    <row r="6938" spans="1:2" ht="16.149999999999999" customHeight="1">
      <c r="A6938" s="877">
        <v>40498</v>
      </c>
      <c r="B6938" s="880">
        <v>1861.74</v>
      </c>
    </row>
    <row r="6939" spans="1:2" ht="16.149999999999999" customHeight="1">
      <c r="A6939" s="877">
        <v>40499</v>
      </c>
      <c r="B6939" s="878">
        <v>1880.98</v>
      </c>
    </row>
    <row r="6940" spans="1:2" ht="16.149999999999999" customHeight="1">
      <c r="A6940" s="877">
        <v>40500</v>
      </c>
      <c r="B6940" s="880">
        <v>1875.78</v>
      </c>
    </row>
    <row r="6941" spans="1:2" ht="16.149999999999999" customHeight="1">
      <c r="A6941" s="877">
        <v>40501</v>
      </c>
      <c r="B6941" s="878">
        <v>1865.82</v>
      </c>
    </row>
    <row r="6942" spans="1:2" ht="16.149999999999999" customHeight="1">
      <c r="A6942" s="877">
        <v>40502</v>
      </c>
      <c r="B6942" s="880">
        <v>1875.39</v>
      </c>
    </row>
    <row r="6943" spans="1:2" ht="16.149999999999999" customHeight="1">
      <c r="A6943" s="877">
        <v>40503</v>
      </c>
      <c r="B6943" s="878">
        <v>1875.39</v>
      </c>
    </row>
    <row r="6944" spans="1:2" ht="16.149999999999999" customHeight="1">
      <c r="A6944" s="877">
        <v>40504</v>
      </c>
      <c r="B6944" s="880">
        <v>1875.39</v>
      </c>
    </row>
    <row r="6945" spans="1:2" ht="16.149999999999999" customHeight="1">
      <c r="A6945" s="877">
        <v>40505</v>
      </c>
      <c r="B6945" s="878">
        <v>1882</v>
      </c>
    </row>
    <row r="6946" spans="1:2" ht="16.149999999999999" customHeight="1">
      <c r="A6946" s="877">
        <v>40506</v>
      </c>
      <c r="B6946" s="880">
        <v>1892.84</v>
      </c>
    </row>
    <row r="6947" spans="1:2" ht="16.149999999999999" customHeight="1">
      <c r="A6947" s="877">
        <v>40507</v>
      </c>
      <c r="B6947" s="878">
        <v>1889.11</v>
      </c>
    </row>
    <row r="6948" spans="1:2" ht="16.149999999999999" customHeight="1">
      <c r="A6948" s="877">
        <v>40508</v>
      </c>
      <c r="B6948" s="880">
        <v>1889.11</v>
      </c>
    </row>
    <row r="6949" spans="1:2" ht="16.149999999999999" customHeight="1">
      <c r="A6949" s="877">
        <v>40509</v>
      </c>
      <c r="B6949" s="878">
        <v>1906.69</v>
      </c>
    </row>
    <row r="6950" spans="1:2" ht="16.149999999999999" customHeight="1">
      <c r="A6950" s="877">
        <v>40510</v>
      </c>
      <c r="B6950" s="880">
        <v>1906.69</v>
      </c>
    </row>
    <row r="6951" spans="1:2" ht="16.149999999999999" customHeight="1">
      <c r="A6951" s="877">
        <v>40511</v>
      </c>
      <c r="B6951" s="878">
        <v>1906.69</v>
      </c>
    </row>
    <row r="6952" spans="1:2" ht="16.149999999999999" customHeight="1">
      <c r="A6952" s="877">
        <v>40512</v>
      </c>
      <c r="B6952" s="880">
        <v>1916.96</v>
      </c>
    </row>
    <row r="6953" spans="1:2" ht="16.149999999999999" customHeight="1">
      <c r="A6953" s="877">
        <v>40513</v>
      </c>
      <c r="B6953" s="878">
        <v>1932.63</v>
      </c>
    </row>
    <row r="6954" spans="1:2" ht="16.149999999999999" customHeight="1">
      <c r="A6954" s="877">
        <v>40514</v>
      </c>
      <c r="B6954" s="880">
        <v>1933.58</v>
      </c>
    </row>
    <row r="6955" spans="1:2" ht="16.149999999999999" customHeight="1">
      <c r="A6955" s="877">
        <v>40515</v>
      </c>
      <c r="B6955" s="878">
        <v>1920</v>
      </c>
    </row>
    <row r="6956" spans="1:2" ht="16.149999999999999" customHeight="1">
      <c r="A6956" s="877">
        <v>40516</v>
      </c>
      <c r="B6956" s="880">
        <v>1896.73</v>
      </c>
    </row>
    <row r="6957" spans="1:2" ht="16.149999999999999" customHeight="1">
      <c r="A6957" s="877">
        <v>40517</v>
      </c>
      <c r="B6957" s="878">
        <v>1896.73</v>
      </c>
    </row>
    <row r="6958" spans="1:2" ht="16.149999999999999" customHeight="1">
      <c r="A6958" s="877">
        <v>40518</v>
      </c>
      <c r="B6958" s="880">
        <v>1896.73</v>
      </c>
    </row>
    <row r="6959" spans="1:2" ht="16.149999999999999" customHeight="1">
      <c r="A6959" s="877">
        <v>40519</v>
      </c>
      <c r="B6959" s="878">
        <v>1889.75</v>
      </c>
    </row>
    <row r="6960" spans="1:2" ht="16.149999999999999" customHeight="1">
      <c r="A6960" s="877">
        <v>40520</v>
      </c>
      <c r="B6960" s="880">
        <v>1880.82</v>
      </c>
    </row>
    <row r="6961" spans="1:2" ht="16.149999999999999" customHeight="1">
      <c r="A6961" s="877">
        <v>40521</v>
      </c>
      <c r="B6961" s="878">
        <v>1880.82</v>
      </c>
    </row>
    <row r="6962" spans="1:2" ht="16.149999999999999" customHeight="1">
      <c r="A6962" s="877">
        <v>40522</v>
      </c>
      <c r="B6962" s="880">
        <v>1902.72</v>
      </c>
    </row>
    <row r="6963" spans="1:2" ht="16.149999999999999" customHeight="1">
      <c r="A6963" s="877">
        <v>40523</v>
      </c>
      <c r="B6963" s="878">
        <v>1911.87</v>
      </c>
    </row>
    <row r="6964" spans="1:2" ht="16.149999999999999" customHeight="1">
      <c r="A6964" s="877">
        <v>40524</v>
      </c>
      <c r="B6964" s="880">
        <v>1911.87</v>
      </c>
    </row>
    <row r="6965" spans="1:2" ht="16.149999999999999" customHeight="1">
      <c r="A6965" s="877">
        <v>40525</v>
      </c>
      <c r="B6965" s="878">
        <v>1911.87</v>
      </c>
    </row>
    <row r="6966" spans="1:2" ht="16.149999999999999" customHeight="1">
      <c r="A6966" s="877">
        <v>40526</v>
      </c>
      <c r="B6966" s="880">
        <v>1894.12</v>
      </c>
    </row>
    <row r="6967" spans="1:2" ht="16.149999999999999" customHeight="1">
      <c r="A6967" s="877">
        <v>40527</v>
      </c>
      <c r="B6967" s="878">
        <v>1899.89</v>
      </c>
    </row>
    <row r="6968" spans="1:2" ht="16.149999999999999" customHeight="1">
      <c r="A6968" s="877">
        <v>40528</v>
      </c>
      <c r="B6968" s="880">
        <v>1905.84</v>
      </c>
    </row>
    <row r="6969" spans="1:2" ht="16.149999999999999" customHeight="1">
      <c r="A6969" s="877">
        <v>40529</v>
      </c>
      <c r="B6969" s="878">
        <v>1916.09</v>
      </c>
    </row>
    <row r="6970" spans="1:2" ht="16.149999999999999" customHeight="1">
      <c r="A6970" s="877">
        <v>40530</v>
      </c>
      <c r="B6970" s="880">
        <v>1923.13</v>
      </c>
    </row>
    <row r="6971" spans="1:2" ht="16.149999999999999" customHeight="1">
      <c r="A6971" s="877">
        <v>40531</v>
      </c>
      <c r="B6971" s="878">
        <v>1923.13</v>
      </c>
    </row>
    <row r="6972" spans="1:2" ht="16.149999999999999" customHeight="1">
      <c r="A6972" s="877">
        <v>40532</v>
      </c>
      <c r="B6972" s="880">
        <v>1923.13</v>
      </c>
    </row>
    <row r="6973" spans="1:2" ht="16.149999999999999" customHeight="1">
      <c r="A6973" s="877">
        <v>40533</v>
      </c>
      <c r="B6973" s="878">
        <v>1928.71</v>
      </c>
    </row>
    <row r="6974" spans="1:2" ht="16.149999999999999" customHeight="1">
      <c r="A6974" s="877">
        <v>40534</v>
      </c>
      <c r="B6974" s="880">
        <v>1934.96</v>
      </c>
    </row>
    <row r="6975" spans="1:2" ht="16.149999999999999" customHeight="1">
      <c r="A6975" s="877">
        <v>40535</v>
      </c>
      <c r="B6975" s="878">
        <v>1934.44</v>
      </c>
    </row>
    <row r="6976" spans="1:2" ht="16.149999999999999" customHeight="1">
      <c r="A6976" s="877">
        <v>40536</v>
      </c>
      <c r="B6976" s="880">
        <v>1928.33</v>
      </c>
    </row>
    <row r="6977" spans="1:2" ht="16.149999999999999" customHeight="1">
      <c r="A6977" s="877">
        <v>40537</v>
      </c>
      <c r="B6977" s="878">
        <v>1939.54</v>
      </c>
    </row>
    <row r="6978" spans="1:2" ht="16.149999999999999" customHeight="1">
      <c r="A6978" s="877">
        <v>40538</v>
      </c>
      <c r="B6978" s="880">
        <v>1939.54</v>
      </c>
    </row>
    <row r="6979" spans="1:2" ht="16.149999999999999" customHeight="1">
      <c r="A6979" s="877">
        <v>40539</v>
      </c>
      <c r="B6979" s="878">
        <v>1939.54</v>
      </c>
    </row>
    <row r="6980" spans="1:2" ht="16.149999999999999" customHeight="1">
      <c r="A6980" s="877">
        <v>40540</v>
      </c>
      <c r="B6980" s="880">
        <v>1964.57</v>
      </c>
    </row>
    <row r="6981" spans="1:2" ht="16.149999999999999" customHeight="1">
      <c r="A6981" s="877">
        <v>40541</v>
      </c>
      <c r="B6981" s="878">
        <v>2027.33</v>
      </c>
    </row>
    <row r="6982" spans="1:2" ht="16.149999999999999" customHeight="1">
      <c r="A6982" s="877">
        <v>40542</v>
      </c>
      <c r="B6982" s="880">
        <v>1989.88</v>
      </c>
    </row>
    <row r="6983" spans="1:2" ht="16.149999999999999" customHeight="1">
      <c r="A6983" s="877">
        <v>40543</v>
      </c>
      <c r="B6983" s="878">
        <v>1913.98</v>
      </c>
    </row>
    <row r="6984" spans="1:2" ht="16.149999999999999" customHeight="1">
      <c r="A6984" s="877">
        <v>40544</v>
      </c>
      <c r="B6984" s="880">
        <v>1913.98</v>
      </c>
    </row>
    <row r="6985" spans="1:2" ht="16.149999999999999" customHeight="1">
      <c r="A6985" s="877">
        <v>40545</v>
      </c>
      <c r="B6985" s="878">
        <v>1913.98</v>
      </c>
    </row>
    <row r="6986" spans="1:2" ht="16.149999999999999" customHeight="1">
      <c r="A6986" s="877">
        <v>40546</v>
      </c>
      <c r="B6986" s="880">
        <v>1913.98</v>
      </c>
    </row>
    <row r="6987" spans="1:2" ht="16.149999999999999" customHeight="1">
      <c r="A6987" s="877">
        <v>40547</v>
      </c>
      <c r="B6987" s="878">
        <v>1902.71</v>
      </c>
    </row>
    <row r="6988" spans="1:2" ht="16.149999999999999" customHeight="1">
      <c r="A6988" s="877">
        <v>40548</v>
      </c>
      <c r="B6988" s="880">
        <v>1899.86</v>
      </c>
    </row>
    <row r="6989" spans="1:2" ht="16.149999999999999" customHeight="1">
      <c r="A6989" s="877">
        <v>40549</v>
      </c>
      <c r="B6989" s="878">
        <v>1894.82</v>
      </c>
    </row>
    <row r="6990" spans="1:2" ht="16.149999999999999" customHeight="1">
      <c r="A6990" s="877">
        <v>40550</v>
      </c>
      <c r="B6990" s="880">
        <v>1869.94</v>
      </c>
    </row>
    <row r="6991" spans="1:2" ht="16.149999999999999" customHeight="1">
      <c r="A6991" s="877">
        <v>40551</v>
      </c>
      <c r="B6991" s="878">
        <v>1859.97</v>
      </c>
    </row>
    <row r="6992" spans="1:2" ht="16.149999999999999" customHeight="1">
      <c r="A6992" s="877">
        <v>40552</v>
      </c>
      <c r="B6992" s="880">
        <v>1859.97</v>
      </c>
    </row>
    <row r="6993" spans="1:2" ht="16.149999999999999" customHeight="1">
      <c r="A6993" s="877">
        <v>40553</v>
      </c>
      <c r="B6993" s="878">
        <v>1859.97</v>
      </c>
    </row>
    <row r="6994" spans="1:2" ht="16.149999999999999" customHeight="1">
      <c r="A6994" s="877">
        <v>40554</v>
      </c>
      <c r="B6994" s="880">
        <v>1859.97</v>
      </c>
    </row>
    <row r="6995" spans="1:2" ht="16.149999999999999" customHeight="1">
      <c r="A6995" s="877">
        <v>40555</v>
      </c>
      <c r="B6995" s="878">
        <v>1856.79</v>
      </c>
    </row>
    <row r="6996" spans="1:2" ht="16.149999999999999" customHeight="1">
      <c r="A6996" s="877">
        <v>40556</v>
      </c>
      <c r="B6996" s="880">
        <v>1855.46</v>
      </c>
    </row>
    <row r="6997" spans="1:2" ht="16.149999999999999" customHeight="1">
      <c r="A6997" s="877">
        <v>40557</v>
      </c>
      <c r="B6997" s="878">
        <v>1864.36</v>
      </c>
    </row>
    <row r="6998" spans="1:2" ht="16.149999999999999" customHeight="1">
      <c r="A6998" s="877">
        <v>40558</v>
      </c>
      <c r="B6998" s="880">
        <v>1872.46</v>
      </c>
    </row>
    <row r="6999" spans="1:2" ht="16.149999999999999" customHeight="1">
      <c r="A6999" s="877">
        <v>40559</v>
      </c>
      <c r="B6999" s="878">
        <v>1872.46</v>
      </c>
    </row>
    <row r="7000" spans="1:2" ht="16.149999999999999" customHeight="1">
      <c r="A7000" s="877">
        <v>40560</v>
      </c>
      <c r="B7000" s="880">
        <v>1872.46</v>
      </c>
    </row>
    <row r="7001" spans="1:2" ht="16.149999999999999" customHeight="1">
      <c r="A7001" s="877">
        <v>40561</v>
      </c>
      <c r="B7001" s="878">
        <v>1872.46</v>
      </c>
    </row>
    <row r="7002" spans="1:2" ht="16.149999999999999" customHeight="1">
      <c r="A7002" s="877">
        <v>40562</v>
      </c>
      <c r="B7002" s="880">
        <v>1864.64</v>
      </c>
    </row>
    <row r="7003" spans="1:2" ht="16.149999999999999" customHeight="1">
      <c r="A7003" s="877">
        <v>40563</v>
      </c>
      <c r="B7003" s="878">
        <v>1841.9</v>
      </c>
    </row>
    <row r="7004" spans="1:2" ht="16.149999999999999" customHeight="1">
      <c r="A7004" s="877">
        <v>40564</v>
      </c>
      <c r="B7004" s="880">
        <v>1849.59</v>
      </c>
    </row>
    <row r="7005" spans="1:2" ht="16.149999999999999" customHeight="1">
      <c r="A7005" s="877">
        <v>40565</v>
      </c>
      <c r="B7005" s="878">
        <v>1838.94</v>
      </c>
    </row>
    <row r="7006" spans="1:2" ht="16.149999999999999" customHeight="1">
      <c r="A7006" s="877">
        <v>40566</v>
      </c>
      <c r="B7006" s="880">
        <v>1838.94</v>
      </c>
    </row>
    <row r="7007" spans="1:2" ht="16.149999999999999" customHeight="1">
      <c r="A7007" s="877">
        <v>40567</v>
      </c>
      <c r="B7007" s="878">
        <v>1838.94</v>
      </c>
    </row>
    <row r="7008" spans="1:2" ht="16.149999999999999" customHeight="1">
      <c r="A7008" s="877">
        <v>40568</v>
      </c>
      <c r="B7008" s="880">
        <v>1842.43</v>
      </c>
    </row>
    <row r="7009" spans="1:2" ht="16.149999999999999" customHeight="1">
      <c r="A7009" s="877">
        <v>40569</v>
      </c>
      <c r="B7009" s="878">
        <v>1853.71</v>
      </c>
    </row>
    <row r="7010" spans="1:2" ht="16.149999999999999" customHeight="1">
      <c r="A7010" s="877">
        <v>40570</v>
      </c>
      <c r="B7010" s="880">
        <v>1862.05</v>
      </c>
    </row>
    <row r="7011" spans="1:2" ht="16.149999999999999" customHeight="1">
      <c r="A7011" s="877">
        <v>40571</v>
      </c>
      <c r="B7011" s="878">
        <v>1858.7</v>
      </c>
    </row>
    <row r="7012" spans="1:2" ht="16.149999999999999" customHeight="1">
      <c r="A7012" s="877">
        <v>40572</v>
      </c>
      <c r="B7012" s="880">
        <v>1857.98</v>
      </c>
    </row>
    <row r="7013" spans="1:2" ht="16.149999999999999" customHeight="1">
      <c r="A7013" s="877">
        <v>40573</v>
      </c>
      <c r="B7013" s="878">
        <v>1857.98</v>
      </c>
    </row>
    <row r="7014" spans="1:2" ht="16.149999999999999" customHeight="1">
      <c r="A7014" s="877">
        <v>40574</v>
      </c>
      <c r="B7014" s="880">
        <v>1857.98</v>
      </c>
    </row>
    <row r="7015" spans="1:2" ht="16.149999999999999" customHeight="1">
      <c r="A7015" s="877">
        <v>40575</v>
      </c>
      <c r="B7015" s="878">
        <v>1867.82</v>
      </c>
    </row>
    <row r="7016" spans="1:2" ht="16.149999999999999" customHeight="1">
      <c r="A7016" s="877">
        <v>40576</v>
      </c>
      <c r="B7016" s="880">
        <v>1853.33</v>
      </c>
    </row>
    <row r="7017" spans="1:2" ht="16.149999999999999" customHeight="1">
      <c r="A7017" s="877">
        <v>40577</v>
      </c>
      <c r="B7017" s="878">
        <v>1852.67</v>
      </c>
    </row>
    <row r="7018" spans="1:2" ht="16.149999999999999" customHeight="1">
      <c r="A7018" s="877">
        <v>40578</v>
      </c>
      <c r="B7018" s="880">
        <v>1863.03</v>
      </c>
    </row>
    <row r="7019" spans="1:2" ht="16.149999999999999" customHeight="1">
      <c r="A7019" s="877">
        <v>40579</v>
      </c>
      <c r="B7019" s="878">
        <v>1872.01</v>
      </c>
    </row>
    <row r="7020" spans="1:2" ht="16.149999999999999" customHeight="1">
      <c r="A7020" s="877">
        <v>40580</v>
      </c>
      <c r="B7020" s="880">
        <v>1872.01</v>
      </c>
    </row>
    <row r="7021" spans="1:2" ht="16.149999999999999" customHeight="1">
      <c r="A7021" s="877">
        <v>40581</v>
      </c>
      <c r="B7021" s="878">
        <v>1872.01</v>
      </c>
    </row>
    <row r="7022" spans="1:2" ht="16.149999999999999" customHeight="1">
      <c r="A7022" s="877">
        <v>40582</v>
      </c>
      <c r="B7022" s="880">
        <v>1871.81</v>
      </c>
    </row>
    <row r="7023" spans="1:2" ht="16.149999999999999" customHeight="1">
      <c r="A7023" s="877">
        <v>40583</v>
      </c>
      <c r="B7023" s="878">
        <v>1875.32</v>
      </c>
    </row>
    <row r="7024" spans="1:2" ht="16.149999999999999" customHeight="1">
      <c r="A7024" s="877">
        <v>40584</v>
      </c>
      <c r="B7024" s="880">
        <v>1891.54</v>
      </c>
    </row>
    <row r="7025" spans="1:2" ht="16.149999999999999" customHeight="1">
      <c r="A7025" s="877">
        <v>40585</v>
      </c>
      <c r="B7025" s="878">
        <v>1889.1</v>
      </c>
    </row>
    <row r="7026" spans="1:2" ht="16.149999999999999" customHeight="1">
      <c r="A7026" s="877">
        <v>40586</v>
      </c>
      <c r="B7026" s="880">
        <v>1880.37</v>
      </c>
    </row>
    <row r="7027" spans="1:2" ht="16.149999999999999" customHeight="1">
      <c r="A7027" s="877">
        <v>40587</v>
      </c>
      <c r="B7027" s="878">
        <v>1880.37</v>
      </c>
    </row>
    <row r="7028" spans="1:2" ht="16.149999999999999" customHeight="1">
      <c r="A7028" s="877">
        <v>40588</v>
      </c>
      <c r="B7028" s="880">
        <v>1880.37</v>
      </c>
    </row>
    <row r="7029" spans="1:2" ht="16.149999999999999" customHeight="1">
      <c r="A7029" s="877">
        <v>40589</v>
      </c>
      <c r="B7029" s="878">
        <v>1891.84</v>
      </c>
    </row>
    <row r="7030" spans="1:2" ht="16.149999999999999" customHeight="1">
      <c r="A7030" s="877">
        <v>40590</v>
      </c>
      <c r="B7030" s="880">
        <v>1902.01</v>
      </c>
    </row>
    <row r="7031" spans="1:2" ht="16.149999999999999" customHeight="1">
      <c r="A7031" s="877">
        <v>40591</v>
      </c>
      <c r="B7031" s="878">
        <v>1907.69</v>
      </c>
    </row>
    <row r="7032" spans="1:2" ht="16.149999999999999" customHeight="1">
      <c r="A7032" s="877">
        <v>40592</v>
      </c>
      <c r="B7032" s="880">
        <v>1893.46</v>
      </c>
    </row>
    <row r="7033" spans="1:2" ht="16.149999999999999" customHeight="1">
      <c r="A7033" s="877">
        <v>40593</v>
      </c>
      <c r="B7033" s="878">
        <v>1879.15</v>
      </c>
    </row>
    <row r="7034" spans="1:2" ht="16.149999999999999" customHeight="1">
      <c r="A7034" s="877">
        <v>40594</v>
      </c>
      <c r="B7034" s="880">
        <v>1879.15</v>
      </c>
    </row>
    <row r="7035" spans="1:2" ht="16.149999999999999" customHeight="1">
      <c r="A7035" s="877">
        <v>40595</v>
      </c>
      <c r="B7035" s="878">
        <v>1879.15</v>
      </c>
    </row>
    <row r="7036" spans="1:2" ht="16.149999999999999" customHeight="1">
      <c r="A7036" s="877">
        <v>40596</v>
      </c>
      <c r="B7036" s="880">
        <v>1879.15</v>
      </c>
    </row>
    <row r="7037" spans="1:2" ht="16.149999999999999" customHeight="1">
      <c r="A7037" s="877">
        <v>40597</v>
      </c>
      <c r="B7037" s="878">
        <v>1889.69</v>
      </c>
    </row>
    <row r="7038" spans="1:2" ht="16.149999999999999" customHeight="1">
      <c r="A7038" s="877">
        <v>40598</v>
      </c>
      <c r="B7038" s="880">
        <v>1898.28</v>
      </c>
    </row>
    <row r="7039" spans="1:2" ht="16.149999999999999" customHeight="1">
      <c r="A7039" s="877">
        <v>40599</v>
      </c>
      <c r="B7039" s="878">
        <v>1898.39</v>
      </c>
    </row>
    <row r="7040" spans="1:2" ht="16.149999999999999" customHeight="1">
      <c r="A7040" s="877">
        <v>40600</v>
      </c>
      <c r="B7040" s="880">
        <v>1895.56</v>
      </c>
    </row>
    <row r="7041" spans="1:2" ht="16.149999999999999" customHeight="1">
      <c r="A7041" s="877">
        <v>40601</v>
      </c>
      <c r="B7041" s="878">
        <v>1895.56</v>
      </c>
    </row>
    <row r="7042" spans="1:2" ht="16.149999999999999" customHeight="1">
      <c r="A7042" s="877">
        <v>40602</v>
      </c>
      <c r="B7042" s="880">
        <v>1895.56</v>
      </c>
    </row>
    <row r="7043" spans="1:2" ht="16.149999999999999" customHeight="1">
      <c r="A7043" s="877">
        <v>40603</v>
      </c>
      <c r="B7043" s="878">
        <v>1907.37</v>
      </c>
    </row>
    <row r="7044" spans="1:2" ht="16.149999999999999" customHeight="1">
      <c r="A7044" s="877">
        <v>40604</v>
      </c>
      <c r="B7044" s="880">
        <v>1913.21</v>
      </c>
    </row>
    <row r="7045" spans="1:2" ht="16.149999999999999" customHeight="1">
      <c r="A7045" s="877">
        <v>40605</v>
      </c>
      <c r="B7045" s="878">
        <v>1916.05</v>
      </c>
    </row>
    <row r="7046" spans="1:2" ht="16.149999999999999" customHeight="1">
      <c r="A7046" s="877">
        <v>40606</v>
      </c>
      <c r="B7046" s="880">
        <v>1904.73</v>
      </c>
    </row>
    <row r="7047" spans="1:2" ht="16.149999999999999" customHeight="1">
      <c r="A7047" s="877">
        <v>40607</v>
      </c>
      <c r="B7047" s="878">
        <v>1890.23</v>
      </c>
    </row>
    <row r="7048" spans="1:2" ht="16.149999999999999" customHeight="1">
      <c r="A7048" s="877">
        <v>40608</v>
      </c>
      <c r="B7048" s="880">
        <v>1890.23</v>
      </c>
    </row>
    <row r="7049" spans="1:2" ht="16.149999999999999" customHeight="1">
      <c r="A7049" s="877">
        <v>40609</v>
      </c>
      <c r="B7049" s="878">
        <v>1890.23</v>
      </c>
    </row>
    <row r="7050" spans="1:2" ht="16.149999999999999" customHeight="1">
      <c r="A7050" s="877">
        <v>40610</v>
      </c>
      <c r="B7050" s="880">
        <v>1893.17</v>
      </c>
    </row>
    <row r="7051" spans="1:2" ht="16.149999999999999" customHeight="1">
      <c r="A7051" s="877">
        <v>40611</v>
      </c>
      <c r="B7051" s="878">
        <v>1889.85</v>
      </c>
    </row>
    <row r="7052" spans="1:2" ht="16.149999999999999" customHeight="1">
      <c r="A7052" s="877">
        <v>40612</v>
      </c>
      <c r="B7052" s="880">
        <v>1879.49</v>
      </c>
    </row>
    <row r="7053" spans="1:2" ht="16.149999999999999" customHeight="1">
      <c r="A7053" s="877">
        <v>40613</v>
      </c>
      <c r="B7053" s="878">
        <v>1871.97</v>
      </c>
    </row>
    <row r="7054" spans="1:2" ht="16.149999999999999" customHeight="1">
      <c r="A7054" s="877">
        <v>40614</v>
      </c>
      <c r="B7054" s="880">
        <v>1866.2</v>
      </c>
    </row>
    <row r="7055" spans="1:2" ht="16.149999999999999" customHeight="1">
      <c r="A7055" s="877">
        <v>40615</v>
      </c>
      <c r="B7055" s="878">
        <v>1866.2</v>
      </c>
    </row>
    <row r="7056" spans="1:2" ht="16.149999999999999" customHeight="1">
      <c r="A7056" s="877">
        <v>40616</v>
      </c>
      <c r="B7056" s="880">
        <v>1866.2</v>
      </c>
    </row>
    <row r="7057" spans="1:2" ht="16.149999999999999" customHeight="1">
      <c r="A7057" s="877">
        <v>40617</v>
      </c>
      <c r="B7057" s="878">
        <v>1876.29</v>
      </c>
    </row>
    <row r="7058" spans="1:2" ht="16.149999999999999" customHeight="1">
      <c r="A7058" s="877">
        <v>40618</v>
      </c>
      <c r="B7058" s="880">
        <v>1887.67</v>
      </c>
    </row>
    <row r="7059" spans="1:2" ht="16.149999999999999" customHeight="1">
      <c r="A7059" s="877">
        <v>40619</v>
      </c>
      <c r="B7059" s="878">
        <v>1892.62</v>
      </c>
    </row>
    <row r="7060" spans="1:2" ht="16.149999999999999" customHeight="1">
      <c r="A7060" s="877">
        <v>40620</v>
      </c>
      <c r="B7060" s="880">
        <v>1876.78</v>
      </c>
    </row>
    <row r="7061" spans="1:2" ht="16.149999999999999" customHeight="1">
      <c r="A7061" s="877">
        <v>40621</v>
      </c>
      <c r="B7061" s="878">
        <v>1874.79</v>
      </c>
    </row>
    <row r="7062" spans="1:2" ht="16.149999999999999" customHeight="1">
      <c r="A7062" s="877">
        <v>40622</v>
      </c>
      <c r="B7062" s="880">
        <v>1874.79</v>
      </c>
    </row>
    <row r="7063" spans="1:2" ht="16.149999999999999" customHeight="1">
      <c r="A7063" s="877">
        <v>40623</v>
      </c>
      <c r="B7063" s="878">
        <v>1874.79</v>
      </c>
    </row>
    <row r="7064" spans="1:2" ht="16.149999999999999" customHeight="1">
      <c r="A7064" s="877">
        <v>40624</v>
      </c>
      <c r="B7064" s="880">
        <v>1874.79</v>
      </c>
    </row>
    <row r="7065" spans="1:2" ht="16.149999999999999" customHeight="1">
      <c r="A7065" s="877">
        <v>40625</v>
      </c>
      <c r="B7065" s="878">
        <v>1866.34</v>
      </c>
    </row>
    <row r="7066" spans="1:2" ht="16.149999999999999" customHeight="1">
      <c r="A7066" s="877">
        <v>40626</v>
      </c>
      <c r="B7066" s="880">
        <v>1867.74</v>
      </c>
    </row>
    <row r="7067" spans="1:2" ht="16.149999999999999" customHeight="1">
      <c r="A7067" s="877">
        <v>40627</v>
      </c>
      <c r="B7067" s="878">
        <v>1865.11</v>
      </c>
    </row>
    <row r="7068" spans="1:2" ht="16.149999999999999" customHeight="1">
      <c r="A7068" s="877">
        <v>40628</v>
      </c>
      <c r="B7068" s="880">
        <v>1871.37</v>
      </c>
    </row>
    <row r="7069" spans="1:2" ht="16.149999999999999" customHeight="1">
      <c r="A7069" s="877">
        <v>40629</v>
      </c>
      <c r="B7069" s="878">
        <v>1871.37</v>
      </c>
    </row>
    <row r="7070" spans="1:2" ht="16.149999999999999" customHeight="1">
      <c r="A7070" s="877">
        <v>40630</v>
      </c>
      <c r="B7070" s="880">
        <v>1871.37</v>
      </c>
    </row>
    <row r="7071" spans="1:2" ht="16.149999999999999" customHeight="1">
      <c r="A7071" s="877">
        <v>40631</v>
      </c>
      <c r="B7071" s="878">
        <v>1877.84</v>
      </c>
    </row>
    <row r="7072" spans="1:2" ht="16.149999999999999" customHeight="1">
      <c r="A7072" s="877">
        <v>40632</v>
      </c>
      <c r="B7072" s="880">
        <v>1888</v>
      </c>
    </row>
    <row r="7073" spans="1:2" ht="16.149999999999999" customHeight="1">
      <c r="A7073" s="877">
        <v>40633</v>
      </c>
      <c r="B7073" s="878">
        <v>1879.47</v>
      </c>
    </row>
    <row r="7074" spans="1:2" ht="16.149999999999999" customHeight="1">
      <c r="A7074" s="877">
        <v>40634</v>
      </c>
      <c r="B7074" s="880">
        <v>1870.6</v>
      </c>
    </row>
    <row r="7075" spans="1:2" ht="16.149999999999999" customHeight="1">
      <c r="A7075" s="877">
        <v>40635</v>
      </c>
      <c r="B7075" s="878">
        <v>1858.95</v>
      </c>
    </row>
    <row r="7076" spans="1:2" ht="16.149999999999999" customHeight="1">
      <c r="A7076" s="877">
        <v>40636</v>
      </c>
      <c r="B7076" s="880">
        <v>1858.95</v>
      </c>
    </row>
    <row r="7077" spans="1:2" ht="16.149999999999999" customHeight="1">
      <c r="A7077" s="877">
        <v>40637</v>
      </c>
      <c r="B7077" s="878">
        <v>1858.95</v>
      </c>
    </row>
    <row r="7078" spans="1:2" ht="16.149999999999999" customHeight="1">
      <c r="A7078" s="877">
        <v>40638</v>
      </c>
      <c r="B7078" s="880">
        <v>1846.78</v>
      </c>
    </row>
    <row r="7079" spans="1:2" ht="16.149999999999999" customHeight="1">
      <c r="A7079" s="877">
        <v>40639</v>
      </c>
      <c r="B7079" s="878">
        <v>1838.29</v>
      </c>
    </row>
    <row r="7080" spans="1:2" ht="16.149999999999999" customHeight="1">
      <c r="A7080" s="877">
        <v>40640</v>
      </c>
      <c r="B7080" s="880">
        <v>1826.97</v>
      </c>
    </row>
    <row r="7081" spans="1:2" ht="16.149999999999999" customHeight="1">
      <c r="A7081" s="877">
        <v>40641</v>
      </c>
      <c r="B7081" s="878">
        <v>1825.09</v>
      </c>
    </row>
    <row r="7082" spans="1:2" ht="16.149999999999999" customHeight="1">
      <c r="A7082" s="877">
        <v>40642</v>
      </c>
      <c r="B7082" s="880">
        <v>1817.35</v>
      </c>
    </row>
    <row r="7083" spans="1:2" ht="16.149999999999999" customHeight="1">
      <c r="A7083" s="877">
        <v>40643</v>
      </c>
      <c r="B7083" s="878">
        <v>1817.35</v>
      </c>
    </row>
    <row r="7084" spans="1:2" ht="16.149999999999999" customHeight="1">
      <c r="A7084" s="877">
        <v>40644</v>
      </c>
      <c r="B7084" s="880">
        <v>1817.35</v>
      </c>
    </row>
    <row r="7085" spans="1:2" ht="16.149999999999999" customHeight="1">
      <c r="A7085" s="877">
        <v>40645</v>
      </c>
      <c r="B7085" s="878">
        <v>1815.79</v>
      </c>
    </row>
    <row r="7086" spans="1:2" ht="16.149999999999999" customHeight="1">
      <c r="A7086" s="877">
        <v>40646</v>
      </c>
      <c r="B7086" s="880">
        <v>1818.14</v>
      </c>
    </row>
    <row r="7087" spans="1:2" ht="16.149999999999999" customHeight="1">
      <c r="A7087" s="877">
        <v>40647</v>
      </c>
      <c r="B7087" s="878">
        <v>1818.91</v>
      </c>
    </row>
    <row r="7088" spans="1:2" ht="16.149999999999999" customHeight="1">
      <c r="A7088" s="877">
        <v>40648</v>
      </c>
      <c r="B7088" s="880">
        <v>1811.1</v>
      </c>
    </row>
    <row r="7089" spans="1:2" ht="16.149999999999999" customHeight="1">
      <c r="A7089" s="877">
        <v>40649</v>
      </c>
      <c r="B7089" s="878">
        <v>1800.63</v>
      </c>
    </row>
    <row r="7090" spans="1:2" ht="16.149999999999999" customHeight="1">
      <c r="A7090" s="877">
        <v>40650</v>
      </c>
      <c r="B7090" s="880">
        <v>1800.63</v>
      </c>
    </row>
    <row r="7091" spans="1:2" ht="16.149999999999999" customHeight="1">
      <c r="A7091" s="877">
        <v>40651</v>
      </c>
      <c r="B7091" s="878">
        <v>1800.63</v>
      </c>
    </row>
    <row r="7092" spans="1:2" ht="16.149999999999999" customHeight="1">
      <c r="A7092" s="877">
        <v>40652</v>
      </c>
      <c r="B7092" s="880">
        <v>1799.79</v>
      </c>
    </row>
    <row r="7093" spans="1:2" ht="16.149999999999999" customHeight="1">
      <c r="A7093" s="877">
        <v>40653</v>
      </c>
      <c r="B7093" s="878">
        <v>1790.54</v>
      </c>
    </row>
    <row r="7094" spans="1:2" ht="16.149999999999999" customHeight="1">
      <c r="A7094" s="877">
        <v>40654</v>
      </c>
      <c r="B7094" s="880">
        <v>1782.59</v>
      </c>
    </row>
    <row r="7095" spans="1:2" ht="16.149999999999999" customHeight="1">
      <c r="A7095" s="877">
        <v>40655</v>
      </c>
      <c r="B7095" s="878">
        <v>1782.59</v>
      </c>
    </row>
    <row r="7096" spans="1:2" ht="16.149999999999999" customHeight="1">
      <c r="A7096" s="877">
        <v>40656</v>
      </c>
      <c r="B7096" s="880">
        <v>1782.59</v>
      </c>
    </row>
    <row r="7097" spans="1:2" ht="16.149999999999999" customHeight="1">
      <c r="A7097" s="877">
        <v>40657</v>
      </c>
      <c r="B7097" s="878">
        <v>1782.59</v>
      </c>
    </row>
    <row r="7098" spans="1:2" ht="16.149999999999999" customHeight="1">
      <c r="A7098" s="877">
        <v>40658</v>
      </c>
      <c r="B7098" s="880">
        <v>1782.59</v>
      </c>
    </row>
    <row r="7099" spans="1:2" ht="16.149999999999999" customHeight="1">
      <c r="A7099" s="877">
        <v>40659</v>
      </c>
      <c r="B7099" s="878">
        <v>1781.56</v>
      </c>
    </row>
    <row r="7100" spans="1:2" ht="16.149999999999999" customHeight="1">
      <c r="A7100" s="877">
        <v>40660</v>
      </c>
      <c r="B7100" s="880">
        <v>1787.88</v>
      </c>
    </row>
    <row r="7101" spans="1:2" ht="16.149999999999999" customHeight="1">
      <c r="A7101" s="877">
        <v>40661</v>
      </c>
      <c r="B7101" s="878">
        <v>1784.11</v>
      </c>
    </row>
    <row r="7102" spans="1:2" ht="16.149999999999999" customHeight="1">
      <c r="A7102" s="877">
        <v>40662</v>
      </c>
      <c r="B7102" s="880">
        <v>1767.54</v>
      </c>
    </row>
    <row r="7103" spans="1:2" ht="16.149999999999999" customHeight="1">
      <c r="A7103" s="877">
        <v>40663</v>
      </c>
      <c r="B7103" s="878">
        <v>1768.19</v>
      </c>
    </row>
    <row r="7104" spans="1:2" ht="16.149999999999999" customHeight="1">
      <c r="A7104" s="877">
        <v>40664</v>
      </c>
      <c r="B7104" s="880">
        <v>1768.19</v>
      </c>
    </row>
    <row r="7105" spans="1:2" ht="16.149999999999999" customHeight="1">
      <c r="A7105" s="877">
        <v>40665</v>
      </c>
      <c r="B7105" s="878">
        <v>1768.19</v>
      </c>
    </row>
    <row r="7106" spans="1:2" ht="16.149999999999999" customHeight="1">
      <c r="A7106" s="877">
        <v>40666</v>
      </c>
      <c r="B7106" s="880">
        <v>1768.37</v>
      </c>
    </row>
    <row r="7107" spans="1:2" ht="16.149999999999999" customHeight="1">
      <c r="A7107" s="877">
        <v>40667</v>
      </c>
      <c r="B7107" s="878">
        <v>1767.05</v>
      </c>
    </row>
    <row r="7108" spans="1:2" ht="16.149999999999999" customHeight="1">
      <c r="A7108" s="877">
        <v>40668</v>
      </c>
      <c r="B7108" s="880">
        <v>1763.45</v>
      </c>
    </row>
    <row r="7109" spans="1:2" ht="16.149999999999999" customHeight="1">
      <c r="A7109" s="877">
        <v>40669</v>
      </c>
      <c r="B7109" s="878">
        <v>1769.46</v>
      </c>
    </row>
    <row r="7110" spans="1:2" ht="16.149999999999999" customHeight="1">
      <c r="A7110" s="877">
        <v>40670</v>
      </c>
      <c r="B7110" s="880">
        <v>1763.12</v>
      </c>
    </row>
    <row r="7111" spans="1:2" ht="16.149999999999999" customHeight="1">
      <c r="A7111" s="877">
        <v>40671</v>
      </c>
      <c r="B7111" s="878">
        <v>1763.12</v>
      </c>
    </row>
    <row r="7112" spans="1:2" ht="16.149999999999999" customHeight="1">
      <c r="A7112" s="877">
        <v>40672</v>
      </c>
      <c r="B7112" s="880">
        <v>1763.12</v>
      </c>
    </row>
    <row r="7113" spans="1:2" ht="16.149999999999999" customHeight="1">
      <c r="A7113" s="877">
        <v>40673</v>
      </c>
      <c r="B7113" s="878">
        <v>1779.7</v>
      </c>
    </row>
    <row r="7114" spans="1:2" ht="16.149999999999999" customHeight="1">
      <c r="A7114" s="877">
        <v>40674</v>
      </c>
      <c r="B7114" s="880">
        <v>1791.72</v>
      </c>
    </row>
    <row r="7115" spans="1:2" ht="16.149999999999999" customHeight="1">
      <c r="A7115" s="877">
        <v>40675</v>
      </c>
      <c r="B7115" s="878">
        <v>1798.66</v>
      </c>
    </row>
    <row r="7116" spans="1:2" ht="16.149999999999999" customHeight="1">
      <c r="A7116" s="877">
        <v>40676</v>
      </c>
      <c r="B7116" s="880">
        <v>1807.86</v>
      </c>
    </row>
    <row r="7117" spans="1:2" ht="16.149999999999999" customHeight="1">
      <c r="A7117" s="877">
        <v>40677</v>
      </c>
      <c r="B7117" s="878">
        <v>1805.37</v>
      </c>
    </row>
    <row r="7118" spans="1:2" ht="16.149999999999999" customHeight="1">
      <c r="A7118" s="877">
        <v>40678</v>
      </c>
      <c r="B7118" s="880">
        <v>1805.37</v>
      </c>
    </row>
    <row r="7119" spans="1:2" ht="16.149999999999999" customHeight="1">
      <c r="A7119" s="877">
        <v>40679</v>
      </c>
      <c r="B7119" s="878">
        <v>1805.37</v>
      </c>
    </row>
    <row r="7120" spans="1:2" ht="16.149999999999999" customHeight="1">
      <c r="A7120" s="877">
        <v>40680</v>
      </c>
      <c r="B7120" s="880">
        <v>1814.98</v>
      </c>
    </row>
    <row r="7121" spans="1:2" ht="16.149999999999999" customHeight="1">
      <c r="A7121" s="877">
        <v>40681</v>
      </c>
      <c r="B7121" s="878">
        <v>1826.03</v>
      </c>
    </row>
    <row r="7122" spans="1:2" ht="16.149999999999999" customHeight="1">
      <c r="A7122" s="877">
        <v>40682</v>
      </c>
      <c r="B7122" s="880">
        <v>1824.62</v>
      </c>
    </row>
    <row r="7123" spans="1:2" ht="16.149999999999999" customHeight="1">
      <c r="A7123" s="877">
        <v>40683</v>
      </c>
      <c r="B7123" s="878">
        <v>1814.99</v>
      </c>
    </row>
    <row r="7124" spans="1:2" ht="16.149999999999999" customHeight="1">
      <c r="A7124" s="877">
        <v>40684</v>
      </c>
      <c r="B7124" s="880">
        <v>1819.86</v>
      </c>
    </row>
    <row r="7125" spans="1:2" ht="16.149999999999999" customHeight="1">
      <c r="A7125" s="877">
        <v>40685</v>
      </c>
      <c r="B7125" s="878">
        <v>1819.86</v>
      </c>
    </row>
    <row r="7126" spans="1:2" ht="16.149999999999999" customHeight="1">
      <c r="A7126" s="877">
        <v>40686</v>
      </c>
      <c r="B7126" s="880">
        <v>1819.86</v>
      </c>
    </row>
    <row r="7127" spans="1:2" ht="16.149999999999999" customHeight="1">
      <c r="A7127" s="877">
        <v>40687</v>
      </c>
      <c r="B7127" s="878">
        <v>1828.12</v>
      </c>
    </row>
    <row r="7128" spans="1:2" ht="16.149999999999999" customHeight="1">
      <c r="A7128" s="877">
        <v>40688</v>
      </c>
      <c r="B7128" s="880">
        <v>1828.64</v>
      </c>
    </row>
    <row r="7129" spans="1:2" ht="16.149999999999999" customHeight="1">
      <c r="A7129" s="877">
        <v>40689</v>
      </c>
      <c r="B7129" s="878">
        <v>1831.58</v>
      </c>
    </row>
    <row r="7130" spans="1:2" ht="16.149999999999999" customHeight="1">
      <c r="A7130" s="877">
        <v>40690</v>
      </c>
      <c r="B7130" s="880">
        <v>1829.75</v>
      </c>
    </row>
    <row r="7131" spans="1:2" ht="16.149999999999999" customHeight="1">
      <c r="A7131" s="877">
        <v>40691</v>
      </c>
      <c r="B7131" s="878">
        <v>1817.34</v>
      </c>
    </row>
    <row r="7132" spans="1:2" ht="16.149999999999999" customHeight="1">
      <c r="A7132" s="877">
        <v>40692</v>
      </c>
      <c r="B7132" s="880">
        <v>1817.34</v>
      </c>
    </row>
    <row r="7133" spans="1:2" ht="16.149999999999999" customHeight="1">
      <c r="A7133" s="877">
        <v>40693</v>
      </c>
      <c r="B7133" s="878">
        <v>1817.34</v>
      </c>
    </row>
    <row r="7134" spans="1:2" ht="16.149999999999999" customHeight="1">
      <c r="A7134" s="877">
        <v>40694</v>
      </c>
      <c r="B7134" s="880">
        <v>1817.34</v>
      </c>
    </row>
    <row r="7135" spans="1:2" ht="16.149999999999999" customHeight="1">
      <c r="A7135" s="877">
        <v>40695</v>
      </c>
      <c r="B7135" s="878">
        <v>1797.83</v>
      </c>
    </row>
    <row r="7136" spans="1:2" ht="16.149999999999999" customHeight="1">
      <c r="A7136" s="877">
        <v>40696</v>
      </c>
      <c r="B7136" s="880">
        <v>1789.41</v>
      </c>
    </row>
    <row r="7137" spans="1:2" ht="16.149999999999999" customHeight="1">
      <c r="A7137" s="877">
        <v>40697</v>
      </c>
      <c r="B7137" s="878">
        <v>1784.12</v>
      </c>
    </row>
    <row r="7138" spans="1:2" ht="16.149999999999999" customHeight="1">
      <c r="A7138" s="877">
        <v>40698</v>
      </c>
      <c r="B7138" s="880">
        <v>1785.05</v>
      </c>
    </row>
    <row r="7139" spans="1:2" ht="16.149999999999999" customHeight="1">
      <c r="A7139" s="877">
        <v>40699</v>
      </c>
      <c r="B7139" s="878">
        <v>1785.05</v>
      </c>
    </row>
    <row r="7140" spans="1:2" ht="16.149999999999999" customHeight="1">
      <c r="A7140" s="877">
        <v>40700</v>
      </c>
      <c r="B7140" s="880">
        <v>1785.05</v>
      </c>
    </row>
    <row r="7141" spans="1:2" ht="16.149999999999999" customHeight="1">
      <c r="A7141" s="877">
        <v>40701</v>
      </c>
      <c r="B7141" s="878">
        <v>1785.05</v>
      </c>
    </row>
    <row r="7142" spans="1:2" ht="16.149999999999999" customHeight="1">
      <c r="A7142" s="877">
        <v>40702</v>
      </c>
      <c r="B7142" s="880">
        <v>1770.13</v>
      </c>
    </row>
    <row r="7143" spans="1:2" ht="16.149999999999999" customHeight="1">
      <c r="A7143" s="877">
        <v>40703</v>
      </c>
      <c r="B7143" s="878">
        <v>1769.83</v>
      </c>
    </row>
    <row r="7144" spans="1:2" ht="16.149999999999999" customHeight="1">
      <c r="A7144" s="877">
        <v>40704</v>
      </c>
      <c r="B7144" s="880">
        <v>1772.59</v>
      </c>
    </row>
    <row r="7145" spans="1:2" ht="16.149999999999999" customHeight="1">
      <c r="A7145" s="877">
        <v>40705</v>
      </c>
      <c r="B7145" s="878">
        <v>1774.94</v>
      </c>
    </row>
    <row r="7146" spans="1:2" ht="16.149999999999999" customHeight="1">
      <c r="A7146" s="877">
        <v>40706</v>
      </c>
      <c r="B7146" s="880">
        <v>1774.94</v>
      </c>
    </row>
    <row r="7147" spans="1:2" ht="16.149999999999999" customHeight="1">
      <c r="A7147" s="877">
        <v>40707</v>
      </c>
      <c r="B7147" s="878">
        <v>1774.94</v>
      </c>
    </row>
    <row r="7148" spans="1:2" ht="16.149999999999999" customHeight="1">
      <c r="A7148" s="877">
        <v>40708</v>
      </c>
      <c r="B7148" s="880">
        <v>1777.64</v>
      </c>
    </row>
    <row r="7149" spans="1:2" ht="16.149999999999999" customHeight="1">
      <c r="A7149" s="877">
        <v>40709</v>
      </c>
      <c r="B7149" s="878">
        <v>1774.24</v>
      </c>
    </row>
    <row r="7150" spans="1:2" ht="16.149999999999999" customHeight="1">
      <c r="A7150" s="877">
        <v>40710</v>
      </c>
      <c r="B7150" s="880">
        <v>1781.4</v>
      </c>
    </row>
    <row r="7151" spans="1:2" ht="16.149999999999999" customHeight="1">
      <c r="A7151" s="877">
        <v>40711</v>
      </c>
      <c r="B7151" s="878">
        <v>1793.92</v>
      </c>
    </row>
    <row r="7152" spans="1:2" ht="16.149999999999999" customHeight="1">
      <c r="A7152" s="877">
        <v>40712</v>
      </c>
      <c r="B7152" s="880">
        <v>1787.8</v>
      </c>
    </row>
    <row r="7153" spans="1:2" ht="16.149999999999999" customHeight="1">
      <c r="A7153" s="877">
        <v>40713</v>
      </c>
      <c r="B7153" s="878">
        <v>1787.8</v>
      </c>
    </row>
    <row r="7154" spans="1:2" ht="16.149999999999999" customHeight="1">
      <c r="A7154" s="877">
        <v>40714</v>
      </c>
      <c r="B7154" s="880">
        <v>1787.8</v>
      </c>
    </row>
    <row r="7155" spans="1:2" ht="16.149999999999999" customHeight="1">
      <c r="A7155" s="877">
        <v>40715</v>
      </c>
      <c r="B7155" s="878">
        <v>1789.47</v>
      </c>
    </row>
    <row r="7156" spans="1:2" ht="16.149999999999999" customHeight="1">
      <c r="A7156" s="877">
        <v>40716</v>
      </c>
      <c r="B7156" s="880">
        <v>1780.48</v>
      </c>
    </row>
    <row r="7157" spans="1:2" ht="16.149999999999999" customHeight="1">
      <c r="A7157" s="877">
        <v>40717</v>
      </c>
      <c r="B7157" s="878">
        <v>1779.1</v>
      </c>
    </row>
    <row r="7158" spans="1:2" ht="16.149999999999999" customHeight="1">
      <c r="A7158" s="877">
        <v>40718</v>
      </c>
      <c r="B7158" s="880">
        <v>1788.11</v>
      </c>
    </row>
    <row r="7159" spans="1:2" ht="16.149999999999999" customHeight="1">
      <c r="A7159" s="877">
        <v>40719</v>
      </c>
      <c r="B7159" s="878">
        <v>1787.8</v>
      </c>
    </row>
    <row r="7160" spans="1:2" ht="16.149999999999999" customHeight="1">
      <c r="A7160" s="877">
        <v>40720</v>
      </c>
      <c r="B7160" s="880">
        <v>1787.8</v>
      </c>
    </row>
    <row r="7161" spans="1:2" ht="16.149999999999999" customHeight="1">
      <c r="A7161" s="877">
        <v>40721</v>
      </c>
      <c r="B7161" s="878">
        <v>1787.8</v>
      </c>
    </row>
    <row r="7162" spans="1:2" ht="16.149999999999999" customHeight="1">
      <c r="A7162" s="877">
        <v>40722</v>
      </c>
      <c r="B7162" s="880">
        <v>1787.8</v>
      </c>
    </row>
    <row r="7163" spans="1:2" ht="16.149999999999999" customHeight="1">
      <c r="A7163" s="877">
        <v>40723</v>
      </c>
      <c r="B7163" s="878">
        <v>1786.73</v>
      </c>
    </row>
    <row r="7164" spans="1:2" ht="16.149999999999999" customHeight="1">
      <c r="A7164" s="877">
        <v>40724</v>
      </c>
      <c r="B7164" s="880">
        <v>1780.16</v>
      </c>
    </row>
    <row r="7165" spans="1:2" ht="16.149999999999999" customHeight="1">
      <c r="A7165" s="877">
        <v>40725</v>
      </c>
      <c r="B7165" s="878">
        <v>1772.32</v>
      </c>
    </row>
    <row r="7166" spans="1:2" ht="16.149999999999999" customHeight="1">
      <c r="A7166" s="877">
        <v>40726</v>
      </c>
      <c r="B7166" s="880">
        <v>1762.59</v>
      </c>
    </row>
    <row r="7167" spans="1:2" ht="16.149999999999999" customHeight="1">
      <c r="A7167" s="877">
        <v>40727</v>
      </c>
      <c r="B7167" s="878">
        <v>1762.59</v>
      </c>
    </row>
    <row r="7168" spans="1:2" ht="16.149999999999999" customHeight="1">
      <c r="A7168" s="877">
        <v>40728</v>
      </c>
      <c r="B7168" s="880">
        <v>1762.59</v>
      </c>
    </row>
    <row r="7169" spans="1:2" ht="16.149999999999999" customHeight="1">
      <c r="A7169" s="877">
        <v>40729</v>
      </c>
      <c r="B7169" s="878">
        <v>1762.59</v>
      </c>
    </row>
    <row r="7170" spans="1:2" ht="16.149999999999999" customHeight="1">
      <c r="A7170" s="877">
        <v>40730</v>
      </c>
      <c r="B7170" s="880">
        <v>1766.57</v>
      </c>
    </row>
    <row r="7171" spans="1:2" ht="16.149999999999999" customHeight="1">
      <c r="A7171" s="877">
        <v>40731</v>
      </c>
      <c r="B7171" s="878">
        <v>1767.47</v>
      </c>
    </row>
    <row r="7172" spans="1:2" ht="16.149999999999999" customHeight="1">
      <c r="A7172" s="877">
        <v>40732</v>
      </c>
      <c r="B7172" s="880">
        <v>1759.38</v>
      </c>
    </row>
    <row r="7173" spans="1:2" ht="16.149999999999999" customHeight="1">
      <c r="A7173" s="877">
        <v>40733</v>
      </c>
      <c r="B7173" s="878">
        <v>1759.41</v>
      </c>
    </row>
    <row r="7174" spans="1:2" ht="16.149999999999999" customHeight="1">
      <c r="A7174" s="877">
        <v>40734</v>
      </c>
      <c r="B7174" s="880">
        <v>1759.41</v>
      </c>
    </row>
    <row r="7175" spans="1:2" ht="16.149999999999999" customHeight="1">
      <c r="A7175" s="877">
        <v>40735</v>
      </c>
      <c r="B7175" s="878">
        <v>1759.41</v>
      </c>
    </row>
    <row r="7176" spans="1:2" ht="16.149999999999999" customHeight="1">
      <c r="A7176" s="877">
        <v>40736</v>
      </c>
      <c r="B7176" s="880">
        <v>1768.42</v>
      </c>
    </row>
    <row r="7177" spans="1:2" ht="16.149999999999999" customHeight="1">
      <c r="A7177" s="877">
        <v>40737</v>
      </c>
      <c r="B7177" s="878">
        <v>1765.32</v>
      </c>
    </row>
    <row r="7178" spans="1:2" ht="16.149999999999999" customHeight="1">
      <c r="A7178" s="877">
        <v>40738</v>
      </c>
      <c r="B7178" s="880">
        <v>1758.25</v>
      </c>
    </row>
    <row r="7179" spans="1:2" ht="16.149999999999999" customHeight="1">
      <c r="A7179" s="877">
        <v>40739</v>
      </c>
      <c r="B7179" s="878">
        <v>1748.41</v>
      </c>
    </row>
    <row r="7180" spans="1:2" ht="16.149999999999999" customHeight="1">
      <c r="A7180" s="877">
        <v>40740</v>
      </c>
      <c r="B7180" s="880">
        <v>1750.9</v>
      </c>
    </row>
    <row r="7181" spans="1:2" ht="16.149999999999999" customHeight="1">
      <c r="A7181" s="877">
        <v>40741</v>
      </c>
      <c r="B7181" s="878">
        <v>1750.9</v>
      </c>
    </row>
    <row r="7182" spans="1:2" ht="16.149999999999999" customHeight="1">
      <c r="A7182" s="877">
        <v>40742</v>
      </c>
      <c r="B7182" s="880">
        <v>1750.9</v>
      </c>
    </row>
    <row r="7183" spans="1:2" ht="16.149999999999999" customHeight="1">
      <c r="A7183" s="877">
        <v>40743</v>
      </c>
      <c r="B7183" s="878">
        <v>1758.99</v>
      </c>
    </row>
    <row r="7184" spans="1:2" ht="16.149999999999999" customHeight="1">
      <c r="A7184" s="877">
        <v>40744</v>
      </c>
      <c r="B7184" s="880">
        <v>1757.49</v>
      </c>
    </row>
    <row r="7185" spans="1:2" ht="16.149999999999999" customHeight="1">
      <c r="A7185" s="877">
        <v>40745</v>
      </c>
      <c r="B7185" s="878">
        <v>1757.49</v>
      </c>
    </row>
    <row r="7186" spans="1:2" ht="16.149999999999999" customHeight="1">
      <c r="A7186" s="877">
        <v>40746</v>
      </c>
      <c r="B7186" s="880">
        <v>1756.38</v>
      </c>
    </row>
    <row r="7187" spans="1:2" ht="16.149999999999999" customHeight="1">
      <c r="A7187" s="877">
        <v>40747</v>
      </c>
      <c r="B7187" s="878">
        <v>1757.35</v>
      </c>
    </row>
    <row r="7188" spans="1:2" ht="16.149999999999999" customHeight="1">
      <c r="A7188" s="877">
        <v>40748</v>
      </c>
      <c r="B7188" s="880">
        <v>1757.35</v>
      </c>
    </row>
    <row r="7189" spans="1:2" ht="16.149999999999999" customHeight="1">
      <c r="A7189" s="877">
        <v>40749</v>
      </c>
      <c r="B7189" s="878">
        <v>1757.35</v>
      </c>
    </row>
    <row r="7190" spans="1:2" ht="16.149999999999999" customHeight="1">
      <c r="A7190" s="877">
        <v>40750</v>
      </c>
      <c r="B7190" s="880">
        <v>1768.02</v>
      </c>
    </row>
    <row r="7191" spans="1:2" ht="16.149999999999999" customHeight="1">
      <c r="A7191" s="877">
        <v>40751</v>
      </c>
      <c r="B7191" s="878">
        <v>1759.88</v>
      </c>
    </row>
    <row r="7192" spans="1:2" ht="16.149999999999999" customHeight="1">
      <c r="A7192" s="877">
        <v>40752</v>
      </c>
      <c r="B7192" s="880">
        <v>1764.89</v>
      </c>
    </row>
    <row r="7193" spans="1:2" ht="16.149999999999999" customHeight="1">
      <c r="A7193" s="877">
        <v>40753</v>
      </c>
      <c r="B7193" s="878">
        <v>1771.15</v>
      </c>
    </row>
    <row r="7194" spans="1:2" ht="16.149999999999999" customHeight="1">
      <c r="A7194" s="877">
        <v>40754</v>
      </c>
      <c r="B7194" s="880">
        <v>1777.82</v>
      </c>
    </row>
    <row r="7195" spans="1:2" ht="16.149999999999999" customHeight="1">
      <c r="A7195" s="877">
        <v>40755</v>
      </c>
      <c r="B7195" s="878">
        <v>1777.82</v>
      </c>
    </row>
    <row r="7196" spans="1:2" ht="16.149999999999999" customHeight="1">
      <c r="A7196" s="877">
        <v>40756</v>
      </c>
      <c r="B7196" s="880">
        <v>1777.82</v>
      </c>
    </row>
    <row r="7197" spans="1:2" ht="16.149999999999999" customHeight="1">
      <c r="A7197" s="877">
        <v>40757</v>
      </c>
      <c r="B7197" s="878">
        <v>1771.81</v>
      </c>
    </row>
    <row r="7198" spans="1:2" ht="16.149999999999999" customHeight="1">
      <c r="A7198" s="877">
        <v>40758</v>
      </c>
      <c r="B7198" s="880">
        <v>1765.53</v>
      </c>
    </row>
    <row r="7199" spans="1:2" ht="16.149999999999999" customHeight="1">
      <c r="A7199" s="877">
        <v>40759</v>
      </c>
      <c r="B7199" s="878">
        <v>1772.52</v>
      </c>
    </row>
    <row r="7200" spans="1:2" ht="16.149999999999999" customHeight="1">
      <c r="A7200" s="877">
        <v>40760</v>
      </c>
      <c r="B7200" s="880">
        <v>1781.33</v>
      </c>
    </row>
    <row r="7201" spans="1:2" ht="16.149999999999999" customHeight="1">
      <c r="A7201" s="877">
        <v>40761</v>
      </c>
      <c r="B7201" s="878">
        <v>1792.68</v>
      </c>
    </row>
    <row r="7202" spans="1:2" ht="16.149999999999999" customHeight="1">
      <c r="A7202" s="877">
        <v>40762</v>
      </c>
      <c r="B7202" s="880">
        <v>1792.68</v>
      </c>
    </row>
    <row r="7203" spans="1:2" ht="16.149999999999999" customHeight="1">
      <c r="A7203" s="877">
        <v>40763</v>
      </c>
      <c r="B7203" s="878">
        <v>1792.68</v>
      </c>
    </row>
    <row r="7204" spans="1:2" ht="16.149999999999999" customHeight="1">
      <c r="A7204" s="877">
        <v>40764</v>
      </c>
      <c r="B7204" s="880">
        <v>1811.18</v>
      </c>
    </row>
    <row r="7205" spans="1:2" ht="16.149999999999999" customHeight="1">
      <c r="A7205" s="877">
        <v>40765</v>
      </c>
      <c r="B7205" s="878">
        <v>1811.68</v>
      </c>
    </row>
    <row r="7206" spans="1:2" ht="16.149999999999999" customHeight="1">
      <c r="A7206" s="877">
        <v>40766</v>
      </c>
      <c r="B7206" s="880">
        <v>1800.97</v>
      </c>
    </row>
    <row r="7207" spans="1:2" ht="16.149999999999999" customHeight="1">
      <c r="A7207" s="877">
        <v>40767</v>
      </c>
      <c r="B7207" s="878">
        <v>1793.47</v>
      </c>
    </row>
    <row r="7208" spans="1:2" ht="16.149999999999999" customHeight="1">
      <c r="A7208" s="877">
        <v>40768</v>
      </c>
      <c r="B7208" s="880">
        <v>1783.35</v>
      </c>
    </row>
    <row r="7209" spans="1:2" ht="16.149999999999999" customHeight="1">
      <c r="A7209" s="877">
        <v>40769</v>
      </c>
      <c r="B7209" s="878">
        <v>1783.35</v>
      </c>
    </row>
    <row r="7210" spans="1:2" ht="16.149999999999999" customHeight="1">
      <c r="A7210" s="877">
        <v>40770</v>
      </c>
      <c r="B7210" s="880">
        <v>1783.35</v>
      </c>
    </row>
    <row r="7211" spans="1:2" ht="16.149999999999999" customHeight="1">
      <c r="A7211" s="877">
        <v>40771</v>
      </c>
      <c r="B7211" s="878">
        <v>1783.35</v>
      </c>
    </row>
    <row r="7212" spans="1:2" ht="16.149999999999999" customHeight="1">
      <c r="A7212" s="877">
        <v>40772</v>
      </c>
      <c r="B7212" s="880">
        <v>1776.66</v>
      </c>
    </row>
    <row r="7213" spans="1:2" ht="16.149999999999999" customHeight="1">
      <c r="A7213" s="877">
        <v>40773</v>
      </c>
      <c r="B7213" s="878">
        <v>1767.29</v>
      </c>
    </row>
    <row r="7214" spans="1:2" ht="16.149999999999999" customHeight="1">
      <c r="A7214" s="877">
        <v>40774</v>
      </c>
      <c r="B7214" s="880">
        <v>1775.84</v>
      </c>
    </row>
    <row r="7215" spans="1:2" ht="16.149999999999999" customHeight="1">
      <c r="A7215" s="877">
        <v>40775</v>
      </c>
      <c r="B7215" s="878">
        <v>1779.05</v>
      </c>
    </row>
    <row r="7216" spans="1:2" ht="16.149999999999999" customHeight="1">
      <c r="A7216" s="877">
        <v>40776</v>
      </c>
      <c r="B7216" s="880">
        <v>1779.05</v>
      </c>
    </row>
    <row r="7217" spans="1:2" ht="16.149999999999999" customHeight="1">
      <c r="A7217" s="877">
        <v>40777</v>
      </c>
      <c r="B7217" s="878">
        <v>1779.05</v>
      </c>
    </row>
    <row r="7218" spans="1:2" ht="16.149999999999999" customHeight="1">
      <c r="A7218" s="877">
        <v>40778</v>
      </c>
      <c r="B7218" s="880">
        <v>1779.86</v>
      </c>
    </row>
    <row r="7219" spans="1:2" ht="16.149999999999999" customHeight="1">
      <c r="A7219" s="877">
        <v>40779</v>
      </c>
      <c r="B7219" s="878">
        <v>1781.91</v>
      </c>
    </row>
    <row r="7220" spans="1:2" ht="16.149999999999999" customHeight="1">
      <c r="A7220" s="877">
        <v>40780</v>
      </c>
      <c r="B7220" s="880">
        <v>1791.61</v>
      </c>
    </row>
    <row r="7221" spans="1:2" ht="16.149999999999999" customHeight="1">
      <c r="A7221" s="877">
        <v>40781</v>
      </c>
      <c r="B7221" s="878">
        <v>1791.05</v>
      </c>
    </row>
    <row r="7222" spans="1:2" ht="16.149999999999999" customHeight="1">
      <c r="A7222" s="877">
        <v>40782</v>
      </c>
      <c r="B7222" s="880">
        <v>1794.02</v>
      </c>
    </row>
    <row r="7223" spans="1:2" ht="16.149999999999999" customHeight="1">
      <c r="A7223" s="877">
        <v>40783</v>
      </c>
      <c r="B7223" s="878">
        <v>1794.02</v>
      </c>
    </row>
    <row r="7224" spans="1:2" ht="16.149999999999999" customHeight="1">
      <c r="A7224" s="877">
        <v>40784</v>
      </c>
      <c r="B7224" s="880">
        <v>1794.02</v>
      </c>
    </row>
    <row r="7225" spans="1:2" ht="16.149999999999999" customHeight="1">
      <c r="A7225" s="877">
        <v>40785</v>
      </c>
      <c r="B7225" s="878">
        <v>1787.52</v>
      </c>
    </row>
    <row r="7226" spans="1:2" ht="16.149999999999999" customHeight="1">
      <c r="A7226" s="877">
        <v>40786</v>
      </c>
      <c r="B7226" s="880">
        <v>1783.66</v>
      </c>
    </row>
    <row r="7227" spans="1:2" ht="16.149999999999999" customHeight="1">
      <c r="A7227" s="877">
        <v>40787</v>
      </c>
      <c r="B7227" s="878">
        <v>1780.26</v>
      </c>
    </row>
    <row r="7228" spans="1:2" ht="16.149999999999999" customHeight="1">
      <c r="A7228" s="877">
        <v>40788</v>
      </c>
      <c r="B7228" s="880">
        <v>1778.51</v>
      </c>
    </row>
    <row r="7229" spans="1:2" ht="16.149999999999999" customHeight="1">
      <c r="A7229" s="877">
        <v>40789</v>
      </c>
      <c r="B7229" s="878">
        <v>1782.8</v>
      </c>
    </row>
    <row r="7230" spans="1:2" ht="16.149999999999999" customHeight="1">
      <c r="A7230" s="877">
        <v>40790</v>
      </c>
      <c r="B7230" s="880">
        <v>1782.8</v>
      </c>
    </row>
    <row r="7231" spans="1:2" ht="16.149999999999999" customHeight="1">
      <c r="A7231" s="877">
        <v>40791</v>
      </c>
      <c r="B7231" s="878">
        <v>1782.8</v>
      </c>
    </row>
    <row r="7232" spans="1:2" ht="16.149999999999999" customHeight="1">
      <c r="A7232" s="877">
        <v>40792</v>
      </c>
      <c r="B7232" s="880">
        <v>1782.8</v>
      </c>
    </row>
    <row r="7233" spans="1:2" ht="16.149999999999999" customHeight="1">
      <c r="A7233" s="877">
        <v>40793</v>
      </c>
      <c r="B7233" s="878">
        <v>1791.89</v>
      </c>
    </row>
    <row r="7234" spans="1:2" ht="16.149999999999999" customHeight="1">
      <c r="A7234" s="877">
        <v>40794</v>
      </c>
      <c r="B7234" s="880">
        <v>1789.3</v>
      </c>
    </row>
    <row r="7235" spans="1:2" ht="16.149999999999999" customHeight="1">
      <c r="A7235" s="877">
        <v>40795</v>
      </c>
      <c r="B7235" s="878">
        <v>1789.9</v>
      </c>
    </row>
    <row r="7236" spans="1:2" ht="16.149999999999999" customHeight="1">
      <c r="A7236" s="877">
        <v>40796</v>
      </c>
      <c r="B7236" s="880">
        <v>1796.58</v>
      </c>
    </row>
    <row r="7237" spans="1:2" ht="16.149999999999999" customHeight="1">
      <c r="A7237" s="877">
        <v>40797</v>
      </c>
      <c r="B7237" s="878">
        <v>1796.58</v>
      </c>
    </row>
    <row r="7238" spans="1:2" ht="16.149999999999999" customHeight="1">
      <c r="A7238" s="877">
        <v>40798</v>
      </c>
      <c r="B7238" s="880">
        <v>1796.58</v>
      </c>
    </row>
    <row r="7239" spans="1:2" ht="16.149999999999999" customHeight="1">
      <c r="A7239" s="877">
        <v>40799</v>
      </c>
      <c r="B7239" s="878">
        <v>1811.34</v>
      </c>
    </row>
    <row r="7240" spans="1:2" ht="16.149999999999999" customHeight="1">
      <c r="A7240" s="877">
        <v>40800</v>
      </c>
      <c r="B7240" s="880">
        <v>1813.42</v>
      </c>
    </row>
    <row r="7241" spans="1:2" ht="16.149999999999999" customHeight="1">
      <c r="A7241" s="877">
        <v>40801</v>
      </c>
      <c r="B7241" s="878">
        <v>1824.15</v>
      </c>
    </row>
    <row r="7242" spans="1:2" ht="16.149999999999999" customHeight="1">
      <c r="A7242" s="877">
        <v>40802</v>
      </c>
      <c r="B7242" s="880">
        <v>1822.04</v>
      </c>
    </row>
    <row r="7243" spans="1:2" ht="16.149999999999999" customHeight="1">
      <c r="A7243" s="877">
        <v>40803</v>
      </c>
      <c r="B7243" s="878">
        <v>1820.29</v>
      </c>
    </row>
    <row r="7244" spans="1:2" ht="16.149999999999999" customHeight="1">
      <c r="A7244" s="877">
        <v>40804</v>
      </c>
      <c r="B7244" s="880">
        <v>1820.29</v>
      </c>
    </row>
    <row r="7245" spans="1:2" ht="16.149999999999999" customHeight="1">
      <c r="A7245" s="877">
        <v>40805</v>
      </c>
      <c r="B7245" s="878">
        <v>1820.29</v>
      </c>
    </row>
    <row r="7246" spans="1:2" ht="16.149999999999999" customHeight="1">
      <c r="A7246" s="877">
        <v>40806</v>
      </c>
      <c r="B7246" s="880">
        <v>1843.26</v>
      </c>
    </row>
    <row r="7247" spans="1:2" ht="16.149999999999999" customHeight="1">
      <c r="A7247" s="877">
        <v>40807</v>
      </c>
      <c r="B7247" s="878">
        <v>1854.96</v>
      </c>
    </row>
    <row r="7248" spans="1:2" ht="16.149999999999999" customHeight="1">
      <c r="A7248" s="877">
        <v>40808</v>
      </c>
      <c r="B7248" s="880">
        <v>1882.23</v>
      </c>
    </row>
    <row r="7249" spans="1:2" ht="16.149999999999999" customHeight="1">
      <c r="A7249" s="877">
        <v>40809</v>
      </c>
      <c r="B7249" s="878">
        <v>1915.63</v>
      </c>
    </row>
    <row r="7250" spans="1:2" ht="16.149999999999999" customHeight="1">
      <c r="A7250" s="877">
        <v>40810</v>
      </c>
      <c r="B7250" s="880">
        <v>1902.45</v>
      </c>
    </row>
    <row r="7251" spans="1:2" ht="16.149999999999999" customHeight="1">
      <c r="A7251" s="877">
        <v>40811</v>
      </c>
      <c r="B7251" s="878">
        <v>1902.45</v>
      </c>
    </row>
    <row r="7252" spans="1:2" ht="16.149999999999999" customHeight="1">
      <c r="A7252" s="877">
        <v>40812</v>
      </c>
      <c r="B7252" s="880">
        <v>1902.45</v>
      </c>
    </row>
    <row r="7253" spans="1:2" ht="16.149999999999999" customHeight="1">
      <c r="A7253" s="877">
        <v>40813</v>
      </c>
      <c r="B7253" s="878">
        <v>1903.31</v>
      </c>
    </row>
    <row r="7254" spans="1:2" ht="16.149999999999999" customHeight="1">
      <c r="A7254" s="877">
        <v>40814</v>
      </c>
      <c r="B7254" s="880">
        <v>1887.38</v>
      </c>
    </row>
    <row r="7255" spans="1:2" ht="16.149999999999999" customHeight="1">
      <c r="A7255" s="877">
        <v>40815</v>
      </c>
      <c r="B7255" s="878">
        <v>1907.75</v>
      </c>
    </row>
    <row r="7256" spans="1:2" ht="16.149999999999999" customHeight="1">
      <c r="A7256" s="877">
        <v>40816</v>
      </c>
      <c r="B7256" s="880">
        <v>1915.1</v>
      </c>
    </row>
    <row r="7257" spans="1:2" ht="16.149999999999999" customHeight="1">
      <c r="A7257" s="877">
        <v>40817</v>
      </c>
      <c r="B7257" s="878">
        <v>1929.01</v>
      </c>
    </row>
    <row r="7258" spans="1:2" ht="16.149999999999999" customHeight="1">
      <c r="A7258" s="877">
        <v>40818</v>
      </c>
      <c r="B7258" s="880">
        <v>1929.01</v>
      </c>
    </row>
    <row r="7259" spans="1:2" ht="16.149999999999999" customHeight="1">
      <c r="A7259" s="877">
        <v>40819</v>
      </c>
      <c r="B7259" s="878">
        <v>1929.01</v>
      </c>
    </row>
    <row r="7260" spans="1:2" ht="16.149999999999999" customHeight="1">
      <c r="A7260" s="877">
        <v>40820</v>
      </c>
      <c r="B7260" s="880">
        <v>1943.8</v>
      </c>
    </row>
    <row r="7261" spans="1:2" ht="16.149999999999999" customHeight="1">
      <c r="A7261" s="877">
        <v>40821</v>
      </c>
      <c r="B7261" s="878">
        <v>1972.76</v>
      </c>
    </row>
    <row r="7262" spans="1:2" ht="16.149999999999999" customHeight="1">
      <c r="A7262" s="877">
        <v>40822</v>
      </c>
      <c r="B7262" s="880">
        <v>1967.56</v>
      </c>
    </row>
    <row r="7263" spans="1:2" ht="16.149999999999999" customHeight="1">
      <c r="A7263" s="877">
        <v>40823</v>
      </c>
      <c r="B7263" s="878">
        <v>1952.09</v>
      </c>
    </row>
    <row r="7264" spans="1:2" ht="16.149999999999999" customHeight="1">
      <c r="A7264" s="877">
        <v>40824</v>
      </c>
      <c r="B7264" s="880">
        <v>1931.64</v>
      </c>
    </row>
    <row r="7265" spans="1:2" ht="16.149999999999999" customHeight="1">
      <c r="A7265" s="877">
        <v>40825</v>
      </c>
      <c r="B7265" s="878">
        <v>1931.64</v>
      </c>
    </row>
    <row r="7266" spans="1:2" ht="16.149999999999999" customHeight="1">
      <c r="A7266" s="877">
        <v>40826</v>
      </c>
      <c r="B7266" s="880">
        <v>1931.64</v>
      </c>
    </row>
    <row r="7267" spans="1:2" ht="16.149999999999999" customHeight="1">
      <c r="A7267" s="877">
        <v>40827</v>
      </c>
      <c r="B7267" s="878">
        <v>1931.64</v>
      </c>
    </row>
    <row r="7268" spans="1:2" ht="16.149999999999999" customHeight="1">
      <c r="A7268" s="877">
        <v>40828</v>
      </c>
      <c r="B7268" s="880">
        <v>1913.6</v>
      </c>
    </row>
    <row r="7269" spans="1:2" ht="16.149999999999999" customHeight="1">
      <c r="A7269" s="877">
        <v>40829</v>
      </c>
      <c r="B7269" s="878">
        <v>1896.72</v>
      </c>
    </row>
    <row r="7270" spans="1:2" ht="16.149999999999999" customHeight="1">
      <c r="A7270" s="877">
        <v>40830</v>
      </c>
      <c r="B7270" s="880">
        <v>1909.12</v>
      </c>
    </row>
    <row r="7271" spans="1:2" ht="16.149999999999999" customHeight="1">
      <c r="A7271" s="877">
        <v>40831</v>
      </c>
      <c r="B7271" s="878">
        <v>1895.33</v>
      </c>
    </row>
    <row r="7272" spans="1:2" ht="16.149999999999999" customHeight="1">
      <c r="A7272" s="877">
        <v>40832</v>
      </c>
      <c r="B7272" s="880">
        <v>1895.33</v>
      </c>
    </row>
    <row r="7273" spans="1:2" ht="16.149999999999999" customHeight="1">
      <c r="A7273" s="877">
        <v>40833</v>
      </c>
      <c r="B7273" s="878">
        <v>1895.33</v>
      </c>
    </row>
    <row r="7274" spans="1:2" ht="16.149999999999999" customHeight="1">
      <c r="A7274" s="877">
        <v>40834</v>
      </c>
      <c r="B7274" s="880">
        <v>1895.33</v>
      </c>
    </row>
    <row r="7275" spans="1:2" ht="16.149999999999999" customHeight="1">
      <c r="A7275" s="877">
        <v>40835</v>
      </c>
      <c r="B7275" s="878">
        <v>1902.47</v>
      </c>
    </row>
    <row r="7276" spans="1:2" ht="16.149999999999999" customHeight="1">
      <c r="A7276" s="877">
        <v>40836</v>
      </c>
      <c r="B7276" s="880">
        <v>1900.1</v>
      </c>
    </row>
    <row r="7277" spans="1:2" ht="16.149999999999999" customHeight="1">
      <c r="A7277" s="877">
        <v>40837</v>
      </c>
      <c r="B7277" s="878">
        <v>1905.95</v>
      </c>
    </row>
    <row r="7278" spans="1:2" ht="16.149999999999999" customHeight="1">
      <c r="A7278" s="877">
        <v>40838</v>
      </c>
      <c r="B7278" s="880">
        <v>1897.45</v>
      </c>
    </row>
    <row r="7279" spans="1:2" ht="16.149999999999999" customHeight="1">
      <c r="A7279" s="877">
        <v>40839</v>
      </c>
      <c r="B7279" s="878">
        <v>1897.45</v>
      </c>
    </row>
    <row r="7280" spans="1:2" ht="16.149999999999999" customHeight="1">
      <c r="A7280" s="877">
        <v>40840</v>
      </c>
      <c r="B7280" s="880">
        <v>1897.45</v>
      </c>
    </row>
    <row r="7281" spans="1:2" ht="16.149999999999999" customHeight="1">
      <c r="A7281" s="877">
        <v>40841</v>
      </c>
      <c r="B7281" s="878">
        <v>1878.78</v>
      </c>
    </row>
    <row r="7282" spans="1:2" ht="16.149999999999999" customHeight="1">
      <c r="A7282" s="877">
        <v>40842</v>
      </c>
      <c r="B7282" s="880">
        <v>1875.55</v>
      </c>
    </row>
    <row r="7283" spans="1:2" ht="16.149999999999999" customHeight="1">
      <c r="A7283" s="877">
        <v>40843</v>
      </c>
      <c r="B7283" s="878">
        <v>1878.1</v>
      </c>
    </row>
    <row r="7284" spans="1:2" ht="16.149999999999999" customHeight="1">
      <c r="A7284" s="877">
        <v>40844</v>
      </c>
      <c r="B7284" s="880">
        <v>1862.84</v>
      </c>
    </row>
    <row r="7285" spans="1:2" ht="16.149999999999999" customHeight="1">
      <c r="A7285" s="877">
        <v>40845</v>
      </c>
      <c r="B7285" s="878">
        <v>1863.06</v>
      </c>
    </row>
    <row r="7286" spans="1:2" ht="16.149999999999999" customHeight="1">
      <c r="A7286" s="877">
        <v>40846</v>
      </c>
      <c r="B7286" s="880">
        <v>1863.06</v>
      </c>
    </row>
    <row r="7287" spans="1:2" ht="16.149999999999999" customHeight="1">
      <c r="A7287" s="877">
        <v>40847</v>
      </c>
      <c r="B7287" s="878">
        <v>1863.06</v>
      </c>
    </row>
    <row r="7288" spans="1:2" ht="16.149999999999999" customHeight="1">
      <c r="A7288" s="877">
        <v>40848</v>
      </c>
      <c r="B7288" s="880">
        <v>1871.49</v>
      </c>
    </row>
    <row r="7289" spans="1:2" ht="16.149999999999999" customHeight="1">
      <c r="A7289" s="877">
        <v>40849</v>
      </c>
      <c r="B7289" s="878">
        <v>1891.38</v>
      </c>
    </row>
    <row r="7290" spans="1:2" ht="16.149999999999999" customHeight="1">
      <c r="A7290" s="877">
        <v>40850</v>
      </c>
      <c r="B7290" s="880">
        <v>1889.66</v>
      </c>
    </row>
    <row r="7291" spans="1:2" ht="16.149999999999999" customHeight="1">
      <c r="A7291" s="877">
        <v>40851</v>
      </c>
      <c r="B7291" s="878">
        <v>1905.38</v>
      </c>
    </row>
    <row r="7292" spans="1:2" ht="16.149999999999999" customHeight="1">
      <c r="A7292" s="877">
        <v>40852</v>
      </c>
      <c r="B7292" s="880">
        <v>1915.72</v>
      </c>
    </row>
    <row r="7293" spans="1:2" ht="16.149999999999999" customHeight="1">
      <c r="A7293" s="877">
        <v>40853</v>
      </c>
      <c r="B7293" s="878">
        <v>1915.72</v>
      </c>
    </row>
    <row r="7294" spans="1:2" ht="16.149999999999999" customHeight="1">
      <c r="A7294" s="877">
        <v>40854</v>
      </c>
      <c r="B7294" s="880">
        <v>1915.72</v>
      </c>
    </row>
    <row r="7295" spans="1:2" ht="16.149999999999999" customHeight="1">
      <c r="A7295" s="877">
        <v>40855</v>
      </c>
      <c r="B7295" s="878">
        <v>1915.72</v>
      </c>
    </row>
    <row r="7296" spans="1:2" ht="16.149999999999999" customHeight="1">
      <c r="A7296" s="877">
        <v>40856</v>
      </c>
      <c r="B7296" s="880">
        <v>1908.71</v>
      </c>
    </row>
    <row r="7297" spans="1:2" ht="16.149999999999999" customHeight="1">
      <c r="A7297" s="877">
        <v>40857</v>
      </c>
      <c r="B7297" s="878">
        <v>1917.69</v>
      </c>
    </row>
    <row r="7298" spans="1:2" ht="16.149999999999999" customHeight="1">
      <c r="A7298" s="877">
        <v>40858</v>
      </c>
      <c r="B7298" s="880">
        <v>1913.65</v>
      </c>
    </row>
    <row r="7299" spans="1:2" ht="16.149999999999999" customHeight="1">
      <c r="A7299" s="877">
        <v>40859</v>
      </c>
      <c r="B7299" s="878">
        <v>1913.65</v>
      </c>
    </row>
    <row r="7300" spans="1:2" ht="16.149999999999999" customHeight="1">
      <c r="A7300" s="877">
        <v>40860</v>
      </c>
      <c r="B7300" s="880">
        <v>1913.65</v>
      </c>
    </row>
    <row r="7301" spans="1:2" ht="16.149999999999999" customHeight="1">
      <c r="A7301" s="877">
        <v>40861</v>
      </c>
      <c r="B7301" s="878">
        <v>1913.65</v>
      </c>
    </row>
    <row r="7302" spans="1:2" ht="16.149999999999999" customHeight="1">
      <c r="A7302" s="877">
        <v>40862</v>
      </c>
      <c r="B7302" s="880">
        <v>1913.65</v>
      </c>
    </row>
    <row r="7303" spans="1:2" ht="16.149999999999999" customHeight="1">
      <c r="A7303" s="877">
        <v>40863</v>
      </c>
      <c r="B7303" s="878">
        <v>1915.41</v>
      </c>
    </row>
    <row r="7304" spans="1:2" ht="16.149999999999999" customHeight="1">
      <c r="A7304" s="877">
        <v>40864</v>
      </c>
      <c r="B7304" s="880">
        <v>1912.2</v>
      </c>
    </row>
    <row r="7305" spans="1:2" ht="16.149999999999999" customHeight="1">
      <c r="A7305" s="877">
        <v>40865</v>
      </c>
      <c r="B7305" s="878">
        <v>1910.83</v>
      </c>
    </row>
    <row r="7306" spans="1:2" ht="16.149999999999999" customHeight="1">
      <c r="A7306" s="877">
        <v>40866</v>
      </c>
      <c r="B7306" s="880">
        <v>1917.45</v>
      </c>
    </row>
    <row r="7307" spans="1:2" ht="16.149999999999999" customHeight="1">
      <c r="A7307" s="877">
        <v>40867</v>
      </c>
      <c r="B7307" s="878">
        <v>1917.45</v>
      </c>
    </row>
    <row r="7308" spans="1:2" ht="16.149999999999999" customHeight="1">
      <c r="A7308" s="877">
        <v>40868</v>
      </c>
      <c r="B7308" s="880">
        <v>1917.45</v>
      </c>
    </row>
    <row r="7309" spans="1:2" ht="16.149999999999999" customHeight="1">
      <c r="A7309" s="877">
        <v>40869</v>
      </c>
      <c r="B7309" s="878">
        <v>1928.47</v>
      </c>
    </row>
    <row r="7310" spans="1:2" ht="16.149999999999999" customHeight="1">
      <c r="A7310" s="877">
        <v>40870</v>
      </c>
      <c r="B7310" s="880">
        <v>1925.39</v>
      </c>
    </row>
    <row r="7311" spans="1:2" ht="16.149999999999999" customHeight="1">
      <c r="A7311" s="877">
        <v>40871</v>
      </c>
      <c r="B7311" s="878">
        <v>1932.63</v>
      </c>
    </row>
    <row r="7312" spans="1:2" ht="16.149999999999999" customHeight="1">
      <c r="A7312" s="877">
        <v>40872</v>
      </c>
      <c r="B7312" s="880">
        <v>1932.63</v>
      </c>
    </row>
    <row r="7313" spans="1:2" ht="16.149999999999999" customHeight="1">
      <c r="A7313" s="877">
        <v>40873</v>
      </c>
      <c r="B7313" s="878">
        <v>1948.48</v>
      </c>
    </row>
    <row r="7314" spans="1:2" ht="16.149999999999999" customHeight="1">
      <c r="A7314" s="877">
        <v>40874</v>
      </c>
      <c r="B7314" s="880">
        <v>1948.48</v>
      </c>
    </row>
    <row r="7315" spans="1:2" ht="16.149999999999999" customHeight="1">
      <c r="A7315" s="877">
        <v>40875</v>
      </c>
      <c r="B7315" s="878">
        <v>1948.48</v>
      </c>
    </row>
    <row r="7316" spans="1:2" ht="16.149999999999999" customHeight="1">
      <c r="A7316" s="877">
        <v>40876</v>
      </c>
      <c r="B7316" s="880">
        <v>1946.28</v>
      </c>
    </row>
    <row r="7317" spans="1:2" ht="16.149999999999999" customHeight="1">
      <c r="A7317" s="877">
        <v>40877</v>
      </c>
      <c r="B7317" s="878">
        <v>1967.18</v>
      </c>
    </row>
    <row r="7318" spans="1:2" ht="16.149999999999999" customHeight="1">
      <c r="A7318" s="877">
        <v>40878</v>
      </c>
      <c r="B7318" s="880">
        <v>1948.51</v>
      </c>
    </row>
    <row r="7319" spans="1:2" ht="16.149999999999999" customHeight="1">
      <c r="A7319" s="877">
        <v>40879</v>
      </c>
      <c r="B7319" s="878">
        <v>1949.56</v>
      </c>
    </row>
    <row r="7320" spans="1:2" ht="16.149999999999999" customHeight="1">
      <c r="A7320" s="877">
        <v>40880</v>
      </c>
      <c r="B7320" s="880">
        <v>1938.83</v>
      </c>
    </row>
    <row r="7321" spans="1:2" ht="16.149999999999999" customHeight="1">
      <c r="A7321" s="877">
        <v>40881</v>
      </c>
      <c r="B7321" s="878">
        <v>1938.83</v>
      </c>
    </row>
    <row r="7322" spans="1:2" ht="16.149999999999999" customHeight="1">
      <c r="A7322" s="877">
        <v>40882</v>
      </c>
      <c r="B7322" s="880">
        <v>1938.83</v>
      </c>
    </row>
    <row r="7323" spans="1:2" ht="16.149999999999999" customHeight="1">
      <c r="A7323" s="877">
        <v>40883</v>
      </c>
      <c r="B7323" s="878">
        <v>1936.29</v>
      </c>
    </row>
    <row r="7324" spans="1:2" ht="16.149999999999999" customHeight="1">
      <c r="A7324" s="877">
        <v>40884</v>
      </c>
      <c r="B7324" s="880">
        <v>1936.11</v>
      </c>
    </row>
    <row r="7325" spans="1:2" ht="16.149999999999999" customHeight="1">
      <c r="A7325" s="877">
        <v>40885</v>
      </c>
      <c r="B7325" s="878">
        <v>1930.57</v>
      </c>
    </row>
    <row r="7326" spans="1:2" ht="16.149999999999999" customHeight="1">
      <c r="A7326" s="877">
        <v>40886</v>
      </c>
      <c r="B7326" s="880">
        <v>1930.57</v>
      </c>
    </row>
    <row r="7327" spans="1:2" ht="16.149999999999999" customHeight="1">
      <c r="A7327" s="877">
        <v>40887</v>
      </c>
      <c r="B7327" s="878">
        <v>1927.1</v>
      </c>
    </row>
    <row r="7328" spans="1:2" ht="16.149999999999999" customHeight="1">
      <c r="A7328" s="877">
        <v>40888</v>
      </c>
      <c r="B7328" s="880">
        <v>1927.1</v>
      </c>
    </row>
    <row r="7329" spans="1:2" ht="16.149999999999999" customHeight="1">
      <c r="A7329" s="877">
        <v>40889</v>
      </c>
      <c r="B7329" s="878">
        <v>1927.1</v>
      </c>
    </row>
    <row r="7330" spans="1:2" ht="16.149999999999999" customHeight="1">
      <c r="A7330" s="877">
        <v>40890</v>
      </c>
      <c r="B7330" s="880">
        <v>1932.3</v>
      </c>
    </row>
    <row r="7331" spans="1:2" ht="16.149999999999999" customHeight="1">
      <c r="A7331" s="877">
        <v>40891</v>
      </c>
      <c r="B7331" s="878">
        <v>1929.01</v>
      </c>
    </row>
    <row r="7332" spans="1:2" ht="16.149999999999999" customHeight="1">
      <c r="A7332" s="877">
        <v>40892</v>
      </c>
      <c r="B7332" s="880">
        <v>1937.6</v>
      </c>
    </row>
    <row r="7333" spans="1:2" ht="16.149999999999999" customHeight="1">
      <c r="A7333" s="877">
        <v>40893</v>
      </c>
      <c r="B7333" s="878">
        <v>1935.96</v>
      </c>
    </row>
    <row r="7334" spans="1:2" ht="16.149999999999999" customHeight="1">
      <c r="A7334" s="877">
        <v>40894</v>
      </c>
      <c r="B7334" s="880">
        <v>1935.64</v>
      </c>
    </row>
    <row r="7335" spans="1:2" ht="16.149999999999999" customHeight="1">
      <c r="A7335" s="877">
        <v>40895</v>
      </c>
      <c r="B7335" s="878">
        <v>1935.64</v>
      </c>
    </row>
    <row r="7336" spans="1:2" ht="16.149999999999999" customHeight="1">
      <c r="A7336" s="877">
        <v>40896</v>
      </c>
      <c r="B7336" s="880">
        <v>1935.64</v>
      </c>
    </row>
    <row r="7337" spans="1:2" ht="16.149999999999999" customHeight="1">
      <c r="A7337" s="877">
        <v>40897</v>
      </c>
      <c r="B7337" s="878">
        <v>1939.39</v>
      </c>
    </row>
    <row r="7338" spans="1:2" ht="16.149999999999999" customHeight="1">
      <c r="A7338" s="877">
        <v>40898</v>
      </c>
      <c r="B7338" s="880">
        <v>1932.08</v>
      </c>
    </row>
    <row r="7339" spans="1:2" ht="16.149999999999999" customHeight="1">
      <c r="A7339" s="877">
        <v>40899</v>
      </c>
      <c r="B7339" s="878">
        <v>1935.72</v>
      </c>
    </row>
    <row r="7340" spans="1:2" ht="16.149999999999999" customHeight="1">
      <c r="A7340" s="877">
        <v>40900</v>
      </c>
      <c r="B7340" s="880">
        <v>1927.71</v>
      </c>
    </row>
    <row r="7341" spans="1:2" ht="16.149999999999999" customHeight="1">
      <c r="A7341" s="877">
        <v>40901</v>
      </c>
      <c r="B7341" s="878">
        <v>1920.93</v>
      </c>
    </row>
    <row r="7342" spans="1:2" ht="16.149999999999999" customHeight="1">
      <c r="A7342" s="877">
        <v>40902</v>
      </c>
      <c r="B7342" s="880">
        <v>1920.93</v>
      </c>
    </row>
    <row r="7343" spans="1:2" ht="16.149999999999999" customHeight="1">
      <c r="A7343" s="877">
        <v>40903</v>
      </c>
      <c r="B7343" s="878">
        <v>1920.93</v>
      </c>
    </row>
    <row r="7344" spans="1:2" ht="16.149999999999999" customHeight="1">
      <c r="A7344" s="877">
        <v>40904</v>
      </c>
      <c r="B7344" s="880">
        <v>1920.93</v>
      </c>
    </row>
    <row r="7345" spans="1:2" ht="16.149999999999999" customHeight="1">
      <c r="A7345" s="877">
        <v>40905</v>
      </c>
      <c r="B7345" s="878">
        <v>1920.16</v>
      </c>
    </row>
    <row r="7346" spans="1:2" ht="16.149999999999999" customHeight="1">
      <c r="A7346" s="877">
        <v>40906</v>
      </c>
      <c r="B7346" s="880">
        <v>1938.52</v>
      </c>
    </row>
    <row r="7347" spans="1:2" ht="16.149999999999999" customHeight="1">
      <c r="A7347" s="877">
        <v>40907</v>
      </c>
      <c r="B7347" s="878">
        <v>1942.7</v>
      </c>
    </row>
    <row r="7348" spans="1:2" ht="16.149999999999999" customHeight="1">
      <c r="A7348" s="877">
        <v>40908</v>
      </c>
      <c r="B7348" s="880">
        <v>1942.7</v>
      </c>
    </row>
    <row r="7349" spans="1:2" ht="16.149999999999999" customHeight="1">
      <c r="A7349" s="877">
        <v>40909</v>
      </c>
      <c r="B7349" s="878">
        <v>1942.7</v>
      </c>
    </row>
    <row r="7350" spans="1:2" ht="16.149999999999999" customHeight="1">
      <c r="A7350" s="877">
        <v>40910</v>
      </c>
      <c r="B7350" s="880">
        <v>1942.7</v>
      </c>
    </row>
    <row r="7351" spans="1:2" ht="16.149999999999999" customHeight="1">
      <c r="A7351" s="877">
        <v>40911</v>
      </c>
      <c r="B7351" s="878">
        <v>1942.7</v>
      </c>
    </row>
    <row r="7352" spans="1:2" ht="16.149999999999999" customHeight="1">
      <c r="A7352" s="877">
        <v>40912</v>
      </c>
      <c r="B7352" s="880">
        <v>1915.02</v>
      </c>
    </row>
    <row r="7353" spans="1:2" ht="16.149999999999999" customHeight="1">
      <c r="A7353" s="877">
        <v>40913</v>
      </c>
      <c r="B7353" s="878">
        <v>1898.24</v>
      </c>
    </row>
    <row r="7354" spans="1:2" ht="16.149999999999999" customHeight="1">
      <c r="A7354" s="877">
        <v>40914</v>
      </c>
      <c r="B7354" s="880">
        <v>1884.44</v>
      </c>
    </row>
    <row r="7355" spans="1:2" ht="16.149999999999999" customHeight="1">
      <c r="A7355" s="877">
        <v>40915</v>
      </c>
      <c r="B7355" s="878">
        <v>1884.47</v>
      </c>
    </row>
    <row r="7356" spans="1:2" ht="16.149999999999999" customHeight="1">
      <c r="A7356" s="877">
        <v>40916</v>
      </c>
      <c r="B7356" s="880">
        <v>1884.47</v>
      </c>
    </row>
    <row r="7357" spans="1:2" ht="16.149999999999999" customHeight="1">
      <c r="A7357" s="877">
        <v>40917</v>
      </c>
      <c r="B7357" s="878">
        <v>1884.47</v>
      </c>
    </row>
    <row r="7358" spans="1:2" ht="16.149999999999999" customHeight="1">
      <c r="A7358" s="877">
        <v>40918</v>
      </c>
      <c r="B7358" s="880">
        <v>1884.47</v>
      </c>
    </row>
    <row r="7359" spans="1:2" ht="16.149999999999999" customHeight="1">
      <c r="A7359" s="877">
        <v>40919</v>
      </c>
      <c r="B7359" s="878">
        <v>1865.07</v>
      </c>
    </row>
    <row r="7360" spans="1:2" ht="16.149999999999999" customHeight="1">
      <c r="A7360" s="877">
        <v>40920</v>
      </c>
      <c r="B7360" s="880">
        <v>1854.17</v>
      </c>
    </row>
    <row r="7361" spans="1:2" ht="16.149999999999999" customHeight="1">
      <c r="A7361" s="877">
        <v>40921</v>
      </c>
      <c r="B7361" s="878">
        <v>1842.47</v>
      </c>
    </row>
    <row r="7362" spans="1:2" ht="16.149999999999999" customHeight="1">
      <c r="A7362" s="877">
        <v>40922</v>
      </c>
      <c r="B7362" s="880">
        <v>1841.31</v>
      </c>
    </row>
    <row r="7363" spans="1:2" ht="16.149999999999999" customHeight="1">
      <c r="A7363" s="877">
        <v>40923</v>
      </c>
      <c r="B7363" s="878">
        <v>1841.31</v>
      </c>
    </row>
    <row r="7364" spans="1:2" ht="16.149999999999999" customHeight="1">
      <c r="A7364" s="877">
        <v>40924</v>
      </c>
      <c r="B7364" s="880">
        <v>1841.31</v>
      </c>
    </row>
    <row r="7365" spans="1:2" ht="16.149999999999999" customHeight="1">
      <c r="A7365" s="877">
        <v>40925</v>
      </c>
      <c r="B7365" s="878">
        <v>1841.31</v>
      </c>
    </row>
    <row r="7366" spans="1:2" ht="16.149999999999999" customHeight="1">
      <c r="A7366" s="877">
        <v>40926</v>
      </c>
      <c r="B7366" s="880">
        <v>1836.34</v>
      </c>
    </row>
    <row r="7367" spans="1:2" ht="16.149999999999999" customHeight="1">
      <c r="A7367" s="877">
        <v>40927</v>
      </c>
      <c r="B7367" s="878">
        <v>1827.24</v>
      </c>
    </row>
    <row r="7368" spans="1:2" ht="16.149999999999999" customHeight="1">
      <c r="A7368" s="877">
        <v>40928</v>
      </c>
      <c r="B7368" s="880">
        <v>1821.86</v>
      </c>
    </row>
    <row r="7369" spans="1:2" ht="16.149999999999999" customHeight="1">
      <c r="A7369" s="877">
        <v>40929</v>
      </c>
      <c r="B7369" s="878">
        <v>1828.75</v>
      </c>
    </row>
    <row r="7370" spans="1:2" ht="16.149999999999999" customHeight="1">
      <c r="A7370" s="877">
        <v>40930</v>
      </c>
      <c r="B7370" s="880">
        <v>1828.75</v>
      </c>
    </row>
    <row r="7371" spans="1:2" ht="16.149999999999999" customHeight="1">
      <c r="A7371" s="877">
        <v>40931</v>
      </c>
      <c r="B7371" s="878">
        <v>1828.75</v>
      </c>
    </row>
    <row r="7372" spans="1:2" ht="16.149999999999999" customHeight="1">
      <c r="A7372" s="877">
        <v>40932</v>
      </c>
      <c r="B7372" s="880">
        <v>1811.55</v>
      </c>
    </row>
    <row r="7373" spans="1:2" ht="16.149999999999999" customHeight="1">
      <c r="A7373" s="877">
        <v>40933</v>
      </c>
      <c r="B7373" s="878">
        <v>1814.58</v>
      </c>
    </row>
    <row r="7374" spans="1:2" ht="16.149999999999999" customHeight="1">
      <c r="A7374" s="877">
        <v>40934</v>
      </c>
      <c r="B7374" s="880">
        <v>1814.69</v>
      </c>
    </row>
    <row r="7375" spans="1:2" ht="16.149999999999999" customHeight="1">
      <c r="A7375" s="877">
        <v>40935</v>
      </c>
      <c r="B7375" s="878">
        <v>1801.88</v>
      </c>
    </row>
    <row r="7376" spans="1:2" ht="16.149999999999999" customHeight="1">
      <c r="A7376" s="877">
        <v>40936</v>
      </c>
      <c r="B7376" s="880">
        <v>1810.55</v>
      </c>
    </row>
    <row r="7377" spans="1:2" ht="16.149999999999999" customHeight="1">
      <c r="A7377" s="877">
        <v>40937</v>
      </c>
      <c r="B7377" s="878">
        <v>1810.55</v>
      </c>
    </row>
    <row r="7378" spans="1:2" ht="16.149999999999999" customHeight="1">
      <c r="A7378" s="877">
        <v>40938</v>
      </c>
      <c r="B7378" s="880">
        <v>1810.55</v>
      </c>
    </row>
    <row r="7379" spans="1:2" ht="16.149999999999999" customHeight="1">
      <c r="A7379" s="877">
        <v>40939</v>
      </c>
      <c r="B7379" s="878">
        <v>1815.08</v>
      </c>
    </row>
    <row r="7380" spans="1:2" ht="16.149999999999999" customHeight="1">
      <c r="A7380" s="877">
        <v>40940</v>
      </c>
      <c r="B7380" s="880">
        <v>1805.98</v>
      </c>
    </row>
    <row r="7381" spans="1:2" ht="16.149999999999999" customHeight="1">
      <c r="A7381" s="877">
        <v>40941</v>
      </c>
      <c r="B7381" s="878">
        <v>1797.68</v>
      </c>
    </row>
    <row r="7382" spans="1:2" ht="16.149999999999999" customHeight="1">
      <c r="A7382" s="877">
        <v>40942</v>
      </c>
      <c r="B7382" s="880">
        <v>1795.55</v>
      </c>
    </row>
    <row r="7383" spans="1:2" ht="16.149999999999999" customHeight="1">
      <c r="A7383" s="877">
        <v>40943</v>
      </c>
      <c r="B7383" s="878">
        <v>1784.77</v>
      </c>
    </row>
    <row r="7384" spans="1:2" ht="16.149999999999999" customHeight="1">
      <c r="A7384" s="877">
        <v>40944</v>
      </c>
      <c r="B7384" s="880">
        <v>1784.77</v>
      </c>
    </row>
    <row r="7385" spans="1:2" ht="16.149999999999999" customHeight="1">
      <c r="A7385" s="877">
        <v>40945</v>
      </c>
      <c r="B7385" s="878">
        <v>1784.77</v>
      </c>
    </row>
    <row r="7386" spans="1:2" ht="16.149999999999999" customHeight="1">
      <c r="A7386" s="877">
        <v>40946</v>
      </c>
      <c r="B7386" s="880">
        <v>1787.96</v>
      </c>
    </row>
    <row r="7387" spans="1:2" ht="16.149999999999999" customHeight="1">
      <c r="A7387" s="877">
        <v>40947</v>
      </c>
      <c r="B7387" s="878">
        <v>1783.34</v>
      </c>
    </row>
    <row r="7388" spans="1:2" ht="16.149999999999999" customHeight="1">
      <c r="A7388" s="877">
        <v>40948</v>
      </c>
      <c r="B7388" s="880">
        <v>1778.9</v>
      </c>
    </row>
    <row r="7389" spans="1:2" ht="16.149999999999999" customHeight="1">
      <c r="A7389" s="877">
        <v>40949</v>
      </c>
      <c r="B7389" s="878">
        <v>1774.96</v>
      </c>
    </row>
    <row r="7390" spans="1:2" ht="16.149999999999999" customHeight="1">
      <c r="A7390" s="877">
        <v>40950</v>
      </c>
      <c r="B7390" s="880">
        <v>1785.59</v>
      </c>
    </row>
    <row r="7391" spans="1:2" ht="16.149999999999999" customHeight="1">
      <c r="A7391" s="877">
        <v>40951</v>
      </c>
      <c r="B7391" s="878">
        <v>1785.59</v>
      </c>
    </row>
    <row r="7392" spans="1:2" ht="16.149999999999999" customHeight="1">
      <c r="A7392" s="877">
        <v>40952</v>
      </c>
      <c r="B7392" s="880">
        <v>1785.59</v>
      </c>
    </row>
    <row r="7393" spans="1:2" ht="16.149999999999999" customHeight="1">
      <c r="A7393" s="877">
        <v>40953</v>
      </c>
      <c r="B7393" s="878">
        <v>1778.12</v>
      </c>
    </row>
    <row r="7394" spans="1:2" ht="16.149999999999999" customHeight="1">
      <c r="A7394" s="877">
        <v>40954</v>
      </c>
      <c r="B7394" s="880">
        <v>1785.24</v>
      </c>
    </row>
    <row r="7395" spans="1:2" ht="16.149999999999999" customHeight="1">
      <c r="A7395" s="877">
        <v>40955</v>
      </c>
      <c r="B7395" s="878">
        <v>1791.29</v>
      </c>
    </row>
    <row r="7396" spans="1:2" ht="16.149999999999999" customHeight="1">
      <c r="A7396" s="877">
        <v>40956</v>
      </c>
      <c r="B7396" s="880">
        <v>1792.92</v>
      </c>
    </row>
    <row r="7397" spans="1:2" ht="16.149999999999999" customHeight="1">
      <c r="A7397" s="877">
        <v>40957</v>
      </c>
      <c r="B7397" s="878">
        <v>1779.81</v>
      </c>
    </row>
    <row r="7398" spans="1:2" ht="16.149999999999999" customHeight="1">
      <c r="A7398" s="877">
        <v>40958</v>
      </c>
      <c r="B7398" s="880">
        <v>1779.81</v>
      </c>
    </row>
    <row r="7399" spans="1:2" ht="16.149999999999999" customHeight="1">
      <c r="A7399" s="877">
        <v>40959</v>
      </c>
      <c r="B7399" s="878">
        <v>1779.81</v>
      </c>
    </row>
    <row r="7400" spans="1:2" ht="16.149999999999999" customHeight="1">
      <c r="A7400" s="877">
        <v>40960</v>
      </c>
      <c r="B7400" s="880">
        <v>1779.81</v>
      </c>
    </row>
    <row r="7401" spans="1:2" ht="16.149999999999999" customHeight="1">
      <c r="A7401" s="877">
        <v>40961</v>
      </c>
      <c r="B7401" s="878">
        <v>1777.59</v>
      </c>
    </row>
    <row r="7402" spans="1:2" ht="16.149999999999999" customHeight="1">
      <c r="A7402" s="877">
        <v>40962</v>
      </c>
      <c r="B7402" s="880">
        <v>1781.57</v>
      </c>
    </row>
    <row r="7403" spans="1:2" ht="16.149999999999999" customHeight="1">
      <c r="A7403" s="877">
        <v>40963</v>
      </c>
      <c r="B7403" s="878">
        <v>1776.11</v>
      </c>
    </row>
    <row r="7404" spans="1:2" ht="16.149999999999999" customHeight="1">
      <c r="A7404" s="877">
        <v>40964</v>
      </c>
      <c r="B7404" s="880">
        <v>1772.42</v>
      </c>
    </row>
    <row r="7405" spans="1:2" ht="16.149999999999999" customHeight="1">
      <c r="A7405" s="877">
        <v>40965</v>
      </c>
      <c r="B7405" s="878">
        <v>1772.42</v>
      </c>
    </row>
    <row r="7406" spans="1:2" ht="16.149999999999999" customHeight="1">
      <c r="A7406" s="877">
        <v>40966</v>
      </c>
      <c r="B7406" s="880">
        <v>1772.42</v>
      </c>
    </row>
    <row r="7407" spans="1:2" ht="16.149999999999999" customHeight="1">
      <c r="A7407" s="877">
        <v>40967</v>
      </c>
      <c r="B7407" s="878">
        <v>1777.27</v>
      </c>
    </row>
    <row r="7408" spans="1:2" ht="16.149999999999999" customHeight="1">
      <c r="A7408" s="877">
        <v>40968</v>
      </c>
      <c r="B7408" s="880">
        <v>1767.83</v>
      </c>
    </row>
    <row r="7409" spans="1:2" ht="16.149999999999999" customHeight="1">
      <c r="A7409" s="877">
        <v>40969</v>
      </c>
      <c r="B7409" s="878">
        <v>1766.85</v>
      </c>
    </row>
    <row r="7410" spans="1:2" ht="16.149999999999999" customHeight="1">
      <c r="A7410" s="877">
        <v>40970</v>
      </c>
      <c r="B7410" s="880">
        <v>1770.7</v>
      </c>
    </row>
    <row r="7411" spans="1:2" ht="16.149999999999999" customHeight="1">
      <c r="A7411" s="877">
        <v>40971</v>
      </c>
      <c r="B7411" s="878">
        <v>1775.69</v>
      </c>
    </row>
    <row r="7412" spans="1:2" ht="16.149999999999999" customHeight="1">
      <c r="A7412" s="877">
        <v>40972</v>
      </c>
      <c r="B7412" s="880">
        <v>1775.69</v>
      </c>
    </row>
    <row r="7413" spans="1:2" ht="16.149999999999999" customHeight="1">
      <c r="A7413" s="877">
        <v>40973</v>
      </c>
      <c r="B7413" s="878">
        <v>1775.69</v>
      </c>
    </row>
    <row r="7414" spans="1:2" ht="16.149999999999999" customHeight="1">
      <c r="A7414" s="877">
        <v>40974</v>
      </c>
      <c r="B7414" s="880">
        <v>1774.03</v>
      </c>
    </row>
    <row r="7415" spans="1:2" ht="16.149999999999999" customHeight="1">
      <c r="A7415" s="877">
        <v>40975</v>
      </c>
      <c r="B7415" s="878">
        <v>1779.32</v>
      </c>
    </row>
    <row r="7416" spans="1:2" ht="16.149999999999999" customHeight="1">
      <c r="A7416" s="877">
        <v>40976</v>
      </c>
      <c r="B7416" s="880">
        <v>1773.88</v>
      </c>
    </row>
    <row r="7417" spans="1:2" ht="16.149999999999999" customHeight="1">
      <c r="A7417" s="877">
        <v>40977</v>
      </c>
      <c r="B7417" s="878">
        <v>1765.06</v>
      </c>
    </row>
    <row r="7418" spans="1:2" ht="16.149999999999999" customHeight="1">
      <c r="A7418" s="877">
        <v>40978</v>
      </c>
      <c r="B7418" s="880">
        <v>1762.08</v>
      </c>
    </row>
    <row r="7419" spans="1:2" ht="16.149999999999999" customHeight="1">
      <c r="A7419" s="877">
        <v>40979</v>
      </c>
      <c r="B7419" s="878">
        <v>1762.08</v>
      </c>
    </row>
    <row r="7420" spans="1:2" ht="16.149999999999999" customHeight="1">
      <c r="A7420" s="877">
        <v>40980</v>
      </c>
      <c r="B7420" s="880">
        <v>1762.08</v>
      </c>
    </row>
    <row r="7421" spans="1:2" ht="16.149999999999999" customHeight="1">
      <c r="A7421" s="877">
        <v>40981</v>
      </c>
      <c r="B7421" s="878">
        <v>1766.1</v>
      </c>
    </row>
    <row r="7422" spans="1:2" ht="16.149999999999999" customHeight="1">
      <c r="A7422" s="877">
        <v>40982</v>
      </c>
      <c r="B7422" s="880">
        <v>1760.77</v>
      </c>
    </row>
    <row r="7423" spans="1:2" ht="16.149999999999999" customHeight="1">
      <c r="A7423" s="877">
        <v>40983</v>
      </c>
      <c r="B7423" s="878">
        <v>1761.04</v>
      </c>
    </row>
    <row r="7424" spans="1:2" ht="16.149999999999999" customHeight="1">
      <c r="A7424" s="877">
        <v>40984</v>
      </c>
      <c r="B7424" s="880">
        <v>1761.02</v>
      </c>
    </row>
    <row r="7425" spans="1:2" ht="16.149999999999999" customHeight="1">
      <c r="A7425" s="877">
        <v>40985</v>
      </c>
      <c r="B7425" s="878">
        <v>1758.38</v>
      </c>
    </row>
    <row r="7426" spans="1:2" ht="16.149999999999999" customHeight="1">
      <c r="A7426" s="877">
        <v>40986</v>
      </c>
      <c r="B7426" s="880">
        <v>1758.38</v>
      </c>
    </row>
    <row r="7427" spans="1:2" ht="16.149999999999999" customHeight="1">
      <c r="A7427" s="877">
        <v>40987</v>
      </c>
      <c r="B7427" s="878">
        <v>1758.38</v>
      </c>
    </row>
    <row r="7428" spans="1:2" ht="16.149999999999999" customHeight="1">
      <c r="A7428" s="877">
        <v>40988</v>
      </c>
      <c r="B7428" s="880">
        <v>1758.38</v>
      </c>
    </row>
    <row r="7429" spans="1:2" ht="16.149999999999999" customHeight="1">
      <c r="A7429" s="877">
        <v>40989</v>
      </c>
      <c r="B7429" s="878">
        <v>1759.78</v>
      </c>
    </row>
    <row r="7430" spans="1:2" ht="16.149999999999999" customHeight="1">
      <c r="A7430" s="877">
        <v>40990</v>
      </c>
      <c r="B7430" s="880">
        <v>1758.03</v>
      </c>
    </row>
    <row r="7431" spans="1:2" ht="16.149999999999999" customHeight="1">
      <c r="A7431" s="877">
        <v>40991</v>
      </c>
      <c r="B7431" s="878">
        <v>1761.87</v>
      </c>
    </row>
    <row r="7432" spans="1:2" ht="16.149999999999999" customHeight="1">
      <c r="A7432" s="877">
        <v>40992</v>
      </c>
      <c r="B7432" s="880">
        <v>1760.17</v>
      </c>
    </row>
    <row r="7433" spans="1:2" ht="16.149999999999999" customHeight="1">
      <c r="A7433" s="877">
        <v>40993</v>
      </c>
      <c r="B7433" s="878">
        <v>1760.17</v>
      </c>
    </row>
    <row r="7434" spans="1:2" ht="16.149999999999999" customHeight="1">
      <c r="A7434" s="877">
        <v>40994</v>
      </c>
      <c r="B7434" s="880">
        <v>1760.17</v>
      </c>
    </row>
    <row r="7435" spans="1:2" ht="16.149999999999999" customHeight="1">
      <c r="A7435" s="877">
        <v>40995</v>
      </c>
      <c r="B7435" s="878">
        <v>1759.58</v>
      </c>
    </row>
    <row r="7436" spans="1:2" ht="16.149999999999999" customHeight="1">
      <c r="A7436" s="877">
        <v>40996</v>
      </c>
      <c r="B7436" s="880">
        <v>1762.93</v>
      </c>
    </row>
    <row r="7437" spans="1:2" ht="16.149999999999999" customHeight="1">
      <c r="A7437" s="877">
        <v>40997</v>
      </c>
      <c r="B7437" s="878">
        <v>1771.25</v>
      </c>
    </row>
    <row r="7438" spans="1:2" ht="16.149999999999999" customHeight="1">
      <c r="A7438" s="877">
        <v>40998</v>
      </c>
      <c r="B7438" s="880">
        <v>1784.66</v>
      </c>
    </row>
    <row r="7439" spans="1:2" ht="16.149999999999999" customHeight="1">
      <c r="A7439" s="877">
        <v>40999</v>
      </c>
      <c r="B7439" s="878">
        <v>1792.07</v>
      </c>
    </row>
    <row r="7440" spans="1:2" ht="16.149999999999999" customHeight="1">
      <c r="A7440" s="877">
        <v>41000</v>
      </c>
      <c r="B7440" s="880">
        <v>1792.07</v>
      </c>
    </row>
    <row r="7441" spans="1:2" ht="16.149999999999999" customHeight="1">
      <c r="A7441" s="877">
        <v>41001</v>
      </c>
      <c r="B7441" s="878">
        <v>1792.07</v>
      </c>
    </row>
    <row r="7442" spans="1:2" ht="16.149999999999999" customHeight="1">
      <c r="A7442" s="877">
        <v>41002</v>
      </c>
      <c r="B7442" s="880">
        <v>1779.13</v>
      </c>
    </row>
    <row r="7443" spans="1:2" ht="16.149999999999999" customHeight="1">
      <c r="A7443" s="877">
        <v>41003</v>
      </c>
      <c r="B7443" s="878">
        <v>1767.84</v>
      </c>
    </row>
    <row r="7444" spans="1:2" ht="16.149999999999999" customHeight="1">
      <c r="A7444" s="877">
        <v>41004</v>
      </c>
      <c r="B7444" s="880">
        <v>1772.58</v>
      </c>
    </row>
    <row r="7445" spans="1:2" ht="16.149999999999999" customHeight="1">
      <c r="A7445" s="877">
        <v>41005</v>
      </c>
      <c r="B7445" s="878">
        <v>1772.58</v>
      </c>
    </row>
    <row r="7446" spans="1:2" ht="16.149999999999999" customHeight="1">
      <c r="A7446" s="877">
        <v>41006</v>
      </c>
      <c r="B7446" s="880">
        <v>1772.58</v>
      </c>
    </row>
    <row r="7447" spans="1:2" ht="16.149999999999999" customHeight="1">
      <c r="A7447" s="877">
        <v>41007</v>
      </c>
      <c r="B7447" s="878">
        <v>1772.58</v>
      </c>
    </row>
    <row r="7448" spans="1:2" ht="16.149999999999999" customHeight="1">
      <c r="A7448" s="877">
        <v>41008</v>
      </c>
      <c r="B7448" s="880">
        <v>1772.58</v>
      </c>
    </row>
    <row r="7449" spans="1:2" ht="16.149999999999999" customHeight="1">
      <c r="A7449" s="877">
        <v>41009</v>
      </c>
      <c r="B7449" s="878">
        <v>1779.53</v>
      </c>
    </row>
    <row r="7450" spans="1:2" ht="16.149999999999999" customHeight="1">
      <c r="A7450" s="877">
        <v>41010</v>
      </c>
      <c r="B7450" s="880">
        <v>1793.3</v>
      </c>
    </row>
    <row r="7451" spans="1:2" ht="16.149999999999999" customHeight="1">
      <c r="A7451" s="877">
        <v>41011</v>
      </c>
      <c r="B7451" s="878">
        <v>1787.66</v>
      </c>
    </row>
    <row r="7452" spans="1:2" ht="16.149999999999999" customHeight="1">
      <c r="A7452" s="877">
        <v>41012</v>
      </c>
      <c r="B7452" s="880">
        <v>1778.78</v>
      </c>
    </row>
    <row r="7453" spans="1:2" ht="16.149999999999999" customHeight="1">
      <c r="A7453" s="877">
        <v>41013</v>
      </c>
      <c r="B7453" s="878">
        <v>1777.12</v>
      </c>
    </row>
    <row r="7454" spans="1:2" ht="16.149999999999999" customHeight="1">
      <c r="A7454" s="877">
        <v>41014</v>
      </c>
      <c r="B7454" s="880">
        <v>1777.12</v>
      </c>
    </row>
    <row r="7455" spans="1:2" ht="16.149999999999999" customHeight="1">
      <c r="A7455" s="877">
        <v>41015</v>
      </c>
      <c r="B7455" s="878">
        <v>1777.12</v>
      </c>
    </row>
    <row r="7456" spans="1:2" ht="16.149999999999999" customHeight="1">
      <c r="A7456" s="877">
        <v>41016</v>
      </c>
      <c r="B7456" s="880">
        <v>1775.67</v>
      </c>
    </row>
    <row r="7457" spans="1:2" ht="16.149999999999999" customHeight="1">
      <c r="A7457" s="877">
        <v>41017</v>
      </c>
      <c r="B7457" s="878">
        <v>1769.07</v>
      </c>
    </row>
    <row r="7458" spans="1:2" ht="16.149999999999999" customHeight="1">
      <c r="A7458" s="877">
        <v>41018</v>
      </c>
      <c r="B7458" s="880">
        <v>1774.21</v>
      </c>
    </row>
    <row r="7459" spans="1:2" ht="16.149999999999999" customHeight="1">
      <c r="A7459" s="877">
        <v>41019</v>
      </c>
      <c r="B7459" s="878">
        <v>1776.06</v>
      </c>
    </row>
    <row r="7460" spans="1:2" ht="16.149999999999999" customHeight="1">
      <c r="A7460" s="877">
        <v>41020</v>
      </c>
      <c r="B7460" s="880">
        <v>1771.13</v>
      </c>
    </row>
    <row r="7461" spans="1:2" ht="16.149999999999999" customHeight="1">
      <c r="A7461" s="877">
        <v>41021</v>
      </c>
      <c r="B7461" s="878">
        <v>1771.13</v>
      </c>
    </row>
    <row r="7462" spans="1:2" ht="16.149999999999999" customHeight="1">
      <c r="A7462" s="877">
        <v>41022</v>
      </c>
      <c r="B7462" s="880">
        <v>1771.13</v>
      </c>
    </row>
    <row r="7463" spans="1:2" ht="16.149999999999999" customHeight="1">
      <c r="A7463" s="877">
        <v>41023</v>
      </c>
      <c r="B7463" s="878">
        <v>1774.44</v>
      </c>
    </row>
    <row r="7464" spans="1:2" ht="16.149999999999999" customHeight="1">
      <c r="A7464" s="877">
        <v>41024</v>
      </c>
      <c r="B7464" s="880">
        <v>1767.91</v>
      </c>
    </row>
    <row r="7465" spans="1:2" ht="16.149999999999999" customHeight="1">
      <c r="A7465" s="877">
        <v>41025</v>
      </c>
      <c r="B7465" s="878">
        <v>1763.85</v>
      </c>
    </row>
    <row r="7466" spans="1:2" ht="16.149999999999999" customHeight="1">
      <c r="A7466" s="877">
        <v>41026</v>
      </c>
      <c r="B7466" s="880">
        <v>1764.63</v>
      </c>
    </row>
    <row r="7467" spans="1:2" ht="16.149999999999999" customHeight="1">
      <c r="A7467" s="877">
        <v>41027</v>
      </c>
      <c r="B7467" s="878">
        <v>1761.2</v>
      </c>
    </row>
    <row r="7468" spans="1:2" ht="16.149999999999999" customHeight="1">
      <c r="A7468" s="877">
        <v>41028</v>
      </c>
      <c r="B7468" s="880">
        <v>1761.2</v>
      </c>
    </row>
    <row r="7469" spans="1:2" ht="16.149999999999999" customHeight="1">
      <c r="A7469" s="877">
        <v>41029</v>
      </c>
      <c r="B7469" s="878">
        <v>1761.2</v>
      </c>
    </row>
    <row r="7470" spans="1:2" ht="16.149999999999999" customHeight="1">
      <c r="A7470" s="877">
        <v>41030</v>
      </c>
      <c r="B7470" s="880">
        <v>1764</v>
      </c>
    </row>
    <row r="7471" spans="1:2" ht="16.149999999999999" customHeight="1">
      <c r="A7471" s="877">
        <v>41031</v>
      </c>
      <c r="B7471" s="878">
        <v>1764</v>
      </c>
    </row>
    <row r="7472" spans="1:2" ht="16.149999999999999" customHeight="1">
      <c r="A7472" s="877">
        <v>41032</v>
      </c>
      <c r="B7472" s="880">
        <v>1760.12</v>
      </c>
    </row>
    <row r="7473" spans="1:2" ht="16.149999999999999" customHeight="1">
      <c r="A7473" s="877">
        <v>41033</v>
      </c>
      <c r="B7473" s="878">
        <v>1754.89</v>
      </c>
    </row>
    <row r="7474" spans="1:2" ht="16.149999999999999" customHeight="1">
      <c r="A7474" s="877">
        <v>41034</v>
      </c>
      <c r="B7474" s="880">
        <v>1757.24</v>
      </c>
    </row>
    <row r="7475" spans="1:2" ht="16.149999999999999" customHeight="1">
      <c r="A7475" s="877">
        <v>41035</v>
      </c>
      <c r="B7475" s="878">
        <v>1757.24</v>
      </c>
    </row>
    <row r="7476" spans="1:2" ht="16.149999999999999" customHeight="1">
      <c r="A7476" s="877">
        <v>41036</v>
      </c>
      <c r="B7476" s="880">
        <v>1757.24</v>
      </c>
    </row>
    <row r="7477" spans="1:2" ht="16.149999999999999" customHeight="1">
      <c r="A7477" s="877">
        <v>41037</v>
      </c>
      <c r="B7477" s="878">
        <v>1759.12</v>
      </c>
    </row>
    <row r="7478" spans="1:2" ht="16.149999999999999" customHeight="1">
      <c r="A7478" s="877">
        <v>41038</v>
      </c>
      <c r="B7478" s="880">
        <v>1760.6</v>
      </c>
    </row>
    <row r="7479" spans="1:2" ht="16.149999999999999" customHeight="1">
      <c r="A7479" s="877">
        <v>41039</v>
      </c>
      <c r="B7479" s="878">
        <v>1775.96</v>
      </c>
    </row>
    <row r="7480" spans="1:2" ht="16.149999999999999" customHeight="1">
      <c r="A7480" s="877">
        <v>41040</v>
      </c>
      <c r="B7480" s="880">
        <v>1765</v>
      </c>
    </row>
    <row r="7481" spans="1:2" ht="16.149999999999999" customHeight="1">
      <c r="A7481" s="877">
        <v>41041</v>
      </c>
      <c r="B7481" s="878">
        <v>1764.69</v>
      </c>
    </row>
    <row r="7482" spans="1:2" ht="16.149999999999999" customHeight="1">
      <c r="A7482" s="877">
        <v>41042</v>
      </c>
      <c r="B7482" s="880">
        <v>1764.69</v>
      </c>
    </row>
    <row r="7483" spans="1:2" ht="16.149999999999999" customHeight="1">
      <c r="A7483" s="877">
        <v>41043</v>
      </c>
      <c r="B7483" s="878">
        <v>1764.69</v>
      </c>
    </row>
    <row r="7484" spans="1:2" ht="16.149999999999999" customHeight="1">
      <c r="A7484" s="877">
        <v>41044</v>
      </c>
      <c r="B7484" s="880">
        <v>1771.6</v>
      </c>
    </row>
    <row r="7485" spans="1:2" ht="16.149999999999999" customHeight="1">
      <c r="A7485" s="877">
        <v>41045</v>
      </c>
      <c r="B7485" s="878">
        <v>1778.37</v>
      </c>
    </row>
    <row r="7486" spans="1:2" ht="16.149999999999999" customHeight="1">
      <c r="A7486" s="877">
        <v>41046</v>
      </c>
      <c r="B7486" s="880">
        <v>1793.61</v>
      </c>
    </row>
    <row r="7487" spans="1:2" ht="16.149999999999999" customHeight="1">
      <c r="A7487" s="877">
        <v>41047</v>
      </c>
      <c r="B7487" s="878">
        <v>1804.92</v>
      </c>
    </row>
    <row r="7488" spans="1:2" ht="16.149999999999999" customHeight="1">
      <c r="A7488" s="877">
        <v>41048</v>
      </c>
      <c r="B7488" s="880">
        <v>1814.46</v>
      </c>
    </row>
    <row r="7489" spans="1:2" ht="16.149999999999999" customHeight="1">
      <c r="A7489" s="877">
        <v>41049</v>
      </c>
      <c r="B7489" s="878">
        <v>1814.46</v>
      </c>
    </row>
    <row r="7490" spans="1:2" ht="16.149999999999999" customHeight="1">
      <c r="A7490" s="877">
        <v>41050</v>
      </c>
      <c r="B7490" s="880">
        <v>1814.46</v>
      </c>
    </row>
    <row r="7491" spans="1:2" ht="16.149999999999999" customHeight="1">
      <c r="A7491" s="877">
        <v>41051</v>
      </c>
      <c r="B7491" s="878">
        <v>1814.46</v>
      </c>
    </row>
    <row r="7492" spans="1:2" ht="16.149999999999999" customHeight="1">
      <c r="A7492" s="877">
        <v>41052</v>
      </c>
      <c r="B7492" s="880">
        <v>1824.73</v>
      </c>
    </row>
    <row r="7493" spans="1:2" ht="16.149999999999999" customHeight="1">
      <c r="A7493" s="877">
        <v>41053</v>
      </c>
      <c r="B7493" s="878">
        <v>1845.17</v>
      </c>
    </row>
    <row r="7494" spans="1:2" ht="16.149999999999999" customHeight="1">
      <c r="A7494" s="877">
        <v>41054</v>
      </c>
      <c r="B7494" s="880">
        <v>1836.45</v>
      </c>
    </row>
    <row r="7495" spans="1:2" ht="16.149999999999999" customHeight="1">
      <c r="A7495" s="877">
        <v>41055</v>
      </c>
      <c r="B7495" s="878">
        <v>1840.69</v>
      </c>
    </row>
    <row r="7496" spans="1:2" ht="16.149999999999999" customHeight="1">
      <c r="A7496" s="877">
        <v>41056</v>
      </c>
      <c r="B7496" s="880">
        <v>1840.69</v>
      </c>
    </row>
    <row r="7497" spans="1:2" ht="16.149999999999999" customHeight="1">
      <c r="A7497" s="877">
        <v>41057</v>
      </c>
      <c r="B7497" s="878">
        <v>1840.69</v>
      </c>
    </row>
    <row r="7498" spans="1:2" ht="16.149999999999999" customHeight="1">
      <c r="A7498" s="877">
        <v>41058</v>
      </c>
      <c r="B7498" s="880">
        <v>1840.69</v>
      </c>
    </row>
    <row r="7499" spans="1:2" ht="16.149999999999999" customHeight="1">
      <c r="A7499" s="877">
        <v>41059</v>
      </c>
      <c r="B7499" s="878">
        <v>1818.82</v>
      </c>
    </row>
    <row r="7500" spans="1:2" ht="16.149999999999999" customHeight="1">
      <c r="A7500" s="877">
        <v>41060</v>
      </c>
      <c r="B7500" s="880">
        <v>1827.83</v>
      </c>
    </row>
    <row r="7501" spans="1:2" ht="16.149999999999999" customHeight="1">
      <c r="A7501" s="877">
        <v>41061</v>
      </c>
      <c r="B7501" s="878">
        <v>1833.8</v>
      </c>
    </row>
    <row r="7502" spans="1:2" ht="16.149999999999999" customHeight="1">
      <c r="A7502" s="877">
        <v>41062</v>
      </c>
      <c r="B7502" s="880">
        <v>1834.71</v>
      </c>
    </row>
    <row r="7503" spans="1:2" ht="16.149999999999999" customHeight="1">
      <c r="A7503" s="877">
        <v>41063</v>
      </c>
      <c r="B7503" s="878">
        <v>1834.71</v>
      </c>
    </row>
    <row r="7504" spans="1:2" ht="16.149999999999999" customHeight="1">
      <c r="A7504" s="877">
        <v>41064</v>
      </c>
      <c r="B7504" s="880">
        <v>1834.71</v>
      </c>
    </row>
    <row r="7505" spans="1:2" ht="16.149999999999999" customHeight="1">
      <c r="A7505" s="877">
        <v>41065</v>
      </c>
      <c r="B7505" s="878">
        <v>1815.54</v>
      </c>
    </row>
    <row r="7506" spans="1:2" ht="16.149999999999999" customHeight="1">
      <c r="A7506" s="877">
        <v>41066</v>
      </c>
      <c r="B7506" s="880">
        <v>1798.85</v>
      </c>
    </row>
    <row r="7507" spans="1:2" ht="16.149999999999999" customHeight="1">
      <c r="A7507" s="877">
        <v>41067</v>
      </c>
      <c r="B7507" s="878">
        <v>1782.89</v>
      </c>
    </row>
    <row r="7508" spans="1:2" ht="16.149999999999999" customHeight="1">
      <c r="A7508" s="877">
        <v>41068</v>
      </c>
      <c r="B7508" s="880">
        <v>1766.91</v>
      </c>
    </row>
    <row r="7509" spans="1:2" ht="16.149999999999999" customHeight="1">
      <c r="A7509" s="877">
        <v>41069</v>
      </c>
      <c r="B7509" s="878">
        <v>1776.26</v>
      </c>
    </row>
    <row r="7510" spans="1:2" ht="16.149999999999999" customHeight="1">
      <c r="A7510" s="877">
        <v>41070</v>
      </c>
      <c r="B7510" s="880">
        <v>1776.26</v>
      </c>
    </row>
    <row r="7511" spans="1:2" ht="16.149999999999999" customHeight="1">
      <c r="A7511" s="877">
        <v>41071</v>
      </c>
      <c r="B7511" s="878">
        <v>1776.26</v>
      </c>
    </row>
    <row r="7512" spans="1:2" ht="16.149999999999999" customHeight="1">
      <c r="A7512" s="877">
        <v>41072</v>
      </c>
      <c r="B7512" s="880">
        <v>1776.26</v>
      </c>
    </row>
    <row r="7513" spans="1:2" ht="16.149999999999999" customHeight="1">
      <c r="A7513" s="877">
        <v>41073</v>
      </c>
      <c r="B7513" s="878">
        <v>1776.47</v>
      </c>
    </row>
    <row r="7514" spans="1:2" ht="16.149999999999999" customHeight="1">
      <c r="A7514" s="877">
        <v>41074</v>
      </c>
      <c r="B7514" s="880">
        <v>1783.45</v>
      </c>
    </row>
    <row r="7515" spans="1:2" ht="16.149999999999999" customHeight="1">
      <c r="A7515" s="877">
        <v>41075</v>
      </c>
      <c r="B7515" s="878">
        <v>1787.63</v>
      </c>
    </row>
    <row r="7516" spans="1:2" ht="16.149999999999999" customHeight="1">
      <c r="A7516" s="877">
        <v>41076</v>
      </c>
      <c r="B7516" s="880">
        <v>1786.21</v>
      </c>
    </row>
    <row r="7517" spans="1:2" ht="16.149999999999999" customHeight="1">
      <c r="A7517" s="877">
        <v>41077</v>
      </c>
      <c r="B7517" s="878">
        <v>1786.21</v>
      </c>
    </row>
    <row r="7518" spans="1:2" ht="16.149999999999999" customHeight="1">
      <c r="A7518" s="877">
        <v>41078</v>
      </c>
      <c r="B7518" s="880">
        <v>1786.21</v>
      </c>
    </row>
    <row r="7519" spans="1:2" ht="16.149999999999999" customHeight="1">
      <c r="A7519" s="877">
        <v>41079</v>
      </c>
      <c r="B7519" s="878">
        <v>1786.21</v>
      </c>
    </row>
    <row r="7520" spans="1:2" ht="16.149999999999999" customHeight="1">
      <c r="A7520" s="877">
        <v>41080</v>
      </c>
      <c r="B7520" s="880">
        <v>1773.18</v>
      </c>
    </row>
    <row r="7521" spans="1:2" ht="16.149999999999999" customHeight="1">
      <c r="A7521" s="877">
        <v>41081</v>
      </c>
      <c r="B7521" s="878">
        <v>1770.38</v>
      </c>
    </row>
    <row r="7522" spans="1:2" ht="16.149999999999999" customHeight="1">
      <c r="A7522" s="877">
        <v>41082</v>
      </c>
      <c r="B7522" s="880">
        <v>1775.99</v>
      </c>
    </row>
    <row r="7523" spans="1:2" ht="16.149999999999999" customHeight="1">
      <c r="A7523" s="877">
        <v>41083</v>
      </c>
      <c r="B7523" s="878">
        <v>1787.47</v>
      </c>
    </row>
    <row r="7524" spans="1:2" ht="16.149999999999999" customHeight="1">
      <c r="A7524" s="877">
        <v>41084</v>
      </c>
      <c r="B7524" s="880">
        <v>1787.47</v>
      </c>
    </row>
    <row r="7525" spans="1:2" ht="16.149999999999999" customHeight="1">
      <c r="A7525" s="877">
        <v>41085</v>
      </c>
      <c r="B7525" s="878">
        <v>1787.47</v>
      </c>
    </row>
    <row r="7526" spans="1:2" ht="16.149999999999999" customHeight="1">
      <c r="A7526" s="877">
        <v>41086</v>
      </c>
      <c r="B7526" s="880">
        <v>1803.37</v>
      </c>
    </row>
    <row r="7527" spans="1:2" ht="16.149999999999999" customHeight="1">
      <c r="A7527" s="877">
        <v>41087</v>
      </c>
      <c r="B7527" s="878">
        <v>1805.14</v>
      </c>
    </row>
    <row r="7528" spans="1:2" ht="16.149999999999999" customHeight="1">
      <c r="A7528" s="877">
        <v>41088</v>
      </c>
      <c r="B7528" s="880">
        <v>1796.18</v>
      </c>
    </row>
    <row r="7529" spans="1:2" ht="16.149999999999999" customHeight="1">
      <c r="A7529" s="877">
        <v>41089</v>
      </c>
      <c r="B7529" s="878">
        <v>1805.6</v>
      </c>
    </row>
    <row r="7530" spans="1:2" ht="16.149999999999999" customHeight="1">
      <c r="A7530" s="877">
        <v>41090</v>
      </c>
      <c r="B7530" s="880">
        <v>1784.6</v>
      </c>
    </row>
    <row r="7531" spans="1:2" ht="16.149999999999999" customHeight="1">
      <c r="A7531" s="877">
        <v>41091</v>
      </c>
      <c r="B7531" s="878">
        <v>1784.6</v>
      </c>
    </row>
    <row r="7532" spans="1:2" ht="16.149999999999999" customHeight="1">
      <c r="A7532" s="877">
        <v>41092</v>
      </c>
      <c r="B7532" s="880">
        <v>1784.6</v>
      </c>
    </row>
    <row r="7533" spans="1:2" ht="16.149999999999999" customHeight="1">
      <c r="A7533" s="877">
        <v>41093</v>
      </c>
      <c r="B7533" s="878">
        <v>1784.6</v>
      </c>
    </row>
    <row r="7534" spans="1:2" ht="16.149999999999999" customHeight="1">
      <c r="A7534" s="877">
        <v>41094</v>
      </c>
      <c r="B7534" s="880">
        <v>1771.53</v>
      </c>
    </row>
    <row r="7535" spans="1:2" ht="16.149999999999999" customHeight="1">
      <c r="A7535" s="877">
        <v>41095</v>
      </c>
      <c r="B7535" s="878">
        <v>1771.53</v>
      </c>
    </row>
    <row r="7536" spans="1:2" ht="16.149999999999999" customHeight="1">
      <c r="A7536" s="877">
        <v>41096</v>
      </c>
      <c r="B7536" s="880">
        <v>1774.37</v>
      </c>
    </row>
    <row r="7537" spans="1:2" ht="16.149999999999999" customHeight="1">
      <c r="A7537" s="877">
        <v>41097</v>
      </c>
      <c r="B7537" s="878">
        <v>1785.25</v>
      </c>
    </row>
    <row r="7538" spans="1:2" ht="16.149999999999999" customHeight="1">
      <c r="A7538" s="877">
        <v>41098</v>
      </c>
      <c r="B7538" s="880">
        <v>1785.25</v>
      </c>
    </row>
    <row r="7539" spans="1:2" ht="16.149999999999999" customHeight="1">
      <c r="A7539" s="877">
        <v>41099</v>
      </c>
      <c r="B7539" s="878">
        <v>1785.25</v>
      </c>
    </row>
    <row r="7540" spans="1:2" ht="16.149999999999999" customHeight="1">
      <c r="A7540" s="877">
        <v>41100</v>
      </c>
      <c r="B7540" s="880">
        <v>1790.25</v>
      </c>
    </row>
    <row r="7541" spans="1:2" ht="16.149999999999999" customHeight="1">
      <c r="A7541" s="877">
        <v>41101</v>
      </c>
      <c r="B7541" s="878">
        <v>1785.06</v>
      </c>
    </row>
    <row r="7542" spans="1:2" ht="16.149999999999999" customHeight="1">
      <c r="A7542" s="877">
        <v>41102</v>
      </c>
      <c r="B7542" s="880">
        <v>1787.72</v>
      </c>
    </row>
    <row r="7543" spans="1:2" ht="16.149999999999999" customHeight="1">
      <c r="A7543" s="877">
        <v>41103</v>
      </c>
      <c r="B7543" s="878">
        <v>1790.12</v>
      </c>
    </row>
    <row r="7544" spans="1:2" ht="16.149999999999999" customHeight="1">
      <c r="A7544" s="877">
        <v>41104</v>
      </c>
      <c r="B7544" s="880">
        <v>1780.21</v>
      </c>
    </row>
    <row r="7545" spans="1:2" ht="16.149999999999999" customHeight="1">
      <c r="A7545" s="877">
        <v>41105</v>
      </c>
      <c r="B7545" s="878">
        <v>1780.21</v>
      </c>
    </row>
    <row r="7546" spans="1:2" ht="16.149999999999999" customHeight="1">
      <c r="A7546" s="877">
        <v>41106</v>
      </c>
      <c r="B7546" s="880">
        <v>1780.21</v>
      </c>
    </row>
    <row r="7547" spans="1:2" ht="16.149999999999999" customHeight="1">
      <c r="A7547" s="877">
        <v>41107</v>
      </c>
      <c r="B7547" s="878">
        <v>1778.42</v>
      </c>
    </row>
    <row r="7548" spans="1:2" ht="16.149999999999999" customHeight="1">
      <c r="A7548" s="877">
        <v>41108</v>
      </c>
      <c r="B7548" s="880">
        <v>1778.97</v>
      </c>
    </row>
    <row r="7549" spans="1:2" ht="16.149999999999999" customHeight="1">
      <c r="A7549" s="877">
        <v>41109</v>
      </c>
      <c r="B7549" s="878">
        <v>1778.28</v>
      </c>
    </row>
    <row r="7550" spans="1:2" ht="16.149999999999999" customHeight="1">
      <c r="A7550" s="877">
        <v>41110</v>
      </c>
      <c r="B7550" s="880">
        <v>1775.8</v>
      </c>
    </row>
    <row r="7551" spans="1:2" ht="16.149999999999999" customHeight="1">
      <c r="A7551" s="877">
        <v>41111</v>
      </c>
      <c r="B7551" s="878">
        <v>1775.8</v>
      </c>
    </row>
    <row r="7552" spans="1:2" ht="16.149999999999999" customHeight="1">
      <c r="A7552" s="877">
        <v>41112</v>
      </c>
      <c r="B7552" s="880">
        <v>1775.8</v>
      </c>
    </row>
    <row r="7553" spans="1:2" ht="16.149999999999999" customHeight="1">
      <c r="A7553" s="877">
        <v>41113</v>
      </c>
      <c r="B7553" s="878">
        <v>1775.8</v>
      </c>
    </row>
    <row r="7554" spans="1:2" ht="16.149999999999999" customHeight="1">
      <c r="A7554" s="877">
        <v>41114</v>
      </c>
      <c r="B7554" s="880">
        <v>1790.39</v>
      </c>
    </row>
    <row r="7555" spans="1:2" ht="16.149999999999999" customHeight="1">
      <c r="A7555" s="877">
        <v>41115</v>
      </c>
      <c r="B7555" s="878">
        <v>1797.33</v>
      </c>
    </row>
    <row r="7556" spans="1:2" ht="16.149999999999999" customHeight="1">
      <c r="A7556" s="877">
        <v>41116</v>
      </c>
      <c r="B7556" s="880">
        <v>1799.48</v>
      </c>
    </row>
    <row r="7557" spans="1:2" ht="16.149999999999999" customHeight="1">
      <c r="A7557" s="877">
        <v>41117</v>
      </c>
      <c r="B7557" s="878">
        <v>1789.22</v>
      </c>
    </row>
    <row r="7558" spans="1:2" ht="16.149999999999999" customHeight="1">
      <c r="A7558" s="877">
        <v>41118</v>
      </c>
      <c r="B7558" s="880">
        <v>1791.12</v>
      </c>
    </row>
    <row r="7559" spans="1:2" ht="16.149999999999999" customHeight="1">
      <c r="A7559" s="877">
        <v>41119</v>
      </c>
      <c r="B7559" s="878">
        <v>1791.12</v>
      </c>
    </row>
    <row r="7560" spans="1:2" ht="16.149999999999999" customHeight="1">
      <c r="A7560" s="877">
        <v>41120</v>
      </c>
      <c r="B7560" s="880">
        <v>1791.12</v>
      </c>
    </row>
    <row r="7561" spans="1:2" ht="16.149999999999999" customHeight="1">
      <c r="A7561" s="877">
        <v>41121</v>
      </c>
      <c r="B7561" s="878">
        <v>1789.02</v>
      </c>
    </row>
    <row r="7562" spans="1:2" ht="16.149999999999999" customHeight="1">
      <c r="A7562" s="877">
        <v>41122</v>
      </c>
      <c r="B7562" s="880">
        <v>1790.74</v>
      </c>
    </row>
    <row r="7563" spans="1:2" ht="16.149999999999999" customHeight="1">
      <c r="A7563" s="877">
        <v>41123</v>
      </c>
      <c r="B7563" s="878">
        <v>1787.51</v>
      </c>
    </row>
    <row r="7564" spans="1:2" ht="16.149999999999999" customHeight="1">
      <c r="A7564" s="877">
        <v>41124</v>
      </c>
      <c r="B7564" s="880">
        <v>1790.97</v>
      </c>
    </row>
    <row r="7565" spans="1:2" ht="16.149999999999999" customHeight="1">
      <c r="A7565" s="877">
        <v>41125</v>
      </c>
      <c r="B7565" s="878">
        <v>1786.06</v>
      </c>
    </row>
    <row r="7566" spans="1:2" ht="16.149999999999999" customHeight="1">
      <c r="A7566" s="877">
        <v>41126</v>
      </c>
      <c r="B7566" s="880">
        <v>1786.06</v>
      </c>
    </row>
    <row r="7567" spans="1:2" ht="16.149999999999999" customHeight="1">
      <c r="A7567" s="877">
        <v>41127</v>
      </c>
      <c r="B7567" s="878">
        <v>1786.06</v>
      </c>
    </row>
    <row r="7568" spans="1:2" ht="16.149999999999999" customHeight="1">
      <c r="A7568" s="877">
        <v>41128</v>
      </c>
      <c r="B7568" s="880">
        <v>1785.29</v>
      </c>
    </row>
    <row r="7569" spans="1:2" ht="16.149999999999999" customHeight="1">
      <c r="A7569" s="877">
        <v>41129</v>
      </c>
      <c r="B7569" s="878">
        <v>1785.29</v>
      </c>
    </row>
    <row r="7570" spans="1:2" ht="16.149999999999999" customHeight="1">
      <c r="A7570" s="877">
        <v>41130</v>
      </c>
      <c r="B7570" s="880">
        <v>1788.03</v>
      </c>
    </row>
    <row r="7571" spans="1:2" ht="16.149999999999999" customHeight="1">
      <c r="A7571" s="877">
        <v>41131</v>
      </c>
      <c r="B7571" s="878">
        <v>1788.08</v>
      </c>
    </row>
    <row r="7572" spans="1:2" ht="16.149999999999999" customHeight="1">
      <c r="A7572" s="877">
        <v>41132</v>
      </c>
      <c r="B7572" s="880">
        <v>1791.61</v>
      </c>
    </row>
    <row r="7573" spans="1:2" ht="16.149999999999999" customHeight="1">
      <c r="A7573" s="877">
        <v>41133</v>
      </c>
      <c r="B7573" s="878">
        <v>1791.61</v>
      </c>
    </row>
    <row r="7574" spans="1:2" ht="16.149999999999999" customHeight="1">
      <c r="A7574" s="877">
        <v>41134</v>
      </c>
      <c r="B7574" s="880">
        <v>1791.61</v>
      </c>
    </row>
    <row r="7575" spans="1:2" ht="16.149999999999999" customHeight="1">
      <c r="A7575" s="877">
        <v>41135</v>
      </c>
      <c r="B7575" s="878">
        <v>1792.86</v>
      </c>
    </row>
    <row r="7576" spans="1:2" ht="16.149999999999999" customHeight="1">
      <c r="A7576" s="877">
        <v>41136</v>
      </c>
      <c r="B7576" s="880">
        <v>1800.81</v>
      </c>
    </row>
    <row r="7577" spans="1:2" ht="16.149999999999999" customHeight="1">
      <c r="A7577" s="877">
        <v>41137</v>
      </c>
      <c r="B7577" s="878">
        <v>1817.18</v>
      </c>
    </row>
    <row r="7578" spans="1:2" ht="16.149999999999999" customHeight="1">
      <c r="A7578" s="877">
        <v>41138</v>
      </c>
      <c r="B7578" s="880">
        <v>1825.52</v>
      </c>
    </row>
    <row r="7579" spans="1:2" ht="16.149999999999999" customHeight="1">
      <c r="A7579" s="877">
        <v>41139</v>
      </c>
      <c r="B7579" s="878">
        <v>1822.59</v>
      </c>
    </row>
    <row r="7580" spans="1:2" ht="16.149999999999999" customHeight="1">
      <c r="A7580" s="877">
        <v>41140</v>
      </c>
      <c r="B7580" s="880">
        <v>1822.59</v>
      </c>
    </row>
    <row r="7581" spans="1:2" ht="16.149999999999999" customHeight="1">
      <c r="A7581" s="877">
        <v>41141</v>
      </c>
      <c r="B7581" s="878">
        <v>1822.59</v>
      </c>
    </row>
    <row r="7582" spans="1:2" ht="16.149999999999999" customHeight="1">
      <c r="A7582" s="877">
        <v>41142</v>
      </c>
      <c r="B7582" s="880">
        <v>1822.59</v>
      </c>
    </row>
    <row r="7583" spans="1:2" ht="16.149999999999999" customHeight="1">
      <c r="A7583" s="877">
        <v>41143</v>
      </c>
      <c r="B7583" s="878">
        <v>1815.8</v>
      </c>
    </row>
    <row r="7584" spans="1:2" ht="16.149999999999999" customHeight="1">
      <c r="A7584" s="877">
        <v>41144</v>
      </c>
      <c r="B7584" s="880">
        <v>1812.88</v>
      </c>
    </row>
    <row r="7585" spans="1:2" ht="16.149999999999999" customHeight="1">
      <c r="A7585" s="877">
        <v>41145</v>
      </c>
      <c r="B7585" s="878">
        <v>1808.33</v>
      </c>
    </row>
    <row r="7586" spans="1:2" ht="16.149999999999999" customHeight="1">
      <c r="A7586" s="877">
        <v>41146</v>
      </c>
      <c r="B7586" s="880">
        <v>1814.83</v>
      </c>
    </row>
    <row r="7587" spans="1:2" ht="16.149999999999999" customHeight="1">
      <c r="A7587" s="877">
        <v>41147</v>
      </c>
      <c r="B7587" s="878">
        <v>1814.83</v>
      </c>
    </row>
    <row r="7588" spans="1:2" ht="16.149999999999999" customHeight="1">
      <c r="A7588" s="877">
        <v>41148</v>
      </c>
      <c r="B7588" s="880">
        <v>1814.83</v>
      </c>
    </row>
    <row r="7589" spans="1:2" ht="16.149999999999999" customHeight="1">
      <c r="A7589" s="877">
        <v>41149</v>
      </c>
      <c r="B7589" s="878">
        <v>1821.44</v>
      </c>
    </row>
    <row r="7590" spans="1:2" ht="16.149999999999999" customHeight="1">
      <c r="A7590" s="877">
        <v>41150</v>
      </c>
      <c r="B7590" s="880">
        <v>1828.99</v>
      </c>
    </row>
    <row r="7591" spans="1:2" ht="16.149999999999999" customHeight="1">
      <c r="A7591" s="877">
        <v>41151</v>
      </c>
      <c r="B7591" s="878">
        <v>1833.14</v>
      </c>
    </row>
    <row r="7592" spans="1:2" ht="16.149999999999999" customHeight="1">
      <c r="A7592" s="877">
        <v>41152</v>
      </c>
      <c r="B7592" s="880">
        <v>1830.5</v>
      </c>
    </row>
    <row r="7593" spans="1:2" ht="16.149999999999999" customHeight="1">
      <c r="A7593" s="877">
        <v>41153</v>
      </c>
      <c r="B7593" s="878">
        <v>1825.21</v>
      </c>
    </row>
    <row r="7594" spans="1:2" ht="16.149999999999999" customHeight="1">
      <c r="A7594" s="877">
        <v>41154</v>
      </c>
      <c r="B7594" s="880">
        <v>1825.21</v>
      </c>
    </row>
    <row r="7595" spans="1:2" ht="16.149999999999999" customHeight="1">
      <c r="A7595" s="877">
        <v>41155</v>
      </c>
      <c r="B7595" s="878">
        <v>1825.21</v>
      </c>
    </row>
    <row r="7596" spans="1:2" ht="16.149999999999999" customHeight="1">
      <c r="A7596" s="877">
        <v>41156</v>
      </c>
      <c r="B7596" s="880">
        <v>1825.21</v>
      </c>
    </row>
    <row r="7597" spans="1:2" ht="16.149999999999999" customHeight="1">
      <c r="A7597" s="877">
        <v>41157</v>
      </c>
      <c r="B7597" s="878">
        <v>1824.81</v>
      </c>
    </row>
    <row r="7598" spans="1:2" ht="16.149999999999999" customHeight="1">
      <c r="A7598" s="877">
        <v>41158</v>
      </c>
      <c r="B7598" s="880">
        <v>1814.06</v>
      </c>
    </row>
    <row r="7599" spans="1:2" ht="16.149999999999999" customHeight="1">
      <c r="A7599" s="877">
        <v>41159</v>
      </c>
      <c r="B7599" s="878">
        <v>1804.09</v>
      </c>
    </row>
    <row r="7600" spans="1:2" ht="16.149999999999999" customHeight="1">
      <c r="A7600" s="877">
        <v>41160</v>
      </c>
      <c r="B7600" s="880">
        <v>1797.35</v>
      </c>
    </row>
    <row r="7601" spans="1:2" ht="16.149999999999999" customHeight="1">
      <c r="A7601" s="877">
        <v>41161</v>
      </c>
      <c r="B7601" s="878">
        <v>1797.35</v>
      </c>
    </row>
    <row r="7602" spans="1:2" ht="16.149999999999999" customHeight="1">
      <c r="A7602" s="877">
        <v>41162</v>
      </c>
      <c r="B7602" s="880">
        <v>1797.35</v>
      </c>
    </row>
    <row r="7603" spans="1:2" ht="16.149999999999999" customHeight="1">
      <c r="A7603" s="877">
        <v>41163</v>
      </c>
      <c r="B7603" s="878">
        <v>1802.23</v>
      </c>
    </row>
    <row r="7604" spans="1:2" ht="16.149999999999999" customHeight="1">
      <c r="A7604" s="877">
        <v>41164</v>
      </c>
      <c r="B7604" s="880">
        <v>1795.4</v>
      </c>
    </row>
    <row r="7605" spans="1:2" ht="16.149999999999999" customHeight="1">
      <c r="A7605" s="877">
        <v>41165</v>
      </c>
      <c r="B7605" s="878">
        <v>1802.22</v>
      </c>
    </row>
    <row r="7606" spans="1:2" ht="16.149999999999999" customHeight="1">
      <c r="A7606" s="877">
        <v>41166</v>
      </c>
      <c r="B7606" s="880">
        <v>1799.57</v>
      </c>
    </row>
    <row r="7607" spans="1:2" ht="16.149999999999999" customHeight="1">
      <c r="A7607" s="877">
        <v>41167</v>
      </c>
      <c r="B7607" s="878">
        <v>1789.54</v>
      </c>
    </row>
    <row r="7608" spans="1:2" ht="16.149999999999999" customHeight="1">
      <c r="A7608" s="877">
        <v>41168</v>
      </c>
      <c r="B7608" s="880">
        <v>1789.54</v>
      </c>
    </row>
    <row r="7609" spans="1:2" ht="16.149999999999999" customHeight="1">
      <c r="A7609" s="877">
        <v>41169</v>
      </c>
      <c r="B7609" s="878">
        <v>1789.54</v>
      </c>
    </row>
    <row r="7610" spans="1:2" ht="16.149999999999999" customHeight="1">
      <c r="A7610" s="877">
        <v>41170</v>
      </c>
      <c r="B7610" s="880">
        <v>1799.77</v>
      </c>
    </row>
    <row r="7611" spans="1:2" ht="16.149999999999999" customHeight="1">
      <c r="A7611" s="877">
        <v>41171</v>
      </c>
      <c r="B7611" s="878">
        <v>1800.19</v>
      </c>
    </row>
    <row r="7612" spans="1:2" ht="16.149999999999999" customHeight="1">
      <c r="A7612" s="877">
        <v>41172</v>
      </c>
      <c r="B7612" s="880">
        <v>1795.66</v>
      </c>
    </row>
    <row r="7613" spans="1:2" ht="16.149999999999999" customHeight="1">
      <c r="A7613" s="877">
        <v>41173</v>
      </c>
      <c r="B7613" s="878">
        <v>1798.98</v>
      </c>
    </row>
    <row r="7614" spans="1:2" ht="16.149999999999999" customHeight="1">
      <c r="A7614" s="877">
        <v>41174</v>
      </c>
      <c r="B7614" s="880">
        <v>1796.75</v>
      </c>
    </row>
    <row r="7615" spans="1:2" ht="16.149999999999999" customHeight="1">
      <c r="A7615" s="877">
        <v>41175</v>
      </c>
      <c r="B7615" s="878">
        <v>1796.75</v>
      </c>
    </row>
    <row r="7616" spans="1:2" ht="16.149999999999999" customHeight="1">
      <c r="A7616" s="877">
        <v>41176</v>
      </c>
      <c r="B7616" s="880">
        <v>1796.75</v>
      </c>
    </row>
    <row r="7617" spans="1:2" ht="16.149999999999999" customHeight="1">
      <c r="A7617" s="877">
        <v>41177</v>
      </c>
      <c r="B7617" s="878">
        <v>1799.29</v>
      </c>
    </row>
    <row r="7618" spans="1:2" ht="16.149999999999999" customHeight="1">
      <c r="A7618" s="877">
        <v>41178</v>
      </c>
      <c r="B7618" s="880">
        <v>1795.69</v>
      </c>
    </row>
    <row r="7619" spans="1:2" ht="16.149999999999999" customHeight="1">
      <c r="A7619" s="877">
        <v>41179</v>
      </c>
      <c r="B7619" s="878">
        <v>1799.55</v>
      </c>
    </row>
    <row r="7620" spans="1:2" ht="16.149999999999999" customHeight="1">
      <c r="A7620" s="877">
        <v>41180</v>
      </c>
      <c r="B7620" s="880">
        <v>1798.08</v>
      </c>
    </row>
    <row r="7621" spans="1:2" ht="16.149999999999999" customHeight="1">
      <c r="A7621" s="877">
        <v>41181</v>
      </c>
      <c r="B7621" s="878">
        <v>1800.52</v>
      </c>
    </row>
    <row r="7622" spans="1:2" ht="16.149999999999999" customHeight="1">
      <c r="A7622" s="877">
        <v>41182</v>
      </c>
      <c r="B7622" s="880">
        <v>1800.52</v>
      </c>
    </row>
    <row r="7623" spans="1:2" ht="16.149999999999999" customHeight="1">
      <c r="A7623" s="877">
        <v>41183</v>
      </c>
      <c r="B7623" s="878">
        <v>1800.52</v>
      </c>
    </row>
    <row r="7624" spans="1:2" ht="16.149999999999999" customHeight="1">
      <c r="A7624" s="877">
        <v>41184</v>
      </c>
      <c r="B7624" s="880">
        <v>1797.97</v>
      </c>
    </row>
    <row r="7625" spans="1:2" ht="16.149999999999999" customHeight="1">
      <c r="A7625" s="877">
        <v>41185</v>
      </c>
      <c r="B7625" s="878">
        <v>1798.86</v>
      </c>
    </row>
    <row r="7626" spans="1:2" ht="16.149999999999999" customHeight="1">
      <c r="A7626" s="877">
        <v>41186</v>
      </c>
      <c r="B7626" s="880">
        <v>1800.43</v>
      </c>
    </row>
    <row r="7627" spans="1:2" ht="16.149999999999999" customHeight="1">
      <c r="A7627" s="877">
        <v>41187</v>
      </c>
      <c r="B7627" s="878">
        <v>1797.68</v>
      </c>
    </row>
    <row r="7628" spans="1:2" ht="16.149999999999999" customHeight="1">
      <c r="A7628" s="877">
        <v>41188</v>
      </c>
      <c r="B7628" s="880">
        <v>1795.4</v>
      </c>
    </row>
    <row r="7629" spans="1:2" ht="16.149999999999999" customHeight="1">
      <c r="A7629" s="877">
        <v>41189</v>
      </c>
      <c r="B7629" s="878">
        <v>1795.4</v>
      </c>
    </row>
    <row r="7630" spans="1:2" ht="16.149999999999999" customHeight="1">
      <c r="A7630" s="877">
        <v>41190</v>
      </c>
      <c r="B7630" s="880">
        <v>1795.4</v>
      </c>
    </row>
    <row r="7631" spans="1:2" ht="16.149999999999999" customHeight="1">
      <c r="A7631" s="877">
        <v>41191</v>
      </c>
      <c r="B7631" s="878">
        <v>1795.4</v>
      </c>
    </row>
    <row r="7632" spans="1:2" ht="16.149999999999999" customHeight="1">
      <c r="A7632" s="877">
        <v>41192</v>
      </c>
      <c r="B7632" s="880">
        <v>1798.32</v>
      </c>
    </row>
    <row r="7633" spans="1:2" ht="16.149999999999999" customHeight="1">
      <c r="A7633" s="877">
        <v>41193</v>
      </c>
      <c r="B7633" s="878">
        <v>1799.78</v>
      </c>
    </row>
    <row r="7634" spans="1:2" ht="16.149999999999999" customHeight="1">
      <c r="A7634" s="877">
        <v>41194</v>
      </c>
      <c r="B7634" s="880">
        <v>1797.68</v>
      </c>
    </row>
    <row r="7635" spans="1:2" ht="16.149999999999999" customHeight="1">
      <c r="A7635" s="877">
        <v>41195</v>
      </c>
      <c r="B7635" s="878">
        <v>1797.68</v>
      </c>
    </row>
    <row r="7636" spans="1:2" ht="16.149999999999999" customHeight="1">
      <c r="A7636" s="877">
        <v>41196</v>
      </c>
      <c r="B7636" s="880">
        <v>1797.68</v>
      </c>
    </row>
    <row r="7637" spans="1:2" ht="16.149999999999999" customHeight="1">
      <c r="A7637" s="877">
        <v>41197</v>
      </c>
      <c r="B7637" s="878">
        <v>1797.68</v>
      </c>
    </row>
    <row r="7638" spans="1:2" ht="16.149999999999999" customHeight="1">
      <c r="A7638" s="877">
        <v>41198</v>
      </c>
      <c r="B7638" s="880">
        <v>1797.68</v>
      </c>
    </row>
    <row r="7639" spans="1:2" ht="16.149999999999999" customHeight="1">
      <c r="A7639" s="877">
        <v>41199</v>
      </c>
      <c r="B7639" s="878">
        <v>1797.81</v>
      </c>
    </row>
    <row r="7640" spans="1:2" ht="16.149999999999999" customHeight="1">
      <c r="A7640" s="877">
        <v>41200</v>
      </c>
      <c r="B7640" s="880">
        <v>1798.53</v>
      </c>
    </row>
    <row r="7641" spans="1:2" ht="16.149999999999999" customHeight="1">
      <c r="A7641" s="877">
        <v>41201</v>
      </c>
      <c r="B7641" s="878">
        <v>1797.66</v>
      </c>
    </row>
    <row r="7642" spans="1:2" ht="16.149999999999999" customHeight="1">
      <c r="A7642" s="877">
        <v>41202</v>
      </c>
      <c r="B7642" s="880">
        <v>1798.42</v>
      </c>
    </row>
    <row r="7643" spans="1:2" ht="16.149999999999999" customHeight="1">
      <c r="A7643" s="877">
        <v>41203</v>
      </c>
      <c r="B7643" s="878">
        <v>1798.42</v>
      </c>
    </row>
    <row r="7644" spans="1:2" ht="16.149999999999999" customHeight="1">
      <c r="A7644" s="877">
        <v>41204</v>
      </c>
      <c r="B7644" s="880">
        <v>1798.42</v>
      </c>
    </row>
    <row r="7645" spans="1:2" ht="16.149999999999999" customHeight="1">
      <c r="A7645" s="877">
        <v>41205</v>
      </c>
      <c r="B7645" s="878">
        <v>1802.91</v>
      </c>
    </row>
    <row r="7646" spans="1:2" ht="16.149999999999999" customHeight="1">
      <c r="A7646" s="877">
        <v>41206</v>
      </c>
      <c r="B7646" s="880">
        <v>1816.6</v>
      </c>
    </row>
    <row r="7647" spans="1:2" ht="16.149999999999999" customHeight="1">
      <c r="A7647" s="877">
        <v>41207</v>
      </c>
      <c r="B7647" s="878">
        <v>1817.25</v>
      </c>
    </row>
    <row r="7648" spans="1:2" ht="16.149999999999999" customHeight="1">
      <c r="A7648" s="877">
        <v>41208</v>
      </c>
      <c r="B7648" s="880">
        <v>1816.97</v>
      </c>
    </row>
    <row r="7649" spans="1:2" ht="16.149999999999999" customHeight="1">
      <c r="A7649" s="877">
        <v>41209</v>
      </c>
      <c r="B7649" s="878">
        <v>1823.18</v>
      </c>
    </row>
    <row r="7650" spans="1:2" ht="16.149999999999999" customHeight="1">
      <c r="A7650" s="877">
        <v>41210</v>
      </c>
      <c r="B7650" s="880">
        <v>1823.18</v>
      </c>
    </row>
    <row r="7651" spans="1:2" ht="16.149999999999999" customHeight="1">
      <c r="A7651" s="877">
        <v>41211</v>
      </c>
      <c r="B7651" s="878">
        <v>1823.18</v>
      </c>
    </row>
    <row r="7652" spans="1:2" ht="16.149999999999999" customHeight="1">
      <c r="A7652" s="877">
        <v>41212</v>
      </c>
      <c r="B7652" s="880">
        <v>1830.45</v>
      </c>
    </row>
    <row r="7653" spans="1:2" ht="16.149999999999999" customHeight="1">
      <c r="A7653" s="877">
        <v>41213</v>
      </c>
      <c r="B7653" s="878">
        <v>1829.89</v>
      </c>
    </row>
    <row r="7654" spans="1:2" ht="16.149999999999999" customHeight="1">
      <c r="A7654" s="877">
        <v>41214</v>
      </c>
      <c r="B7654" s="880">
        <v>1831.25</v>
      </c>
    </row>
    <row r="7655" spans="1:2" ht="16.149999999999999" customHeight="1">
      <c r="A7655" s="877">
        <v>41215</v>
      </c>
      <c r="B7655" s="878">
        <v>1825.5</v>
      </c>
    </row>
    <row r="7656" spans="1:2" ht="16.149999999999999" customHeight="1">
      <c r="A7656" s="877">
        <v>41216</v>
      </c>
      <c r="B7656" s="880">
        <v>1828.8</v>
      </c>
    </row>
    <row r="7657" spans="1:2" ht="16.149999999999999" customHeight="1">
      <c r="A7657" s="877">
        <v>41217</v>
      </c>
      <c r="B7657" s="878">
        <v>1828.8</v>
      </c>
    </row>
    <row r="7658" spans="1:2" ht="16.149999999999999" customHeight="1">
      <c r="A7658" s="877">
        <v>41218</v>
      </c>
      <c r="B7658" s="880">
        <v>1828.8</v>
      </c>
    </row>
    <row r="7659" spans="1:2" ht="16.149999999999999" customHeight="1">
      <c r="A7659" s="877">
        <v>41219</v>
      </c>
      <c r="B7659" s="878">
        <v>1828.8</v>
      </c>
    </row>
    <row r="7660" spans="1:2" ht="16.149999999999999" customHeight="1">
      <c r="A7660" s="877">
        <v>41220</v>
      </c>
      <c r="B7660" s="880">
        <v>1814.99</v>
      </c>
    </row>
    <row r="7661" spans="1:2" ht="16.149999999999999" customHeight="1">
      <c r="A7661" s="877">
        <v>41221</v>
      </c>
      <c r="B7661" s="878">
        <v>1814.83</v>
      </c>
    </row>
    <row r="7662" spans="1:2" ht="16.149999999999999" customHeight="1">
      <c r="A7662" s="877">
        <v>41222</v>
      </c>
      <c r="B7662" s="880">
        <v>1814.21</v>
      </c>
    </row>
    <row r="7663" spans="1:2" ht="16.149999999999999" customHeight="1">
      <c r="A7663" s="877">
        <v>41223</v>
      </c>
      <c r="B7663" s="878">
        <v>1816.99</v>
      </c>
    </row>
    <row r="7664" spans="1:2" ht="16.149999999999999" customHeight="1">
      <c r="A7664" s="877">
        <v>41224</v>
      </c>
      <c r="B7664" s="880">
        <v>1816.99</v>
      </c>
    </row>
    <row r="7665" spans="1:2" ht="16.149999999999999" customHeight="1">
      <c r="A7665" s="877">
        <v>41225</v>
      </c>
      <c r="B7665" s="878">
        <v>1816.99</v>
      </c>
    </row>
    <row r="7666" spans="1:2" ht="16.149999999999999" customHeight="1">
      <c r="A7666" s="877">
        <v>41226</v>
      </c>
      <c r="B7666" s="880">
        <v>1816.99</v>
      </c>
    </row>
    <row r="7667" spans="1:2" ht="16.149999999999999" customHeight="1">
      <c r="A7667" s="877">
        <v>41227</v>
      </c>
      <c r="B7667" s="878">
        <v>1819.3</v>
      </c>
    </row>
    <row r="7668" spans="1:2" ht="16.149999999999999" customHeight="1">
      <c r="A7668" s="877">
        <v>41228</v>
      </c>
      <c r="B7668" s="880">
        <v>1818.2</v>
      </c>
    </row>
    <row r="7669" spans="1:2" ht="16.149999999999999" customHeight="1">
      <c r="A7669" s="877">
        <v>41229</v>
      </c>
      <c r="B7669" s="878">
        <v>1822.61</v>
      </c>
    </row>
    <row r="7670" spans="1:2" ht="16.149999999999999" customHeight="1">
      <c r="A7670" s="877">
        <v>41230</v>
      </c>
      <c r="B7670" s="880">
        <v>1823.46</v>
      </c>
    </row>
    <row r="7671" spans="1:2" ht="16.149999999999999" customHeight="1">
      <c r="A7671" s="877">
        <v>41231</v>
      </c>
      <c r="B7671" s="878">
        <v>1823.46</v>
      </c>
    </row>
    <row r="7672" spans="1:2" ht="16.149999999999999" customHeight="1">
      <c r="A7672" s="877">
        <v>41232</v>
      </c>
      <c r="B7672" s="880">
        <v>1823.46</v>
      </c>
    </row>
    <row r="7673" spans="1:2" ht="16.149999999999999" customHeight="1">
      <c r="A7673" s="877">
        <v>41233</v>
      </c>
      <c r="B7673" s="878">
        <v>1817.67</v>
      </c>
    </row>
    <row r="7674" spans="1:2" ht="16.149999999999999" customHeight="1">
      <c r="A7674" s="877">
        <v>41234</v>
      </c>
      <c r="B7674" s="880">
        <v>1815.58</v>
      </c>
    </row>
    <row r="7675" spans="1:2" ht="16.149999999999999" customHeight="1">
      <c r="A7675" s="877">
        <v>41235</v>
      </c>
      <c r="B7675" s="878">
        <v>1815.76</v>
      </c>
    </row>
    <row r="7676" spans="1:2" ht="16.149999999999999" customHeight="1">
      <c r="A7676" s="877">
        <v>41236</v>
      </c>
      <c r="B7676" s="880">
        <v>1815.76</v>
      </c>
    </row>
    <row r="7677" spans="1:2" ht="16.149999999999999" customHeight="1">
      <c r="A7677" s="877">
        <v>41237</v>
      </c>
      <c r="B7677" s="878">
        <v>1820.18</v>
      </c>
    </row>
    <row r="7678" spans="1:2" ht="16.149999999999999" customHeight="1">
      <c r="A7678" s="877">
        <v>41238</v>
      </c>
      <c r="B7678" s="880">
        <v>1820.18</v>
      </c>
    </row>
    <row r="7679" spans="1:2" ht="16.149999999999999" customHeight="1">
      <c r="A7679" s="877">
        <v>41239</v>
      </c>
      <c r="B7679" s="878">
        <v>1820.18</v>
      </c>
    </row>
    <row r="7680" spans="1:2" ht="16.149999999999999" customHeight="1">
      <c r="A7680" s="877">
        <v>41240</v>
      </c>
      <c r="B7680" s="880">
        <v>1824.12</v>
      </c>
    </row>
    <row r="7681" spans="1:2" ht="16.149999999999999" customHeight="1">
      <c r="A7681" s="877">
        <v>41241</v>
      </c>
      <c r="B7681" s="878">
        <v>1823.54</v>
      </c>
    </row>
    <row r="7682" spans="1:2" ht="16.149999999999999" customHeight="1">
      <c r="A7682" s="877">
        <v>41242</v>
      </c>
      <c r="B7682" s="880">
        <v>1825.08</v>
      </c>
    </row>
    <row r="7683" spans="1:2" ht="16.149999999999999" customHeight="1">
      <c r="A7683" s="877">
        <v>41243</v>
      </c>
      <c r="B7683" s="878">
        <v>1817.93</v>
      </c>
    </row>
    <row r="7684" spans="1:2" ht="16.149999999999999" customHeight="1">
      <c r="A7684" s="877">
        <v>41244</v>
      </c>
      <c r="B7684" s="880">
        <v>1813.72</v>
      </c>
    </row>
    <row r="7685" spans="1:2" ht="16.149999999999999" customHeight="1">
      <c r="A7685" s="877">
        <v>41245</v>
      </c>
      <c r="B7685" s="878">
        <v>1813.72</v>
      </c>
    </row>
    <row r="7686" spans="1:2" ht="16.149999999999999" customHeight="1">
      <c r="A7686" s="877">
        <v>41246</v>
      </c>
      <c r="B7686" s="880">
        <v>1813.72</v>
      </c>
    </row>
    <row r="7687" spans="1:2" ht="16.149999999999999" customHeight="1">
      <c r="A7687" s="877">
        <v>41247</v>
      </c>
      <c r="B7687" s="878">
        <v>1813.73</v>
      </c>
    </row>
    <row r="7688" spans="1:2" ht="16.149999999999999" customHeight="1">
      <c r="A7688" s="877">
        <v>41248</v>
      </c>
      <c r="B7688" s="880">
        <v>1813.57</v>
      </c>
    </row>
    <row r="7689" spans="1:2" ht="16.149999999999999" customHeight="1">
      <c r="A7689" s="877">
        <v>41249</v>
      </c>
      <c r="B7689" s="878">
        <v>1811.05</v>
      </c>
    </row>
    <row r="7690" spans="1:2" ht="16.149999999999999" customHeight="1">
      <c r="A7690" s="877">
        <v>41250</v>
      </c>
      <c r="B7690" s="880">
        <v>1803.69</v>
      </c>
    </row>
    <row r="7691" spans="1:2" ht="16.149999999999999" customHeight="1">
      <c r="A7691" s="877">
        <v>41251</v>
      </c>
      <c r="B7691" s="878">
        <v>1797.45</v>
      </c>
    </row>
    <row r="7692" spans="1:2" ht="16.149999999999999" customHeight="1">
      <c r="A7692" s="877">
        <v>41252</v>
      </c>
      <c r="B7692" s="880">
        <v>1797.45</v>
      </c>
    </row>
    <row r="7693" spans="1:2" ht="16.149999999999999" customHeight="1">
      <c r="A7693" s="877">
        <v>41253</v>
      </c>
      <c r="B7693" s="878">
        <v>1797.45</v>
      </c>
    </row>
    <row r="7694" spans="1:2" ht="16.149999999999999" customHeight="1">
      <c r="A7694" s="877">
        <v>41254</v>
      </c>
      <c r="B7694" s="880">
        <v>1799.4</v>
      </c>
    </row>
    <row r="7695" spans="1:2" ht="16.149999999999999" customHeight="1">
      <c r="A7695" s="877">
        <v>41255</v>
      </c>
      <c r="B7695" s="878">
        <v>1801.5</v>
      </c>
    </row>
    <row r="7696" spans="1:2" ht="16.149999999999999" customHeight="1">
      <c r="A7696" s="877">
        <v>41256</v>
      </c>
      <c r="B7696" s="880">
        <v>1796.31</v>
      </c>
    </row>
    <row r="7697" spans="1:2" ht="16.149999999999999" customHeight="1">
      <c r="A7697" s="877">
        <v>41257</v>
      </c>
      <c r="B7697" s="878">
        <v>1795.05</v>
      </c>
    </row>
    <row r="7698" spans="1:2" ht="16.149999999999999" customHeight="1">
      <c r="A7698" s="877">
        <v>41258</v>
      </c>
      <c r="B7698" s="880">
        <v>1798.37</v>
      </c>
    </row>
    <row r="7699" spans="1:2" ht="16.149999999999999" customHeight="1">
      <c r="A7699" s="877">
        <v>41259</v>
      </c>
      <c r="B7699" s="878">
        <v>1798.37</v>
      </c>
    </row>
    <row r="7700" spans="1:2" ht="16.149999999999999" customHeight="1">
      <c r="A7700" s="877">
        <v>41260</v>
      </c>
      <c r="B7700" s="880">
        <v>1798.37</v>
      </c>
    </row>
    <row r="7701" spans="1:2" ht="16.149999999999999" customHeight="1">
      <c r="A7701" s="877">
        <v>41261</v>
      </c>
      <c r="B7701" s="878">
        <v>1796.98</v>
      </c>
    </row>
    <row r="7702" spans="1:2" ht="16.149999999999999" customHeight="1">
      <c r="A7702" s="877">
        <v>41262</v>
      </c>
      <c r="B7702" s="880">
        <v>1794.14</v>
      </c>
    </row>
    <row r="7703" spans="1:2" ht="16.149999999999999" customHeight="1">
      <c r="A7703" s="877">
        <v>41263</v>
      </c>
      <c r="B7703" s="878">
        <v>1790.46</v>
      </c>
    </row>
    <row r="7704" spans="1:2" ht="16.149999999999999" customHeight="1">
      <c r="A7704" s="877">
        <v>41264</v>
      </c>
      <c r="B7704" s="880">
        <v>1788.87</v>
      </c>
    </row>
    <row r="7705" spans="1:2" ht="16.149999999999999" customHeight="1">
      <c r="A7705" s="877">
        <v>41265</v>
      </c>
      <c r="B7705" s="878">
        <v>1779.79</v>
      </c>
    </row>
    <row r="7706" spans="1:2" ht="16.149999999999999" customHeight="1">
      <c r="A7706" s="877">
        <v>41266</v>
      </c>
      <c r="B7706" s="880">
        <v>1779.79</v>
      </c>
    </row>
    <row r="7707" spans="1:2" ht="16.149999999999999" customHeight="1">
      <c r="A7707" s="877">
        <v>41267</v>
      </c>
      <c r="B7707" s="878">
        <v>1779.79</v>
      </c>
    </row>
    <row r="7708" spans="1:2" ht="16.149999999999999" customHeight="1">
      <c r="A7708" s="877">
        <v>41268</v>
      </c>
      <c r="B7708" s="880">
        <v>1773.44</v>
      </c>
    </row>
    <row r="7709" spans="1:2" ht="16.149999999999999" customHeight="1">
      <c r="A7709" s="877">
        <v>41269</v>
      </c>
      <c r="B7709" s="878">
        <v>1773.44</v>
      </c>
    </row>
    <row r="7710" spans="1:2" ht="16.149999999999999" customHeight="1">
      <c r="A7710" s="877">
        <v>41270</v>
      </c>
      <c r="B7710" s="880">
        <v>1771.49</v>
      </c>
    </row>
    <row r="7711" spans="1:2" ht="16.149999999999999" customHeight="1">
      <c r="A7711" s="877">
        <v>41271</v>
      </c>
      <c r="B7711" s="878">
        <v>1771.54</v>
      </c>
    </row>
    <row r="7712" spans="1:2" ht="16.149999999999999" customHeight="1">
      <c r="A7712" s="877">
        <v>41272</v>
      </c>
      <c r="B7712" s="880">
        <v>1768.23</v>
      </c>
    </row>
    <row r="7713" spans="1:2" ht="16.149999999999999" customHeight="1">
      <c r="A7713" s="877">
        <v>41273</v>
      </c>
      <c r="B7713" s="878">
        <v>1768.23</v>
      </c>
    </row>
    <row r="7714" spans="1:2" ht="16.149999999999999" customHeight="1">
      <c r="A7714" s="877">
        <v>41274</v>
      </c>
      <c r="B7714" s="880">
        <v>1768.23</v>
      </c>
    </row>
    <row r="7715" spans="1:2" ht="16.149999999999999" customHeight="1">
      <c r="A7715" s="877">
        <v>41275</v>
      </c>
      <c r="B7715" s="878">
        <v>1768.23</v>
      </c>
    </row>
    <row r="7716" spans="1:2" ht="16.149999999999999" customHeight="1">
      <c r="A7716" s="877">
        <v>41276</v>
      </c>
      <c r="B7716" s="880">
        <v>1768.23</v>
      </c>
    </row>
    <row r="7717" spans="1:2" ht="16.149999999999999" customHeight="1">
      <c r="A7717" s="877">
        <v>41277</v>
      </c>
      <c r="B7717" s="878">
        <v>1759.97</v>
      </c>
    </row>
    <row r="7718" spans="1:2" ht="16.149999999999999" customHeight="1">
      <c r="A7718" s="877">
        <v>41278</v>
      </c>
      <c r="B7718" s="880">
        <v>1760.83</v>
      </c>
    </row>
    <row r="7719" spans="1:2" ht="16.149999999999999" customHeight="1">
      <c r="A7719" s="877">
        <v>41279</v>
      </c>
      <c r="B7719" s="878">
        <v>1767.54</v>
      </c>
    </row>
    <row r="7720" spans="1:2" ht="16.149999999999999" customHeight="1">
      <c r="A7720" s="877">
        <v>41280</v>
      </c>
      <c r="B7720" s="880">
        <v>1767.54</v>
      </c>
    </row>
    <row r="7721" spans="1:2" ht="16.149999999999999" customHeight="1">
      <c r="A7721" s="877">
        <v>41281</v>
      </c>
      <c r="B7721" s="878">
        <v>1767.54</v>
      </c>
    </row>
    <row r="7722" spans="1:2" ht="16.149999999999999" customHeight="1">
      <c r="A7722" s="877">
        <v>41282</v>
      </c>
      <c r="B7722" s="880">
        <v>1767.54</v>
      </c>
    </row>
    <row r="7723" spans="1:2" ht="16.149999999999999" customHeight="1">
      <c r="A7723" s="877">
        <v>41283</v>
      </c>
      <c r="B7723" s="878">
        <v>1771.31</v>
      </c>
    </row>
    <row r="7724" spans="1:2" ht="16.149999999999999" customHeight="1">
      <c r="A7724" s="877">
        <v>41284</v>
      </c>
      <c r="B7724" s="880">
        <v>1767.96</v>
      </c>
    </row>
    <row r="7725" spans="1:2" ht="16.149999999999999" customHeight="1">
      <c r="A7725" s="877">
        <v>41285</v>
      </c>
      <c r="B7725" s="878">
        <v>1761.5</v>
      </c>
    </row>
    <row r="7726" spans="1:2" ht="16.149999999999999" customHeight="1">
      <c r="A7726" s="877">
        <v>41286</v>
      </c>
      <c r="B7726" s="880">
        <v>1762.38</v>
      </c>
    </row>
    <row r="7727" spans="1:2" ht="16.149999999999999" customHeight="1">
      <c r="A7727" s="877">
        <v>41287</v>
      </c>
      <c r="B7727" s="878">
        <v>1762.38</v>
      </c>
    </row>
    <row r="7728" spans="1:2" ht="16.149999999999999" customHeight="1">
      <c r="A7728" s="877">
        <v>41288</v>
      </c>
      <c r="B7728" s="880">
        <v>1762.38</v>
      </c>
    </row>
    <row r="7729" spans="1:2" ht="16.149999999999999" customHeight="1">
      <c r="A7729" s="877">
        <v>41289</v>
      </c>
      <c r="B7729" s="878">
        <v>1758.45</v>
      </c>
    </row>
    <row r="7730" spans="1:2" ht="16.149999999999999" customHeight="1">
      <c r="A7730" s="877">
        <v>41290</v>
      </c>
      <c r="B7730" s="880">
        <v>1769.88</v>
      </c>
    </row>
    <row r="7731" spans="1:2" ht="16.149999999999999" customHeight="1">
      <c r="A7731" s="877">
        <v>41291</v>
      </c>
      <c r="B7731" s="878">
        <v>1775.15</v>
      </c>
    </row>
    <row r="7732" spans="1:2" ht="16.149999999999999" customHeight="1">
      <c r="A7732" s="877">
        <v>41292</v>
      </c>
      <c r="B7732" s="880">
        <v>1767.78</v>
      </c>
    </row>
    <row r="7733" spans="1:2" ht="16.149999999999999" customHeight="1">
      <c r="A7733" s="877">
        <v>41293</v>
      </c>
      <c r="B7733" s="878">
        <v>1767.74</v>
      </c>
    </row>
    <row r="7734" spans="1:2" ht="16.149999999999999" customHeight="1">
      <c r="A7734" s="877">
        <v>41294</v>
      </c>
      <c r="B7734" s="880">
        <v>1767.74</v>
      </c>
    </row>
    <row r="7735" spans="1:2" ht="16.149999999999999" customHeight="1">
      <c r="A7735" s="877">
        <v>41295</v>
      </c>
      <c r="B7735" s="878">
        <v>1767.74</v>
      </c>
    </row>
    <row r="7736" spans="1:2" ht="16.149999999999999" customHeight="1">
      <c r="A7736" s="877">
        <v>41296</v>
      </c>
      <c r="B7736" s="880">
        <v>1767.74</v>
      </c>
    </row>
    <row r="7737" spans="1:2" ht="16.149999999999999" customHeight="1">
      <c r="A7737" s="877">
        <v>41297</v>
      </c>
      <c r="B7737" s="878">
        <v>1776.96</v>
      </c>
    </row>
    <row r="7738" spans="1:2" ht="16.149999999999999" customHeight="1">
      <c r="A7738" s="877">
        <v>41298</v>
      </c>
      <c r="B7738" s="880">
        <v>1778.69</v>
      </c>
    </row>
    <row r="7739" spans="1:2" ht="16.149999999999999" customHeight="1">
      <c r="A7739" s="877">
        <v>41299</v>
      </c>
      <c r="B7739" s="878">
        <v>1779.73</v>
      </c>
    </row>
    <row r="7740" spans="1:2" ht="16.149999999999999" customHeight="1">
      <c r="A7740" s="877">
        <v>41300</v>
      </c>
      <c r="B7740" s="880">
        <v>1779.25</v>
      </c>
    </row>
    <row r="7741" spans="1:2" ht="16.149999999999999" customHeight="1">
      <c r="A7741" s="877">
        <v>41301</v>
      </c>
      <c r="B7741" s="878">
        <v>1779.25</v>
      </c>
    </row>
    <row r="7742" spans="1:2" ht="16.149999999999999" customHeight="1">
      <c r="A7742" s="877">
        <v>41302</v>
      </c>
      <c r="B7742" s="880">
        <v>1779.25</v>
      </c>
    </row>
    <row r="7743" spans="1:2" ht="16.149999999999999" customHeight="1">
      <c r="A7743" s="877">
        <v>41303</v>
      </c>
      <c r="B7743" s="878">
        <v>1779.84</v>
      </c>
    </row>
    <row r="7744" spans="1:2" ht="16.149999999999999" customHeight="1">
      <c r="A7744" s="877">
        <v>41304</v>
      </c>
      <c r="B7744" s="880">
        <v>1776.09</v>
      </c>
    </row>
    <row r="7745" spans="1:2" ht="16.149999999999999" customHeight="1">
      <c r="A7745" s="877">
        <v>41305</v>
      </c>
      <c r="B7745" s="878">
        <v>1773.24</v>
      </c>
    </row>
    <row r="7746" spans="1:2" ht="16.149999999999999" customHeight="1">
      <c r="A7746" s="877">
        <v>41306</v>
      </c>
      <c r="B7746" s="880">
        <v>1775.65</v>
      </c>
    </row>
    <row r="7747" spans="1:2" ht="16.149999999999999" customHeight="1">
      <c r="A7747" s="877">
        <v>41307</v>
      </c>
      <c r="B7747" s="878">
        <v>1776.2</v>
      </c>
    </row>
    <row r="7748" spans="1:2" ht="16.149999999999999" customHeight="1">
      <c r="A7748" s="877">
        <v>41308</v>
      </c>
      <c r="B7748" s="880">
        <v>1776.2</v>
      </c>
    </row>
    <row r="7749" spans="1:2" ht="16.149999999999999" customHeight="1">
      <c r="A7749" s="877">
        <v>41309</v>
      </c>
      <c r="B7749" s="878">
        <v>1776.2</v>
      </c>
    </row>
    <row r="7750" spans="1:2" ht="16.149999999999999" customHeight="1">
      <c r="A7750" s="877">
        <v>41310</v>
      </c>
      <c r="B7750" s="880">
        <v>1785.92</v>
      </c>
    </row>
    <row r="7751" spans="1:2" ht="16.149999999999999" customHeight="1">
      <c r="A7751" s="877">
        <v>41311</v>
      </c>
      <c r="B7751" s="878">
        <v>1789.09</v>
      </c>
    </row>
    <row r="7752" spans="1:2" ht="16.149999999999999" customHeight="1">
      <c r="A7752" s="877">
        <v>41312</v>
      </c>
      <c r="B7752" s="880">
        <v>1791.24</v>
      </c>
    </row>
    <row r="7753" spans="1:2" ht="16.149999999999999" customHeight="1">
      <c r="A7753" s="877">
        <v>41313</v>
      </c>
      <c r="B7753" s="878">
        <v>1795.21</v>
      </c>
    </row>
    <row r="7754" spans="1:2" ht="16.149999999999999" customHeight="1">
      <c r="A7754" s="877">
        <v>41314</v>
      </c>
      <c r="B7754" s="880">
        <v>1790.61</v>
      </c>
    </row>
    <row r="7755" spans="1:2" ht="16.149999999999999" customHeight="1">
      <c r="A7755" s="877">
        <v>41315</v>
      </c>
      <c r="B7755" s="878">
        <v>1790.61</v>
      </c>
    </row>
    <row r="7756" spans="1:2" ht="16.149999999999999" customHeight="1">
      <c r="A7756" s="877">
        <v>41316</v>
      </c>
      <c r="B7756" s="880">
        <v>1790.61</v>
      </c>
    </row>
    <row r="7757" spans="1:2" ht="16.149999999999999" customHeight="1">
      <c r="A7757" s="877">
        <v>41317</v>
      </c>
      <c r="B7757" s="878">
        <v>1784.71</v>
      </c>
    </row>
    <row r="7758" spans="1:2" ht="16.149999999999999" customHeight="1">
      <c r="A7758" s="877">
        <v>41318</v>
      </c>
      <c r="B7758" s="880">
        <v>1783.2</v>
      </c>
    </row>
    <row r="7759" spans="1:2" ht="16.149999999999999" customHeight="1">
      <c r="A7759" s="877">
        <v>41319</v>
      </c>
      <c r="B7759" s="878">
        <v>1777.72</v>
      </c>
    </row>
    <row r="7760" spans="1:2" ht="16.149999999999999" customHeight="1">
      <c r="A7760" s="877">
        <v>41320</v>
      </c>
      <c r="B7760" s="880">
        <v>1783.19</v>
      </c>
    </row>
    <row r="7761" spans="1:2" ht="16.149999999999999" customHeight="1">
      <c r="A7761" s="877">
        <v>41321</v>
      </c>
      <c r="B7761" s="878">
        <v>1785.41</v>
      </c>
    </row>
    <row r="7762" spans="1:2" ht="16.149999999999999" customHeight="1">
      <c r="A7762" s="877">
        <v>41322</v>
      </c>
      <c r="B7762" s="880">
        <v>1785.41</v>
      </c>
    </row>
    <row r="7763" spans="1:2" ht="16.149999999999999" customHeight="1">
      <c r="A7763" s="877">
        <v>41323</v>
      </c>
      <c r="B7763" s="878">
        <v>1785.41</v>
      </c>
    </row>
    <row r="7764" spans="1:2" ht="16.149999999999999" customHeight="1">
      <c r="A7764" s="877">
        <v>41324</v>
      </c>
      <c r="B7764" s="880">
        <v>1785.41</v>
      </c>
    </row>
    <row r="7765" spans="1:2" ht="16.149999999999999" customHeight="1">
      <c r="A7765" s="877">
        <v>41325</v>
      </c>
      <c r="B7765" s="878">
        <v>1794.63</v>
      </c>
    </row>
    <row r="7766" spans="1:2" ht="16.149999999999999" customHeight="1">
      <c r="A7766" s="877">
        <v>41326</v>
      </c>
      <c r="B7766" s="880">
        <v>1791.33</v>
      </c>
    </row>
    <row r="7767" spans="1:2" ht="16.149999999999999" customHeight="1">
      <c r="A7767" s="877">
        <v>41327</v>
      </c>
      <c r="B7767" s="878">
        <v>1798.21</v>
      </c>
    </row>
    <row r="7768" spans="1:2" ht="16.149999999999999" customHeight="1">
      <c r="A7768" s="877">
        <v>41328</v>
      </c>
      <c r="B7768" s="880">
        <v>1800.7</v>
      </c>
    </row>
    <row r="7769" spans="1:2" ht="16.149999999999999" customHeight="1">
      <c r="A7769" s="877">
        <v>41329</v>
      </c>
      <c r="B7769" s="878">
        <v>1800.7</v>
      </c>
    </row>
    <row r="7770" spans="1:2" ht="16.149999999999999" customHeight="1">
      <c r="A7770" s="877">
        <v>41330</v>
      </c>
      <c r="B7770" s="880">
        <v>1800.7</v>
      </c>
    </row>
    <row r="7771" spans="1:2" ht="16.149999999999999" customHeight="1">
      <c r="A7771" s="877">
        <v>41331</v>
      </c>
      <c r="B7771" s="878">
        <v>1806.11</v>
      </c>
    </row>
    <row r="7772" spans="1:2" ht="16.149999999999999" customHeight="1">
      <c r="A7772" s="877">
        <v>41332</v>
      </c>
      <c r="B7772" s="880">
        <v>1818.54</v>
      </c>
    </row>
    <row r="7773" spans="1:2" ht="16.149999999999999" customHeight="1">
      <c r="A7773" s="877">
        <v>41333</v>
      </c>
      <c r="B7773" s="878">
        <v>1816.42</v>
      </c>
    </row>
    <row r="7774" spans="1:2" ht="16.149999999999999" customHeight="1">
      <c r="A7774" s="877">
        <v>41334</v>
      </c>
      <c r="B7774" s="880">
        <v>1814.28</v>
      </c>
    </row>
    <row r="7775" spans="1:2" ht="16.149999999999999" customHeight="1">
      <c r="A7775" s="877">
        <v>41335</v>
      </c>
      <c r="B7775" s="878">
        <v>1816.48</v>
      </c>
    </row>
    <row r="7776" spans="1:2" ht="16.149999999999999" customHeight="1">
      <c r="A7776" s="877">
        <v>41336</v>
      </c>
      <c r="B7776" s="880">
        <v>1816.48</v>
      </c>
    </row>
    <row r="7777" spans="1:2" ht="16.149999999999999" customHeight="1">
      <c r="A7777" s="877">
        <v>41337</v>
      </c>
      <c r="B7777" s="878">
        <v>1816.48</v>
      </c>
    </row>
    <row r="7778" spans="1:2" ht="16.149999999999999" customHeight="1">
      <c r="A7778" s="877">
        <v>41338</v>
      </c>
      <c r="B7778" s="880">
        <v>1813.53</v>
      </c>
    </row>
    <row r="7779" spans="1:2" ht="16.149999999999999" customHeight="1">
      <c r="A7779" s="877">
        <v>41339</v>
      </c>
      <c r="B7779" s="878">
        <v>1809.65</v>
      </c>
    </row>
    <row r="7780" spans="1:2" ht="16.149999999999999" customHeight="1">
      <c r="A7780" s="877">
        <v>41340</v>
      </c>
      <c r="B7780" s="880">
        <v>1808</v>
      </c>
    </row>
    <row r="7781" spans="1:2" ht="16.149999999999999" customHeight="1">
      <c r="A7781" s="877">
        <v>41341</v>
      </c>
      <c r="B7781" s="878">
        <v>1803.65</v>
      </c>
    </row>
    <row r="7782" spans="1:2" ht="16.149999999999999" customHeight="1">
      <c r="A7782" s="877">
        <v>41342</v>
      </c>
      <c r="B7782" s="880">
        <v>1800.45</v>
      </c>
    </row>
    <row r="7783" spans="1:2" ht="16.149999999999999" customHeight="1">
      <c r="A7783" s="877">
        <v>41343</v>
      </c>
      <c r="B7783" s="878">
        <v>1800.45</v>
      </c>
    </row>
    <row r="7784" spans="1:2" ht="16.149999999999999" customHeight="1">
      <c r="A7784" s="877">
        <v>41344</v>
      </c>
      <c r="B7784" s="880">
        <v>1800.45</v>
      </c>
    </row>
    <row r="7785" spans="1:2" ht="16.149999999999999" customHeight="1">
      <c r="A7785" s="877">
        <v>41345</v>
      </c>
      <c r="B7785" s="878">
        <v>1801.2</v>
      </c>
    </row>
    <row r="7786" spans="1:2" ht="16.149999999999999" customHeight="1">
      <c r="A7786" s="877">
        <v>41346</v>
      </c>
      <c r="B7786" s="880">
        <v>1801.64</v>
      </c>
    </row>
    <row r="7787" spans="1:2" ht="16.149999999999999" customHeight="1">
      <c r="A7787" s="877">
        <v>41347</v>
      </c>
      <c r="B7787" s="878">
        <v>1798.56</v>
      </c>
    </row>
    <row r="7788" spans="1:2" ht="16.149999999999999" customHeight="1">
      <c r="A7788" s="877">
        <v>41348</v>
      </c>
      <c r="B7788" s="880">
        <v>1797.28</v>
      </c>
    </row>
    <row r="7789" spans="1:2" ht="16.149999999999999" customHeight="1">
      <c r="A7789" s="877">
        <v>41349</v>
      </c>
      <c r="B7789" s="878">
        <v>1804.06</v>
      </c>
    </row>
    <row r="7790" spans="1:2" ht="16.149999999999999" customHeight="1">
      <c r="A7790" s="877">
        <v>41350</v>
      </c>
      <c r="B7790" s="880">
        <v>1804.06</v>
      </c>
    </row>
    <row r="7791" spans="1:2" ht="16.149999999999999" customHeight="1">
      <c r="A7791" s="877">
        <v>41351</v>
      </c>
      <c r="B7791" s="878">
        <v>1804.06</v>
      </c>
    </row>
    <row r="7792" spans="1:2" ht="16.149999999999999" customHeight="1">
      <c r="A7792" s="877">
        <v>41352</v>
      </c>
      <c r="B7792" s="880">
        <v>1809.58</v>
      </c>
    </row>
    <row r="7793" spans="1:2" ht="16.149999999999999" customHeight="1">
      <c r="A7793" s="877">
        <v>41353</v>
      </c>
      <c r="B7793" s="878">
        <v>1809.83</v>
      </c>
    </row>
    <row r="7794" spans="1:2" ht="16.149999999999999" customHeight="1">
      <c r="A7794" s="877">
        <v>41354</v>
      </c>
      <c r="B7794" s="880">
        <v>1812.35</v>
      </c>
    </row>
    <row r="7795" spans="1:2" ht="16.149999999999999" customHeight="1">
      <c r="A7795" s="877">
        <v>41355</v>
      </c>
      <c r="B7795" s="878">
        <v>1822.78</v>
      </c>
    </row>
    <row r="7796" spans="1:2" ht="16.149999999999999" customHeight="1">
      <c r="A7796" s="877">
        <v>41356</v>
      </c>
      <c r="B7796" s="880">
        <v>1825.79</v>
      </c>
    </row>
    <row r="7797" spans="1:2" ht="16.149999999999999" customHeight="1">
      <c r="A7797" s="877">
        <v>41357</v>
      </c>
      <c r="B7797" s="878">
        <v>1825.79</v>
      </c>
    </row>
    <row r="7798" spans="1:2" ht="16.149999999999999" customHeight="1">
      <c r="A7798" s="877">
        <v>41358</v>
      </c>
      <c r="B7798" s="880">
        <v>1825.79</v>
      </c>
    </row>
    <row r="7799" spans="1:2" ht="16.149999999999999" customHeight="1">
      <c r="A7799" s="877">
        <v>41359</v>
      </c>
      <c r="B7799" s="878">
        <v>1825.79</v>
      </c>
    </row>
    <row r="7800" spans="1:2" ht="16.149999999999999" customHeight="1">
      <c r="A7800" s="877">
        <v>41360</v>
      </c>
      <c r="B7800" s="880">
        <v>1828.95</v>
      </c>
    </row>
    <row r="7801" spans="1:2" ht="16.149999999999999" customHeight="1">
      <c r="A7801" s="877">
        <v>41361</v>
      </c>
      <c r="B7801" s="878">
        <v>1832.2</v>
      </c>
    </row>
    <row r="7802" spans="1:2" ht="16.149999999999999" customHeight="1">
      <c r="A7802" s="877">
        <v>41362</v>
      </c>
      <c r="B7802" s="880">
        <v>1832.2</v>
      </c>
    </row>
    <row r="7803" spans="1:2" ht="16.149999999999999" customHeight="1">
      <c r="A7803" s="877">
        <v>41363</v>
      </c>
      <c r="B7803" s="878">
        <v>1832.2</v>
      </c>
    </row>
    <row r="7804" spans="1:2" ht="16.149999999999999" customHeight="1">
      <c r="A7804" s="877">
        <v>41364</v>
      </c>
      <c r="B7804" s="880">
        <v>1832.2</v>
      </c>
    </row>
    <row r="7805" spans="1:2" ht="16.149999999999999" customHeight="1">
      <c r="A7805" s="877">
        <v>41365</v>
      </c>
      <c r="B7805" s="878">
        <v>1832.2</v>
      </c>
    </row>
    <row r="7806" spans="1:2" ht="16.149999999999999" customHeight="1">
      <c r="A7806" s="877">
        <v>41366</v>
      </c>
      <c r="B7806" s="880">
        <v>1823.12</v>
      </c>
    </row>
    <row r="7807" spans="1:2" ht="16.149999999999999" customHeight="1">
      <c r="A7807" s="877">
        <v>41367</v>
      </c>
      <c r="B7807" s="878">
        <v>1817.14</v>
      </c>
    </row>
    <row r="7808" spans="1:2" ht="16.149999999999999" customHeight="1">
      <c r="A7808" s="877">
        <v>41368</v>
      </c>
      <c r="B7808" s="880">
        <v>1819.93</v>
      </c>
    </row>
    <row r="7809" spans="1:2" ht="16.149999999999999" customHeight="1">
      <c r="A7809" s="877">
        <v>41369</v>
      </c>
      <c r="B7809" s="878">
        <v>1829.01</v>
      </c>
    </row>
    <row r="7810" spans="1:2" ht="16.149999999999999" customHeight="1">
      <c r="A7810" s="877">
        <v>41370</v>
      </c>
      <c r="B7810" s="880">
        <v>1826.88</v>
      </c>
    </row>
    <row r="7811" spans="1:2" ht="16.149999999999999" customHeight="1">
      <c r="A7811" s="877">
        <v>41371</v>
      </c>
      <c r="B7811" s="878">
        <v>1826.88</v>
      </c>
    </row>
    <row r="7812" spans="1:2" ht="16.149999999999999" customHeight="1">
      <c r="A7812" s="877">
        <v>41372</v>
      </c>
      <c r="B7812" s="880">
        <v>1826.88</v>
      </c>
    </row>
    <row r="7813" spans="1:2" ht="16.149999999999999" customHeight="1">
      <c r="A7813" s="877">
        <v>41373</v>
      </c>
      <c r="B7813" s="878">
        <v>1817.66</v>
      </c>
    </row>
    <row r="7814" spans="1:2" ht="16.149999999999999" customHeight="1">
      <c r="A7814" s="877">
        <v>41374</v>
      </c>
      <c r="B7814" s="880">
        <v>1813.11</v>
      </c>
    </row>
    <row r="7815" spans="1:2" ht="16.149999999999999" customHeight="1">
      <c r="A7815" s="877">
        <v>41375</v>
      </c>
      <c r="B7815" s="878">
        <v>1821.2</v>
      </c>
    </row>
    <row r="7816" spans="1:2" ht="16.149999999999999" customHeight="1">
      <c r="A7816" s="877">
        <v>41376</v>
      </c>
      <c r="B7816" s="880">
        <v>1823.84</v>
      </c>
    </row>
    <row r="7817" spans="1:2" ht="16.149999999999999" customHeight="1">
      <c r="A7817" s="877">
        <v>41377</v>
      </c>
      <c r="B7817" s="878">
        <v>1827.79</v>
      </c>
    </row>
    <row r="7818" spans="1:2" ht="16.149999999999999" customHeight="1">
      <c r="A7818" s="877">
        <v>41378</v>
      </c>
      <c r="B7818" s="880">
        <v>1827.79</v>
      </c>
    </row>
    <row r="7819" spans="1:2" ht="16.149999999999999" customHeight="1">
      <c r="A7819" s="877">
        <v>41379</v>
      </c>
      <c r="B7819" s="878">
        <v>1827.79</v>
      </c>
    </row>
    <row r="7820" spans="1:2" ht="16.149999999999999" customHeight="1">
      <c r="A7820" s="877">
        <v>41380</v>
      </c>
      <c r="B7820" s="880">
        <v>1834.86</v>
      </c>
    </row>
    <row r="7821" spans="1:2" ht="16.149999999999999" customHeight="1">
      <c r="A7821" s="877">
        <v>41381</v>
      </c>
      <c r="B7821" s="878">
        <v>1833.98</v>
      </c>
    </row>
    <row r="7822" spans="1:2" ht="16.149999999999999" customHeight="1">
      <c r="A7822" s="877">
        <v>41382</v>
      </c>
      <c r="B7822" s="880">
        <v>1846.46</v>
      </c>
    </row>
    <row r="7823" spans="1:2" ht="16.149999999999999" customHeight="1">
      <c r="A7823" s="877">
        <v>41383</v>
      </c>
      <c r="B7823" s="878">
        <v>1847.02</v>
      </c>
    </row>
    <row r="7824" spans="1:2" ht="16.149999999999999" customHeight="1">
      <c r="A7824" s="877">
        <v>41384</v>
      </c>
      <c r="B7824" s="880">
        <v>1835.57</v>
      </c>
    </row>
    <row r="7825" spans="1:2" ht="16.149999999999999" customHeight="1">
      <c r="A7825" s="877">
        <v>41385</v>
      </c>
      <c r="B7825" s="878">
        <v>1835.57</v>
      </c>
    </row>
    <row r="7826" spans="1:2" ht="16.149999999999999" customHeight="1">
      <c r="A7826" s="877">
        <v>41386</v>
      </c>
      <c r="B7826" s="880">
        <v>1835.57</v>
      </c>
    </row>
    <row r="7827" spans="1:2" ht="16.149999999999999" customHeight="1">
      <c r="A7827" s="877">
        <v>41387</v>
      </c>
      <c r="B7827" s="878">
        <v>1841.14</v>
      </c>
    </row>
    <row r="7828" spans="1:2" ht="16.149999999999999" customHeight="1">
      <c r="A7828" s="877">
        <v>41388</v>
      </c>
      <c r="B7828" s="880">
        <v>1838.03</v>
      </c>
    </row>
    <row r="7829" spans="1:2" ht="16.149999999999999" customHeight="1">
      <c r="A7829" s="877">
        <v>41389</v>
      </c>
      <c r="B7829" s="878">
        <v>1836.79</v>
      </c>
    </row>
    <row r="7830" spans="1:2" ht="16.149999999999999" customHeight="1">
      <c r="A7830" s="877">
        <v>41390</v>
      </c>
      <c r="B7830" s="880">
        <v>1830.84</v>
      </c>
    </row>
    <row r="7831" spans="1:2" ht="16.149999999999999" customHeight="1">
      <c r="A7831" s="877">
        <v>41391</v>
      </c>
      <c r="B7831" s="878">
        <v>1833.7</v>
      </c>
    </row>
    <row r="7832" spans="1:2" ht="16.149999999999999" customHeight="1">
      <c r="A7832" s="877">
        <v>41392</v>
      </c>
      <c r="B7832" s="880">
        <v>1833.7</v>
      </c>
    </row>
    <row r="7833" spans="1:2" ht="16.149999999999999" customHeight="1">
      <c r="A7833" s="877">
        <v>41393</v>
      </c>
      <c r="B7833" s="878">
        <v>1833.7</v>
      </c>
    </row>
    <row r="7834" spans="1:2" ht="16.149999999999999" customHeight="1">
      <c r="A7834" s="877">
        <v>41394</v>
      </c>
      <c r="B7834" s="880">
        <v>1828.79</v>
      </c>
    </row>
    <row r="7835" spans="1:2" ht="16.149999999999999" customHeight="1">
      <c r="A7835" s="877">
        <v>41395</v>
      </c>
      <c r="B7835" s="878">
        <v>1825.83</v>
      </c>
    </row>
    <row r="7836" spans="1:2" ht="16.149999999999999" customHeight="1">
      <c r="A7836" s="877">
        <v>41396</v>
      </c>
      <c r="B7836" s="880">
        <v>1825.83</v>
      </c>
    </row>
    <row r="7837" spans="1:2" ht="16.149999999999999" customHeight="1">
      <c r="A7837" s="877">
        <v>41397</v>
      </c>
      <c r="B7837" s="878">
        <v>1836.34</v>
      </c>
    </row>
    <row r="7838" spans="1:2" ht="16.149999999999999" customHeight="1">
      <c r="A7838" s="877">
        <v>41398</v>
      </c>
      <c r="B7838" s="880">
        <v>1835.88</v>
      </c>
    </row>
    <row r="7839" spans="1:2" ht="16.149999999999999" customHeight="1">
      <c r="A7839" s="877">
        <v>41399</v>
      </c>
      <c r="B7839" s="878">
        <v>1835.88</v>
      </c>
    </row>
    <row r="7840" spans="1:2" ht="16.149999999999999" customHeight="1">
      <c r="A7840" s="877">
        <v>41400</v>
      </c>
      <c r="B7840" s="880">
        <v>1835.88</v>
      </c>
    </row>
    <row r="7841" spans="1:2" ht="16.149999999999999" customHeight="1">
      <c r="A7841" s="877">
        <v>41401</v>
      </c>
      <c r="B7841" s="878">
        <v>1831.42</v>
      </c>
    </row>
    <row r="7842" spans="1:2" ht="16.149999999999999" customHeight="1">
      <c r="A7842" s="877">
        <v>41402</v>
      </c>
      <c r="B7842" s="880">
        <v>1827.13</v>
      </c>
    </row>
    <row r="7843" spans="1:2" ht="16.149999999999999" customHeight="1">
      <c r="A7843" s="877">
        <v>41403</v>
      </c>
      <c r="B7843" s="878">
        <v>1830.7</v>
      </c>
    </row>
    <row r="7844" spans="1:2" ht="16.149999999999999" customHeight="1">
      <c r="A7844" s="877">
        <v>41404</v>
      </c>
      <c r="B7844" s="880">
        <v>1833.07</v>
      </c>
    </row>
    <row r="7845" spans="1:2" ht="16.149999999999999" customHeight="1">
      <c r="A7845" s="877">
        <v>41405</v>
      </c>
      <c r="B7845" s="878">
        <v>1834.83</v>
      </c>
    </row>
    <row r="7846" spans="1:2" ht="16.149999999999999" customHeight="1">
      <c r="A7846" s="877">
        <v>41406</v>
      </c>
      <c r="B7846" s="880">
        <v>1834.83</v>
      </c>
    </row>
    <row r="7847" spans="1:2" ht="16.149999999999999" customHeight="1">
      <c r="A7847" s="877">
        <v>41407</v>
      </c>
      <c r="B7847" s="878">
        <v>1834.83</v>
      </c>
    </row>
    <row r="7848" spans="1:2" ht="16.149999999999999" customHeight="1">
      <c r="A7848" s="877">
        <v>41408</v>
      </c>
      <c r="B7848" s="880">
        <v>1834.83</v>
      </c>
    </row>
    <row r="7849" spans="1:2" ht="16.149999999999999" customHeight="1">
      <c r="A7849" s="877">
        <v>41409</v>
      </c>
      <c r="B7849" s="878">
        <v>1838.63</v>
      </c>
    </row>
    <row r="7850" spans="1:2" ht="16.149999999999999" customHeight="1">
      <c r="A7850" s="877">
        <v>41410</v>
      </c>
      <c r="B7850" s="880">
        <v>1843.75</v>
      </c>
    </row>
    <row r="7851" spans="1:2" ht="16.149999999999999" customHeight="1">
      <c r="A7851" s="877">
        <v>41411</v>
      </c>
      <c r="B7851" s="878">
        <v>1838.82</v>
      </c>
    </row>
    <row r="7852" spans="1:2" ht="16.149999999999999" customHeight="1">
      <c r="A7852" s="877">
        <v>41412</v>
      </c>
      <c r="B7852" s="880">
        <v>1841.35</v>
      </c>
    </row>
    <row r="7853" spans="1:2" ht="16.149999999999999" customHeight="1">
      <c r="A7853" s="877">
        <v>41413</v>
      </c>
      <c r="B7853" s="878">
        <v>1841.35</v>
      </c>
    </row>
    <row r="7854" spans="1:2" ht="16.149999999999999" customHeight="1">
      <c r="A7854" s="877">
        <v>41414</v>
      </c>
      <c r="B7854" s="880">
        <v>1841.35</v>
      </c>
    </row>
    <row r="7855" spans="1:2" ht="16.149999999999999" customHeight="1">
      <c r="A7855" s="877">
        <v>41415</v>
      </c>
      <c r="B7855" s="878">
        <v>1842.59</v>
      </c>
    </row>
    <row r="7856" spans="1:2" ht="16.149999999999999" customHeight="1">
      <c r="A7856" s="877">
        <v>41416</v>
      </c>
      <c r="B7856" s="880">
        <v>1846.76</v>
      </c>
    </row>
    <row r="7857" spans="1:2" ht="16.149999999999999" customHeight="1">
      <c r="A7857" s="877">
        <v>41417</v>
      </c>
      <c r="B7857" s="878">
        <v>1850.55</v>
      </c>
    </row>
    <row r="7858" spans="1:2" ht="16.149999999999999" customHeight="1">
      <c r="A7858" s="877">
        <v>41418</v>
      </c>
      <c r="B7858" s="880">
        <v>1864.02</v>
      </c>
    </row>
    <row r="7859" spans="1:2" ht="16.149999999999999" customHeight="1">
      <c r="A7859" s="877">
        <v>41419</v>
      </c>
      <c r="B7859" s="878">
        <v>1874.1</v>
      </c>
    </row>
    <row r="7860" spans="1:2" ht="16.149999999999999" customHeight="1">
      <c r="A7860" s="877">
        <v>41420</v>
      </c>
      <c r="B7860" s="880">
        <v>1874.1</v>
      </c>
    </row>
    <row r="7861" spans="1:2" ht="16.149999999999999" customHeight="1">
      <c r="A7861" s="877">
        <v>41421</v>
      </c>
      <c r="B7861" s="878">
        <v>1874.1</v>
      </c>
    </row>
    <row r="7862" spans="1:2" ht="16.149999999999999" customHeight="1">
      <c r="A7862" s="877">
        <v>41422</v>
      </c>
      <c r="B7862" s="880">
        <v>1874.1</v>
      </c>
    </row>
    <row r="7863" spans="1:2" ht="16.149999999999999" customHeight="1">
      <c r="A7863" s="877">
        <v>41423</v>
      </c>
      <c r="B7863" s="878">
        <v>1897.1</v>
      </c>
    </row>
    <row r="7864" spans="1:2" ht="16.149999999999999" customHeight="1">
      <c r="A7864" s="877">
        <v>41424</v>
      </c>
      <c r="B7864" s="880">
        <v>1894.13</v>
      </c>
    </row>
    <row r="7865" spans="1:2" ht="16.149999999999999" customHeight="1">
      <c r="A7865" s="877">
        <v>41425</v>
      </c>
      <c r="B7865" s="878">
        <v>1891.48</v>
      </c>
    </row>
    <row r="7866" spans="1:2" ht="16.149999999999999" customHeight="1">
      <c r="A7866" s="877">
        <v>41426</v>
      </c>
      <c r="B7866" s="880">
        <v>1907.76</v>
      </c>
    </row>
    <row r="7867" spans="1:2" ht="16.149999999999999" customHeight="1">
      <c r="A7867" s="877">
        <v>41427</v>
      </c>
      <c r="B7867" s="878">
        <v>1907.76</v>
      </c>
    </row>
    <row r="7868" spans="1:2" ht="16.149999999999999" customHeight="1">
      <c r="A7868" s="877">
        <v>41428</v>
      </c>
      <c r="B7868" s="880">
        <v>1907.76</v>
      </c>
    </row>
    <row r="7869" spans="1:2" ht="16.149999999999999" customHeight="1">
      <c r="A7869" s="877">
        <v>41429</v>
      </c>
      <c r="B7869" s="878">
        <v>1907.76</v>
      </c>
    </row>
    <row r="7870" spans="1:2" ht="16.149999999999999" customHeight="1">
      <c r="A7870" s="877">
        <v>41430</v>
      </c>
      <c r="B7870" s="880">
        <v>1894.4</v>
      </c>
    </row>
    <row r="7871" spans="1:2" ht="16.149999999999999" customHeight="1">
      <c r="A7871" s="877">
        <v>41431</v>
      </c>
      <c r="B7871" s="878">
        <v>1899.08</v>
      </c>
    </row>
    <row r="7872" spans="1:2" ht="16.149999999999999" customHeight="1">
      <c r="A7872" s="877">
        <v>41432</v>
      </c>
      <c r="B7872" s="880">
        <v>1907.88</v>
      </c>
    </row>
    <row r="7873" spans="1:2" ht="16.149999999999999" customHeight="1">
      <c r="A7873" s="877">
        <v>41433</v>
      </c>
      <c r="B7873" s="878">
        <v>1898.8</v>
      </c>
    </row>
    <row r="7874" spans="1:2" ht="16.149999999999999" customHeight="1">
      <c r="A7874" s="877">
        <v>41434</v>
      </c>
      <c r="B7874" s="880">
        <v>1898.8</v>
      </c>
    </row>
    <row r="7875" spans="1:2" ht="16.149999999999999" customHeight="1">
      <c r="A7875" s="877">
        <v>41435</v>
      </c>
      <c r="B7875" s="878">
        <v>1898.8</v>
      </c>
    </row>
    <row r="7876" spans="1:2" ht="16.149999999999999" customHeight="1">
      <c r="A7876" s="877">
        <v>41436</v>
      </c>
      <c r="B7876" s="880">
        <v>1898.8</v>
      </c>
    </row>
    <row r="7877" spans="1:2" ht="16.149999999999999" customHeight="1">
      <c r="A7877" s="877">
        <v>41437</v>
      </c>
      <c r="B7877" s="878">
        <v>1907.12</v>
      </c>
    </row>
    <row r="7878" spans="1:2" ht="16.149999999999999" customHeight="1">
      <c r="A7878" s="877">
        <v>41438</v>
      </c>
      <c r="B7878" s="880">
        <v>1897.53</v>
      </c>
    </row>
    <row r="7879" spans="1:2" ht="16.149999999999999" customHeight="1">
      <c r="A7879" s="877">
        <v>41439</v>
      </c>
      <c r="B7879" s="878">
        <v>1895.01</v>
      </c>
    </row>
    <row r="7880" spans="1:2" ht="16.149999999999999" customHeight="1">
      <c r="A7880" s="877">
        <v>41440</v>
      </c>
      <c r="B7880" s="880">
        <v>1882.38</v>
      </c>
    </row>
    <row r="7881" spans="1:2" ht="16.149999999999999" customHeight="1">
      <c r="A7881" s="877">
        <v>41441</v>
      </c>
      <c r="B7881" s="878">
        <v>1882.38</v>
      </c>
    </row>
    <row r="7882" spans="1:2" ht="16.149999999999999" customHeight="1">
      <c r="A7882" s="877">
        <v>41442</v>
      </c>
      <c r="B7882" s="880">
        <v>1882.38</v>
      </c>
    </row>
    <row r="7883" spans="1:2" ht="16.149999999999999" customHeight="1">
      <c r="A7883" s="877">
        <v>41443</v>
      </c>
      <c r="B7883" s="878">
        <v>1883.57</v>
      </c>
    </row>
    <row r="7884" spans="1:2" ht="16.149999999999999" customHeight="1">
      <c r="A7884" s="877">
        <v>41444</v>
      </c>
      <c r="B7884" s="880">
        <v>1902.47</v>
      </c>
    </row>
    <row r="7885" spans="1:2" ht="16.149999999999999" customHeight="1">
      <c r="A7885" s="877">
        <v>41445</v>
      </c>
      <c r="B7885" s="878">
        <v>1900.87</v>
      </c>
    </row>
    <row r="7886" spans="1:2" ht="16.149999999999999" customHeight="1">
      <c r="A7886" s="877">
        <v>41446</v>
      </c>
      <c r="B7886" s="880">
        <v>1937.26</v>
      </c>
    </row>
    <row r="7887" spans="1:2" ht="16.149999999999999" customHeight="1">
      <c r="A7887" s="877">
        <v>41447</v>
      </c>
      <c r="B7887" s="878">
        <v>1941.06</v>
      </c>
    </row>
    <row r="7888" spans="1:2" ht="16.149999999999999" customHeight="1">
      <c r="A7888" s="877">
        <v>41448</v>
      </c>
      <c r="B7888" s="880">
        <v>1941.06</v>
      </c>
    </row>
    <row r="7889" spans="1:2" ht="16.149999999999999" customHeight="1">
      <c r="A7889" s="877">
        <v>41449</v>
      </c>
      <c r="B7889" s="878">
        <v>1941.06</v>
      </c>
    </row>
    <row r="7890" spans="1:2" ht="16.149999999999999" customHeight="1">
      <c r="A7890" s="877">
        <v>41450</v>
      </c>
      <c r="B7890" s="880">
        <v>1942.97</v>
      </c>
    </row>
    <row r="7891" spans="1:2" ht="16.149999999999999" customHeight="1">
      <c r="A7891" s="877">
        <v>41451</v>
      </c>
      <c r="B7891" s="878">
        <v>1928.27</v>
      </c>
    </row>
    <row r="7892" spans="1:2" ht="16.149999999999999" customHeight="1">
      <c r="A7892" s="877">
        <v>41452</v>
      </c>
      <c r="B7892" s="880">
        <v>1921.86</v>
      </c>
    </row>
    <row r="7893" spans="1:2" ht="16.149999999999999" customHeight="1">
      <c r="A7893" s="877">
        <v>41453</v>
      </c>
      <c r="B7893" s="878">
        <v>1922.63</v>
      </c>
    </row>
    <row r="7894" spans="1:2" ht="16.149999999999999" customHeight="1">
      <c r="A7894" s="877">
        <v>41454</v>
      </c>
      <c r="B7894" s="880">
        <v>1929</v>
      </c>
    </row>
    <row r="7895" spans="1:2" ht="16.149999999999999" customHeight="1">
      <c r="A7895" s="877">
        <v>41455</v>
      </c>
      <c r="B7895" s="878">
        <v>1929</v>
      </c>
    </row>
    <row r="7896" spans="1:2" ht="16.149999999999999" customHeight="1">
      <c r="A7896" s="877">
        <v>41456</v>
      </c>
      <c r="B7896" s="880">
        <v>1929</v>
      </c>
    </row>
    <row r="7897" spans="1:2" ht="16.149999999999999" customHeight="1">
      <c r="A7897" s="877">
        <v>41457</v>
      </c>
      <c r="B7897" s="878">
        <v>1929</v>
      </c>
    </row>
    <row r="7898" spans="1:2" ht="16.149999999999999" customHeight="1">
      <c r="A7898" s="877">
        <v>41458</v>
      </c>
      <c r="B7898" s="880">
        <v>1919.42</v>
      </c>
    </row>
    <row r="7899" spans="1:2" ht="16.149999999999999" customHeight="1">
      <c r="A7899" s="877">
        <v>41459</v>
      </c>
      <c r="B7899" s="878">
        <v>1915.45</v>
      </c>
    </row>
    <row r="7900" spans="1:2" ht="16.149999999999999" customHeight="1">
      <c r="A7900" s="877">
        <v>41460</v>
      </c>
      <c r="B7900" s="880">
        <v>1915.45</v>
      </c>
    </row>
    <row r="7901" spans="1:2" ht="16.149999999999999" customHeight="1">
      <c r="A7901" s="877">
        <v>41461</v>
      </c>
      <c r="B7901" s="878">
        <v>1927.4</v>
      </c>
    </row>
    <row r="7902" spans="1:2" ht="16.149999999999999" customHeight="1">
      <c r="A7902" s="877">
        <v>41462</v>
      </c>
      <c r="B7902" s="880">
        <v>1927.4</v>
      </c>
    </row>
    <row r="7903" spans="1:2" ht="16.149999999999999" customHeight="1">
      <c r="A7903" s="877">
        <v>41463</v>
      </c>
      <c r="B7903" s="878">
        <v>1927.4</v>
      </c>
    </row>
    <row r="7904" spans="1:2" ht="16.149999999999999" customHeight="1">
      <c r="A7904" s="877">
        <v>41464</v>
      </c>
      <c r="B7904" s="880">
        <v>1926.84</v>
      </c>
    </row>
    <row r="7905" spans="1:2" ht="16.149999999999999" customHeight="1">
      <c r="A7905" s="877">
        <v>41465</v>
      </c>
      <c r="B7905" s="878">
        <v>1920.12</v>
      </c>
    </row>
    <row r="7906" spans="1:2" ht="16.149999999999999" customHeight="1">
      <c r="A7906" s="877">
        <v>41466</v>
      </c>
      <c r="B7906" s="880">
        <v>1920.24</v>
      </c>
    </row>
    <row r="7907" spans="1:2" ht="16.149999999999999" customHeight="1">
      <c r="A7907" s="877">
        <v>41467</v>
      </c>
      <c r="B7907" s="878">
        <v>1910.79</v>
      </c>
    </row>
    <row r="7908" spans="1:2" ht="16.149999999999999" customHeight="1">
      <c r="A7908" s="877">
        <v>41468</v>
      </c>
      <c r="B7908" s="880">
        <v>1905.25</v>
      </c>
    </row>
    <row r="7909" spans="1:2" ht="16.149999999999999" customHeight="1">
      <c r="A7909" s="877">
        <v>41469</v>
      </c>
      <c r="B7909" s="878">
        <v>1905.25</v>
      </c>
    </row>
    <row r="7910" spans="1:2" ht="16.149999999999999" customHeight="1">
      <c r="A7910" s="877">
        <v>41470</v>
      </c>
      <c r="B7910" s="880">
        <v>1905.25</v>
      </c>
    </row>
    <row r="7911" spans="1:2" ht="16.149999999999999" customHeight="1">
      <c r="A7911" s="877">
        <v>41471</v>
      </c>
      <c r="B7911" s="878">
        <v>1893.16</v>
      </c>
    </row>
    <row r="7912" spans="1:2" ht="16.149999999999999" customHeight="1">
      <c r="A7912" s="877">
        <v>41472</v>
      </c>
      <c r="B7912" s="880">
        <v>1878.42</v>
      </c>
    </row>
    <row r="7913" spans="1:2" ht="16.149999999999999" customHeight="1">
      <c r="A7913" s="877">
        <v>41473</v>
      </c>
      <c r="B7913" s="878">
        <v>1873.25</v>
      </c>
    </row>
    <row r="7914" spans="1:2" ht="16.149999999999999" customHeight="1">
      <c r="A7914" s="877">
        <v>41474</v>
      </c>
      <c r="B7914" s="880">
        <v>1883.29</v>
      </c>
    </row>
    <row r="7915" spans="1:2" ht="16.149999999999999" customHeight="1">
      <c r="A7915" s="877">
        <v>41475</v>
      </c>
      <c r="B7915" s="878">
        <v>1884.01</v>
      </c>
    </row>
    <row r="7916" spans="1:2" ht="16.149999999999999" customHeight="1">
      <c r="A7916" s="877">
        <v>41476</v>
      </c>
      <c r="B7916" s="880">
        <v>1884.01</v>
      </c>
    </row>
    <row r="7917" spans="1:2" ht="16.149999999999999" customHeight="1">
      <c r="A7917" s="877">
        <v>41477</v>
      </c>
      <c r="B7917" s="878">
        <v>1884.01</v>
      </c>
    </row>
    <row r="7918" spans="1:2" ht="16.149999999999999" customHeight="1">
      <c r="A7918" s="877">
        <v>41478</v>
      </c>
      <c r="B7918" s="880">
        <v>1880.87</v>
      </c>
    </row>
    <row r="7919" spans="1:2" ht="16.149999999999999" customHeight="1">
      <c r="A7919" s="877">
        <v>41479</v>
      </c>
      <c r="B7919" s="878">
        <v>1886.06</v>
      </c>
    </row>
    <row r="7920" spans="1:2" ht="16.149999999999999" customHeight="1">
      <c r="A7920" s="877">
        <v>41480</v>
      </c>
      <c r="B7920" s="880">
        <v>1891.02</v>
      </c>
    </row>
    <row r="7921" spans="1:2" ht="16.149999999999999" customHeight="1">
      <c r="A7921" s="877">
        <v>41481</v>
      </c>
      <c r="B7921" s="878">
        <v>1887.4</v>
      </c>
    </row>
    <row r="7922" spans="1:2" ht="16.149999999999999" customHeight="1">
      <c r="A7922" s="877">
        <v>41482</v>
      </c>
      <c r="B7922" s="880">
        <v>1886.26</v>
      </c>
    </row>
    <row r="7923" spans="1:2" ht="16.149999999999999" customHeight="1">
      <c r="A7923" s="877">
        <v>41483</v>
      </c>
      <c r="B7923" s="878">
        <v>1886.26</v>
      </c>
    </row>
    <row r="7924" spans="1:2" ht="16.149999999999999" customHeight="1">
      <c r="A7924" s="877">
        <v>41484</v>
      </c>
      <c r="B7924" s="880">
        <v>1886.26</v>
      </c>
    </row>
    <row r="7925" spans="1:2" ht="16.149999999999999" customHeight="1">
      <c r="A7925" s="877">
        <v>41485</v>
      </c>
      <c r="B7925" s="878">
        <v>1888.95</v>
      </c>
    </row>
    <row r="7926" spans="1:2" ht="16.149999999999999" customHeight="1">
      <c r="A7926" s="877">
        <v>41486</v>
      </c>
      <c r="B7926" s="880">
        <v>1890.33</v>
      </c>
    </row>
    <row r="7927" spans="1:2" ht="16.149999999999999" customHeight="1">
      <c r="A7927" s="877">
        <v>41487</v>
      </c>
      <c r="B7927" s="878">
        <v>1896.15</v>
      </c>
    </row>
    <row r="7928" spans="1:2" ht="16.149999999999999" customHeight="1">
      <c r="A7928" s="877">
        <v>41488</v>
      </c>
      <c r="B7928" s="880">
        <v>1896.65</v>
      </c>
    </row>
    <row r="7929" spans="1:2" ht="16.149999999999999" customHeight="1">
      <c r="A7929" s="877">
        <v>41489</v>
      </c>
      <c r="B7929" s="878">
        <v>1891.67</v>
      </c>
    </row>
    <row r="7930" spans="1:2" ht="16.149999999999999" customHeight="1">
      <c r="A7930" s="877">
        <v>41490</v>
      </c>
      <c r="B7930" s="880">
        <v>1891.67</v>
      </c>
    </row>
    <row r="7931" spans="1:2" ht="16.149999999999999" customHeight="1">
      <c r="A7931" s="877">
        <v>41491</v>
      </c>
      <c r="B7931" s="878">
        <v>1891.67</v>
      </c>
    </row>
    <row r="7932" spans="1:2" ht="16.149999999999999" customHeight="1">
      <c r="A7932" s="877">
        <v>41492</v>
      </c>
      <c r="B7932" s="880">
        <v>1883.24</v>
      </c>
    </row>
    <row r="7933" spans="1:2" ht="16.149999999999999" customHeight="1">
      <c r="A7933" s="877">
        <v>41493</v>
      </c>
      <c r="B7933" s="878">
        <v>1882.01</v>
      </c>
    </row>
    <row r="7934" spans="1:2" ht="16.149999999999999" customHeight="1">
      <c r="A7934" s="877">
        <v>41494</v>
      </c>
      <c r="B7934" s="880">
        <v>1882.01</v>
      </c>
    </row>
    <row r="7935" spans="1:2" ht="16.149999999999999" customHeight="1">
      <c r="A7935" s="877">
        <v>41495</v>
      </c>
      <c r="B7935" s="878">
        <v>1877.23</v>
      </c>
    </row>
    <row r="7936" spans="1:2" ht="16.149999999999999" customHeight="1">
      <c r="A7936" s="877">
        <v>41496</v>
      </c>
      <c r="B7936" s="880">
        <v>1873.92</v>
      </c>
    </row>
    <row r="7937" spans="1:2" ht="16.149999999999999" customHeight="1">
      <c r="A7937" s="877">
        <v>41497</v>
      </c>
      <c r="B7937" s="878">
        <v>1873.92</v>
      </c>
    </row>
    <row r="7938" spans="1:2" ht="16.149999999999999" customHeight="1">
      <c r="A7938" s="877">
        <v>41498</v>
      </c>
      <c r="B7938" s="880">
        <v>1873.92</v>
      </c>
    </row>
    <row r="7939" spans="1:2" ht="16.149999999999999" customHeight="1">
      <c r="A7939" s="877">
        <v>41499</v>
      </c>
      <c r="B7939" s="878">
        <v>1868.9</v>
      </c>
    </row>
    <row r="7940" spans="1:2" ht="16.149999999999999" customHeight="1">
      <c r="A7940" s="877">
        <v>41500</v>
      </c>
      <c r="B7940" s="880">
        <v>1882.36</v>
      </c>
    </row>
    <row r="7941" spans="1:2" ht="16.149999999999999" customHeight="1">
      <c r="A7941" s="877">
        <v>41501</v>
      </c>
      <c r="B7941" s="878">
        <v>1883.15</v>
      </c>
    </row>
    <row r="7942" spans="1:2" ht="16.149999999999999" customHeight="1">
      <c r="A7942" s="877">
        <v>41502</v>
      </c>
      <c r="B7942" s="880">
        <v>1901.03</v>
      </c>
    </row>
    <row r="7943" spans="1:2" ht="16.149999999999999" customHeight="1">
      <c r="A7943" s="877">
        <v>41503</v>
      </c>
      <c r="B7943" s="878">
        <v>1907.06</v>
      </c>
    </row>
    <row r="7944" spans="1:2" ht="16.149999999999999" customHeight="1">
      <c r="A7944" s="877">
        <v>41504</v>
      </c>
      <c r="B7944" s="880">
        <v>1907.06</v>
      </c>
    </row>
    <row r="7945" spans="1:2" ht="16.149999999999999" customHeight="1">
      <c r="A7945" s="877">
        <v>41505</v>
      </c>
      <c r="B7945" s="878">
        <v>1907.06</v>
      </c>
    </row>
    <row r="7946" spans="1:2" ht="16.149999999999999" customHeight="1">
      <c r="A7946" s="877">
        <v>41506</v>
      </c>
      <c r="B7946" s="880">
        <v>1907.06</v>
      </c>
    </row>
    <row r="7947" spans="1:2" ht="16.149999999999999" customHeight="1">
      <c r="A7947" s="877">
        <v>41507</v>
      </c>
      <c r="B7947" s="878">
        <v>1922.73</v>
      </c>
    </row>
    <row r="7948" spans="1:2" ht="16.149999999999999" customHeight="1">
      <c r="A7948" s="877">
        <v>41508</v>
      </c>
      <c r="B7948" s="880">
        <v>1929.75</v>
      </c>
    </row>
    <row r="7949" spans="1:2" ht="16.149999999999999" customHeight="1">
      <c r="A7949" s="877">
        <v>41509</v>
      </c>
      <c r="B7949" s="878">
        <v>1921.99</v>
      </c>
    </row>
    <row r="7950" spans="1:2" ht="16.149999999999999" customHeight="1">
      <c r="A7950" s="877">
        <v>41510</v>
      </c>
      <c r="B7950" s="880">
        <v>1911.16</v>
      </c>
    </row>
    <row r="7951" spans="1:2" ht="16.149999999999999" customHeight="1">
      <c r="A7951" s="877">
        <v>41511</v>
      </c>
      <c r="B7951" s="878">
        <v>1911.16</v>
      </c>
    </row>
    <row r="7952" spans="1:2" ht="16.149999999999999" customHeight="1">
      <c r="A7952" s="877">
        <v>41512</v>
      </c>
      <c r="B7952" s="880">
        <v>1911.16</v>
      </c>
    </row>
    <row r="7953" spans="1:2" ht="16.149999999999999" customHeight="1">
      <c r="A7953" s="877">
        <v>41513</v>
      </c>
      <c r="B7953" s="878">
        <v>1922.96</v>
      </c>
    </row>
    <row r="7954" spans="1:2" ht="16.149999999999999" customHeight="1">
      <c r="A7954" s="877">
        <v>41514</v>
      </c>
      <c r="B7954" s="880">
        <v>1938.26</v>
      </c>
    </row>
    <row r="7955" spans="1:2" ht="16.149999999999999" customHeight="1">
      <c r="A7955" s="877">
        <v>41515</v>
      </c>
      <c r="B7955" s="878">
        <v>1939.85</v>
      </c>
    </row>
    <row r="7956" spans="1:2" ht="16.149999999999999" customHeight="1">
      <c r="A7956" s="877">
        <v>41516</v>
      </c>
      <c r="B7956" s="880">
        <v>1943.04</v>
      </c>
    </row>
    <row r="7957" spans="1:2" ht="16.149999999999999" customHeight="1">
      <c r="A7957" s="877">
        <v>41517</v>
      </c>
      <c r="B7957" s="878">
        <v>1935.43</v>
      </c>
    </row>
    <row r="7958" spans="1:2" ht="16.149999999999999" customHeight="1">
      <c r="A7958" s="877">
        <v>41518</v>
      </c>
      <c r="B7958" s="880">
        <v>1935.43</v>
      </c>
    </row>
    <row r="7959" spans="1:2" ht="16.149999999999999" customHeight="1">
      <c r="A7959" s="877">
        <v>41519</v>
      </c>
      <c r="B7959" s="878">
        <v>1935.43</v>
      </c>
    </row>
    <row r="7960" spans="1:2" ht="16.149999999999999" customHeight="1">
      <c r="A7960" s="877">
        <v>41520</v>
      </c>
      <c r="B7960" s="880">
        <v>1935.43</v>
      </c>
    </row>
    <row r="7961" spans="1:2" ht="16.149999999999999" customHeight="1">
      <c r="A7961" s="877">
        <v>41521</v>
      </c>
      <c r="B7961" s="878">
        <v>1946.28</v>
      </c>
    </row>
    <row r="7962" spans="1:2" ht="16.149999999999999" customHeight="1">
      <c r="A7962" s="877">
        <v>41522</v>
      </c>
      <c r="B7962" s="880">
        <v>1938.99</v>
      </c>
    </row>
    <row r="7963" spans="1:2" ht="16.149999999999999" customHeight="1">
      <c r="A7963" s="877">
        <v>41523</v>
      </c>
      <c r="B7963" s="878">
        <v>1952.11</v>
      </c>
    </row>
    <row r="7964" spans="1:2" ht="16.149999999999999" customHeight="1">
      <c r="A7964" s="877">
        <v>41524</v>
      </c>
      <c r="B7964" s="880">
        <v>1947.99</v>
      </c>
    </row>
    <row r="7965" spans="1:2" ht="16.149999999999999" customHeight="1">
      <c r="A7965" s="877">
        <v>41525</v>
      </c>
      <c r="B7965" s="878">
        <v>1947.99</v>
      </c>
    </row>
    <row r="7966" spans="1:2" ht="16.149999999999999" customHeight="1">
      <c r="A7966" s="877">
        <v>41526</v>
      </c>
      <c r="B7966" s="880">
        <v>1947.99</v>
      </c>
    </row>
    <row r="7967" spans="1:2" ht="16.149999999999999" customHeight="1">
      <c r="A7967" s="877">
        <v>41527</v>
      </c>
      <c r="B7967" s="878">
        <v>1946.06</v>
      </c>
    </row>
    <row r="7968" spans="1:2" ht="16.149999999999999" customHeight="1">
      <c r="A7968" s="877">
        <v>41528</v>
      </c>
      <c r="B7968" s="880">
        <v>1935.55</v>
      </c>
    </row>
    <row r="7969" spans="1:2" ht="16.149999999999999" customHeight="1">
      <c r="A7969" s="877">
        <v>41529</v>
      </c>
      <c r="B7969" s="878">
        <v>1923.64</v>
      </c>
    </row>
    <row r="7970" spans="1:2" ht="16.149999999999999" customHeight="1">
      <c r="A7970" s="877">
        <v>41530</v>
      </c>
      <c r="B7970" s="880">
        <v>1919.25</v>
      </c>
    </row>
    <row r="7971" spans="1:2" ht="16.149999999999999" customHeight="1">
      <c r="A7971" s="877">
        <v>41531</v>
      </c>
      <c r="B7971" s="878">
        <v>1919.54</v>
      </c>
    </row>
    <row r="7972" spans="1:2" ht="16.149999999999999" customHeight="1">
      <c r="A7972" s="877">
        <v>41532</v>
      </c>
      <c r="B7972" s="880">
        <v>1919.54</v>
      </c>
    </row>
    <row r="7973" spans="1:2" ht="16.149999999999999" customHeight="1">
      <c r="A7973" s="877">
        <v>41533</v>
      </c>
      <c r="B7973" s="878">
        <v>1919.54</v>
      </c>
    </row>
    <row r="7974" spans="1:2" ht="16.149999999999999" customHeight="1">
      <c r="A7974" s="877">
        <v>41534</v>
      </c>
      <c r="B7974" s="880">
        <v>1917.03</v>
      </c>
    </row>
    <row r="7975" spans="1:2" ht="16.149999999999999" customHeight="1">
      <c r="A7975" s="877">
        <v>41535</v>
      </c>
      <c r="B7975" s="878">
        <v>1914.12</v>
      </c>
    </row>
    <row r="7976" spans="1:2" ht="16.149999999999999" customHeight="1">
      <c r="A7976" s="877">
        <v>41536</v>
      </c>
      <c r="B7976" s="880">
        <v>1911.3</v>
      </c>
    </row>
    <row r="7977" spans="1:2" ht="16.149999999999999" customHeight="1">
      <c r="A7977" s="877">
        <v>41537</v>
      </c>
      <c r="B7977" s="878">
        <v>1887.3</v>
      </c>
    </row>
    <row r="7978" spans="1:2" ht="16.149999999999999" customHeight="1">
      <c r="A7978" s="877">
        <v>41538</v>
      </c>
      <c r="B7978" s="880">
        <v>1889.12</v>
      </c>
    </row>
    <row r="7979" spans="1:2" ht="16.149999999999999" customHeight="1">
      <c r="A7979" s="877">
        <v>41539</v>
      </c>
      <c r="B7979" s="878">
        <v>1889.12</v>
      </c>
    </row>
    <row r="7980" spans="1:2" ht="16.149999999999999" customHeight="1">
      <c r="A7980" s="877">
        <v>41540</v>
      </c>
      <c r="B7980" s="880">
        <v>1889.12</v>
      </c>
    </row>
    <row r="7981" spans="1:2" ht="16.149999999999999" customHeight="1">
      <c r="A7981" s="877">
        <v>41541</v>
      </c>
      <c r="B7981" s="878">
        <v>1892.89</v>
      </c>
    </row>
    <row r="7982" spans="1:2" ht="16.149999999999999" customHeight="1">
      <c r="A7982" s="877">
        <v>41542</v>
      </c>
      <c r="B7982" s="880">
        <v>1888.14</v>
      </c>
    </row>
    <row r="7983" spans="1:2" ht="16.149999999999999" customHeight="1">
      <c r="A7983" s="877">
        <v>41543</v>
      </c>
      <c r="B7983" s="878">
        <v>1893.42</v>
      </c>
    </row>
    <row r="7984" spans="1:2" ht="16.149999999999999" customHeight="1">
      <c r="A7984" s="877">
        <v>41544</v>
      </c>
      <c r="B7984" s="880">
        <v>1899.1</v>
      </c>
    </row>
    <row r="7985" spans="1:2" ht="16.149999999999999" customHeight="1">
      <c r="A7985" s="877">
        <v>41545</v>
      </c>
      <c r="B7985" s="878">
        <v>1914.65</v>
      </c>
    </row>
    <row r="7986" spans="1:2" ht="16.149999999999999" customHeight="1">
      <c r="A7986" s="877">
        <v>41546</v>
      </c>
      <c r="B7986" s="880">
        <v>1914.65</v>
      </c>
    </row>
    <row r="7987" spans="1:2" ht="16.149999999999999" customHeight="1">
      <c r="A7987" s="877">
        <v>41547</v>
      </c>
      <c r="B7987" s="878">
        <v>1914.65</v>
      </c>
    </row>
    <row r="7988" spans="1:2" ht="16.149999999999999" customHeight="1">
      <c r="A7988" s="877">
        <v>41548</v>
      </c>
      <c r="B7988" s="880">
        <v>1908.29</v>
      </c>
    </row>
    <row r="7989" spans="1:2" ht="16.149999999999999" customHeight="1">
      <c r="A7989" s="877">
        <v>41549</v>
      </c>
      <c r="B7989" s="878">
        <v>1893.77</v>
      </c>
    </row>
    <row r="7990" spans="1:2" ht="16.149999999999999" customHeight="1">
      <c r="A7990" s="877">
        <v>41550</v>
      </c>
      <c r="B7990" s="880">
        <v>1884.97</v>
      </c>
    </row>
    <row r="7991" spans="1:2" ht="16.149999999999999" customHeight="1">
      <c r="A7991" s="877">
        <v>41551</v>
      </c>
      <c r="B7991" s="878">
        <v>1889.95</v>
      </c>
    </row>
    <row r="7992" spans="1:2" ht="16.149999999999999" customHeight="1">
      <c r="A7992" s="877">
        <v>41552</v>
      </c>
      <c r="B7992" s="880">
        <v>1886.78</v>
      </c>
    </row>
    <row r="7993" spans="1:2" ht="16.149999999999999" customHeight="1">
      <c r="A7993" s="877">
        <v>41553</v>
      </c>
      <c r="B7993" s="878">
        <v>1886.78</v>
      </c>
    </row>
    <row r="7994" spans="1:2" ht="16.149999999999999" customHeight="1">
      <c r="A7994" s="877">
        <v>41554</v>
      </c>
      <c r="B7994" s="880">
        <v>1886.78</v>
      </c>
    </row>
    <row r="7995" spans="1:2" ht="16.149999999999999" customHeight="1">
      <c r="A7995" s="877">
        <v>41555</v>
      </c>
      <c r="B7995" s="878">
        <v>1885.19</v>
      </c>
    </row>
    <row r="7996" spans="1:2" ht="16.149999999999999" customHeight="1">
      <c r="A7996" s="877">
        <v>41556</v>
      </c>
      <c r="B7996" s="880">
        <v>1889.17</v>
      </c>
    </row>
    <row r="7997" spans="1:2" ht="16.149999999999999" customHeight="1">
      <c r="A7997" s="877">
        <v>41557</v>
      </c>
      <c r="B7997" s="878">
        <v>1894.06</v>
      </c>
    </row>
    <row r="7998" spans="1:2" ht="16.149999999999999" customHeight="1">
      <c r="A7998" s="877">
        <v>41558</v>
      </c>
      <c r="B7998" s="880">
        <v>1885.84</v>
      </c>
    </row>
    <row r="7999" spans="1:2" ht="16.149999999999999" customHeight="1">
      <c r="A7999" s="877">
        <v>41559</v>
      </c>
      <c r="B7999" s="878">
        <v>1883.65</v>
      </c>
    </row>
    <row r="8000" spans="1:2" ht="16.149999999999999" customHeight="1">
      <c r="A8000" s="877">
        <v>41560</v>
      </c>
      <c r="B8000" s="880">
        <v>1883.65</v>
      </c>
    </row>
    <row r="8001" spans="1:2" ht="16.149999999999999" customHeight="1">
      <c r="A8001" s="877">
        <v>41561</v>
      </c>
      <c r="B8001" s="878">
        <v>1883.65</v>
      </c>
    </row>
    <row r="8002" spans="1:2" ht="16.149999999999999" customHeight="1">
      <c r="A8002" s="877">
        <v>41562</v>
      </c>
      <c r="B8002" s="880">
        <v>1883.65</v>
      </c>
    </row>
    <row r="8003" spans="1:2" ht="16.149999999999999" customHeight="1">
      <c r="A8003" s="877">
        <v>41563</v>
      </c>
      <c r="B8003" s="878">
        <v>1883.7</v>
      </c>
    </row>
    <row r="8004" spans="1:2" ht="16.149999999999999" customHeight="1">
      <c r="A8004" s="877">
        <v>41564</v>
      </c>
      <c r="B8004" s="880">
        <v>1880.91</v>
      </c>
    </row>
    <row r="8005" spans="1:2" ht="16.149999999999999" customHeight="1">
      <c r="A8005" s="877">
        <v>41565</v>
      </c>
      <c r="B8005" s="878">
        <v>1879.48</v>
      </c>
    </row>
    <row r="8006" spans="1:2" ht="16.149999999999999" customHeight="1">
      <c r="A8006" s="877">
        <v>41566</v>
      </c>
      <c r="B8006" s="880">
        <v>1879.88</v>
      </c>
    </row>
    <row r="8007" spans="1:2" ht="16.149999999999999" customHeight="1">
      <c r="A8007" s="877">
        <v>41567</v>
      </c>
      <c r="B8007" s="878">
        <v>1879.88</v>
      </c>
    </row>
    <row r="8008" spans="1:2" ht="16.149999999999999" customHeight="1">
      <c r="A8008" s="877">
        <v>41568</v>
      </c>
      <c r="B8008" s="880">
        <v>1879.88</v>
      </c>
    </row>
    <row r="8009" spans="1:2" ht="16.149999999999999" customHeight="1">
      <c r="A8009" s="877">
        <v>41569</v>
      </c>
      <c r="B8009" s="878">
        <v>1885.52</v>
      </c>
    </row>
    <row r="8010" spans="1:2" ht="16.149999999999999" customHeight="1">
      <c r="A8010" s="877">
        <v>41570</v>
      </c>
      <c r="B8010" s="880">
        <v>1879.46</v>
      </c>
    </row>
    <row r="8011" spans="1:2" ht="16.149999999999999" customHeight="1">
      <c r="A8011" s="877">
        <v>41571</v>
      </c>
      <c r="B8011" s="878">
        <v>1883.14</v>
      </c>
    </row>
    <row r="8012" spans="1:2" ht="16.149999999999999" customHeight="1">
      <c r="A8012" s="877">
        <v>41572</v>
      </c>
      <c r="B8012" s="880">
        <v>1882.11</v>
      </c>
    </row>
    <row r="8013" spans="1:2" ht="16.149999999999999" customHeight="1">
      <c r="A8013" s="877">
        <v>41573</v>
      </c>
      <c r="B8013" s="878">
        <v>1882.34</v>
      </c>
    </row>
    <row r="8014" spans="1:2" ht="16.149999999999999" customHeight="1">
      <c r="A8014" s="877">
        <v>41574</v>
      </c>
      <c r="B8014" s="880">
        <v>1882.34</v>
      </c>
    </row>
    <row r="8015" spans="1:2" ht="16.149999999999999" customHeight="1">
      <c r="A8015" s="877">
        <v>41575</v>
      </c>
      <c r="B8015" s="878">
        <v>1882.34</v>
      </c>
    </row>
    <row r="8016" spans="1:2" ht="16.149999999999999" customHeight="1">
      <c r="A8016" s="877">
        <v>41576</v>
      </c>
      <c r="B8016" s="880">
        <v>1884.43</v>
      </c>
    </row>
    <row r="8017" spans="1:2" ht="16.149999999999999" customHeight="1">
      <c r="A8017" s="877">
        <v>41577</v>
      </c>
      <c r="B8017" s="878">
        <v>1883.42</v>
      </c>
    </row>
    <row r="8018" spans="1:2" ht="16.149999999999999" customHeight="1">
      <c r="A8018" s="877">
        <v>41578</v>
      </c>
      <c r="B8018" s="880">
        <v>1884.06</v>
      </c>
    </row>
    <row r="8019" spans="1:2" ht="16.149999999999999" customHeight="1">
      <c r="A8019" s="877">
        <v>41579</v>
      </c>
      <c r="B8019" s="878">
        <v>1889.16</v>
      </c>
    </row>
    <row r="8020" spans="1:2" ht="16.149999999999999" customHeight="1">
      <c r="A8020" s="877">
        <v>41580</v>
      </c>
      <c r="B8020" s="880">
        <v>1901.22</v>
      </c>
    </row>
    <row r="8021" spans="1:2" ht="16.149999999999999" customHeight="1">
      <c r="A8021" s="877">
        <v>41581</v>
      </c>
      <c r="B8021" s="878">
        <v>1901.22</v>
      </c>
    </row>
    <row r="8022" spans="1:2" ht="16.149999999999999" customHeight="1">
      <c r="A8022" s="877">
        <v>41582</v>
      </c>
      <c r="B8022" s="880">
        <v>1901.22</v>
      </c>
    </row>
    <row r="8023" spans="1:2" ht="16.149999999999999" customHeight="1">
      <c r="A8023" s="877">
        <v>41583</v>
      </c>
      <c r="B8023" s="878">
        <v>1901.22</v>
      </c>
    </row>
    <row r="8024" spans="1:2" ht="16.149999999999999" customHeight="1">
      <c r="A8024" s="877">
        <v>41584</v>
      </c>
      <c r="B8024" s="880">
        <v>1916.22</v>
      </c>
    </row>
    <row r="8025" spans="1:2" ht="16.149999999999999" customHeight="1">
      <c r="A8025" s="877">
        <v>41585</v>
      </c>
      <c r="B8025" s="878">
        <v>1916.8</v>
      </c>
    </row>
    <row r="8026" spans="1:2" ht="16.149999999999999" customHeight="1">
      <c r="A8026" s="877">
        <v>41586</v>
      </c>
      <c r="B8026" s="880">
        <v>1924.87</v>
      </c>
    </row>
    <row r="8027" spans="1:2" ht="16.149999999999999" customHeight="1">
      <c r="A8027" s="877">
        <v>41587</v>
      </c>
      <c r="B8027" s="878">
        <v>1932.77</v>
      </c>
    </row>
    <row r="8028" spans="1:2" ht="16.149999999999999" customHeight="1">
      <c r="A8028" s="877">
        <v>41588</v>
      </c>
      <c r="B8028" s="880">
        <v>1932.77</v>
      </c>
    </row>
    <row r="8029" spans="1:2" ht="16.149999999999999" customHeight="1">
      <c r="A8029" s="877">
        <v>41589</v>
      </c>
      <c r="B8029" s="878">
        <v>1932.77</v>
      </c>
    </row>
    <row r="8030" spans="1:2" ht="16.149999999999999" customHeight="1">
      <c r="A8030" s="877">
        <v>41590</v>
      </c>
      <c r="B8030" s="880">
        <v>1932.77</v>
      </c>
    </row>
    <row r="8031" spans="1:2" ht="16.149999999999999" customHeight="1">
      <c r="A8031" s="877">
        <v>41591</v>
      </c>
      <c r="B8031" s="878">
        <v>1928.96</v>
      </c>
    </row>
    <row r="8032" spans="1:2" ht="16.149999999999999" customHeight="1">
      <c r="A8032" s="877">
        <v>41592</v>
      </c>
      <c r="B8032" s="880">
        <v>1932.03</v>
      </c>
    </row>
    <row r="8033" spans="1:2" ht="16.149999999999999" customHeight="1">
      <c r="A8033" s="877">
        <v>41593</v>
      </c>
      <c r="B8033" s="878">
        <v>1929.24</v>
      </c>
    </row>
    <row r="8034" spans="1:2" ht="16.149999999999999" customHeight="1">
      <c r="A8034" s="877">
        <v>41594</v>
      </c>
      <c r="B8034" s="880">
        <v>1919.89</v>
      </c>
    </row>
    <row r="8035" spans="1:2" ht="16.149999999999999" customHeight="1">
      <c r="A8035" s="877">
        <v>41595</v>
      </c>
      <c r="B8035" s="878">
        <v>1919.89</v>
      </c>
    </row>
    <row r="8036" spans="1:2" ht="16.149999999999999" customHeight="1">
      <c r="A8036" s="877">
        <v>41596</v>
      </c>
      <c r="B8036" s="880">
        <v>1919.89</v>
      </c>
    </row>
    <row r="8037" spans="1:2" ht="16.149999999999999" customHeight="1">
      <c r="A8037" s="877">
        <v>41597</v>
      </c>
      <c r="B8037" s="878">
        <v>1915.37</v>
      </c>
    </row>
    <row r="8038" spans="1:2" ht="16.149999999999999" customHeight="1">
      <c r="A8038" s="877">
        <v>41598</v>
      </c>
      <c r="B8038" s="880">
        <v>1919.2</v>
      </c>
    </row>
    <row r="8039" spans="1:2" ht="16.149999999999999" customHeight="1">
      <c r="A8039" s="877">
        <v>41599</v>
      </c>
      <c r="B8039" s="878">
        <v>1923.19</v>
      </c>
    </row>
    <row r="8040" spans="1:2" ht="16.149999999999999" customHeight="1">
      <c r="A8040" s="877">
        <v>41600</v>
      </c>
      <c r="B8040" s="880">
        <v>1932.42</v>
      </c>
    </row>
    <row r="8041" spans="1:2" ht="16.149999999999999" customHeight="1">
      <c r="A8041" s="877">
        <v>41601</v>
      </c>
      <c r="B8041" s="878">
        <v>1929.13</v>
      </c>
    </row>
    <row r="8042" spans="1:2" ht="16.149999999999999" customHeight="1">
      <c r="A8042" s="877">
        <v>41602</v>
      </c>
      <c r="B8042" s="880">
        <v>1929.13</v>
      </c>
    </row>
    <row r="8043" spans="1:2" ht="16.149999999999999" customHeight="1">
      <c r="A8043" s="877">
        <v>41603</v>
      </c>
      <c r="B8043" s="878">
        <v>1929.13</v>
      </c>
    </row>
    <row r="8044" spans="1:2" ht="16.149999999999999" customHeight="1">
      <c r="A8044" s="877">
        <v>41604</v>
      </c>
      <c r="B8044" s="880">
        <v>1926.99</v>
      </c>
    </row>
    <row r="8045" spans="1:2" ht="16.149999999999999" customHeight="1">
      <c r="A8045" s="877">
        <v>41605</v>
      </c>
      <c r="B8045" s="878">
        <v>1926.74</v>
      </c>
    </row>
    <row r="8046" spans="1:2" ht="16.149999999999999" customHeight="1">
      <c r="A8046" s="877">
        <v>41606</v>
      </c>
      <c r="B8046" s="880">
        <v>1928.25</v>
      </c>
    </row>
    <row r="8047" spans="1:2" ht="16.149999999999999" customHeight="1">
      <c r="A8047" s="877">
        <v>41607</v>
      </c>
      <c r="B8047" s="878">
        <v>1928.25</v>
      </c>
    </row>
    <row r="8048" spans="1:2" ht="16.149999999999999" customHeight="1">
      <c r="A8048" s="877">
        <v>41608</v>
      </c>
      <c r="B8048" s="880">
        <v>1931.88</v>
      </c>
    </row>
    <row r="8049" spans="1:2" ht="16.149999999999999" customHeight="1">
      <c r="A8049" s="877">
        <v>41609</v>
      </c>
      <c r="B8049" s="878">
        <v>1931.88</v>
      </c>
    </row>
    <row r="8050" spans="1:2" ht="16.149999999999999" customHeight="1">
      <c r="A8050" s="877">
        <v>41610</v>
      </c>
      <c r="B8050" s="880">
        <v>1931.88</v>
      </c>
    </row>
    <row r="8051" spans="1:2" ht="16.149999999999999" customHeight="1">
      <c r="A8051" s="877">
        <v>41611</v>
      </c>
      <c r="B8051" s="878">
        <v>1934.16</v>
      </c>
    </row>
    <row r="8052" spans="1:2" ht="16.149999999999999" customHeight="1">
      <c r="A8052" s="877">
        <v>41612</v>
      </c>
      <c r="B8052" s="880">
        <v>1941.01</v>
      </c>
    </row>
    <row r="8053" spans="1:2" ht="16.149999999999999" customHeight="1">
      <c r="A8053" s="877">
        <v>41613</v>
      </c>
      <c r="B8053" s="878">
        <v>1948.48</v>
      </c>
    </row>
    <row r="8054" spans="1:2" ht="16.149999999999999" customHeight="1">
      <c r="A8054" s="877">
        <v>41614</v>
      </c>
      <c r="B8054" s="880">
        <v>1940.26</v>
      </c>
    </row>
    <row r="8055" spans="1:2" ht="16.149999999999999" customHeight="1">
      <c r="A8055" s="877">
        <v>41615</v>
      </c>
      <c r="B8055" s="878">
        <v>1936.33</v>
      </c>
    </row>
    <row r="8056" spans="1:2" ht="16.149999999999999" customHeight="1">
      <c r="A8056" s="877">
        <v>41616</v>
      </c>
      <c r="B8056" s="880">
        <v>1936.33</v>
      </c>
    </row>
    <row r="8057" spans="1:2" ht="16.149999999999999" customHeight="1">
      <c r="A8057" s="877">
        <v>41617</v>
      </c>
      <c r="B8057" s="878">
        <v>1936.33</v>
      </c>
    </row>
    <row r="8058" spans="1:2" ht="16.149999999999999" customHeight="1">
      <c r="A8058" s="877">
        <v>41618</v>
      </c>
      <c r="B8058" s="880">
        <v>1932.71</v>
      </c>
    </row>
    <row r="8059" spans="1:2" ht="16.149999999999999" customHeight="1">
      <c r="A8059" s="877">
        <v>41619</v>
      </c>
      <c r="B8059" s="878">
        <v>1933.52</v>
      </c>
    </row>
    <row r="8060" spans="1:2" ht="16.149999999999999" customHeight="1">
      <c r="A8060" s="877">
        <v>41620</v>
      </c>
      <c r="B8060" s="880">
        <v>1935.61</v>
      </c>
    </row>
    <row r="8061" spans="1:2" ht="16.149999999999999" customHeight="1">
      <c r="A8061" s="877">
        <v>41621</v>
      </c>
      <c r="B8061" s="878">
        <v>1935.89</v>
      </c>
    </row>
    <row r="8062" spans="1:2" ht="16.149999999999999" customHeight="1">
      <c r="A8062" s="877">
        <v>41622</v>
      </c>
      <c r="B8062" s="880">
        <v>1930.87</v>
      </c>
    </row>
    <row r="8063" spans="1:2" ht="16.149999999999999" customHeight="1">
      <c r="A8063" s="877">
        <v>41623</v>
      </c>
      <c r="B8063" s="878">
        <v>1930.87</v>
      </c>
    </row>
    <row r="8064" spans="1:2" ht="16.149999999999999" customHeight="1">
      <c r="A8064" s="877">
        <v>41624</v>
      </c>
      <c r="B8064" s="880">
        <v>1930.87</v>
      </c>
    </row>
    <row r="8065" spans="1:2" ht="16.149999999999999" customHeight="1">
      <c r="A8065" s="877">
        <v>41625</v>
      </c>
      <c r="B8065" s="878">
        <v>1934.95</v>
      </c>
    </row>
    <row r="8066" spans="1:2" ht="16.149999999999999" customHeight="1">
      <c r="A8066" s="877">
        <v>41626</v>
      </c>
      <c r="B8066" s="880">
        <v>1936.14</v>
      </c>
    </row>
    <row r="8067" spans="1:2" ht="16.149999999999999" customHeight="1">
      <c r="A8067" s="877">
        <v>41627</v>
      </c>
      <c r="B8067" s="878">
        <v>1945.6</v>
      </c>
    </row>
    <row r="8068" spans="1:2" ht="16.149999999999999" customHeight="1">
      <c r="A8068" s="877">
        <v>41628</v>
      </c>
      <c r="B8068" s="880">
        <v>1943.46</v>
      </c>
    </row>
    <row r="8069" spans="1:2" ht="16.149999999999999" customHeight="1">
      <c r="A8069" s="877">
        <v>41629</v>
      </c>
      <c r="B8069" s="878">
        <v>1935.93</v>
      </c>
    </row>
    <row r="8070" spans="1:2" ht="16.149999999999999" customHeight="1">
      <c r="A8070" s="877">
        <v>41630</v>
      </c>
      <c r="B8070" s="880">
        <v>1935.93</v>
      </c>
    </row>
    <row r="8071" spans="1:2" ht="16.149999999999999" customHeight="1">
      <c r="A8071" s="877">
        <v>41631</v>
      </c>
      <c r="B8071" s="878">
        <v>1935.93</v>
      </c>
    </row>
    <row r="8072" spans="1:2" ht="16.149999999999999" customHeight="1">
      <c r="A8072" s="877">
        <v>41632</v>
      </c>
      <c r="B8072" s="880">
        <v>1925.45</v>
      </c>
    </row>
    <row r="8073" spans="1:2" ht="16.149999999999999" customHeight="1">
      <c r="A8073" s="877">
        <v>41633</v>
      </c>
      <c r="B8073" s="878">
        <v>1922.76</v>
      </c>
    </row>
    <row r="8074" spans="1:2" ht="16.149999999999999" customHeight="1">
      <c r="A8074" s="877">
        <v>41634</v>
      </c>
      <c r="B8074" s="880">
        <v>1922.76</v>
      </c>
    </row>
    <row r="8075" spans="1:2" ht="16.149999999999999" customHeight="1">
      <c r="A8075" s="877">
        <v>41635</v>
      </c>
      <c r="B8075" s="878">
        <v>1921.22</v>
      </c>
    </row>
    <row r="8076" spans="1:2" ht="16.149999999999999" customHeight="1">
      <c r="A8076" s="877">
        <v>41636</v>
      </c>
      <c r="B8076" s="880">
        <v>1922.56</v>
      </c>
    </row>
    <row r="8077" spans="1:2" ht="16.149999999999999" customHeight="1">
      <c r="A8077" s="877">
        <v>41637</v>
      </c>
      <c r="B8077" s="878">
        <v>1922.56</v>
      </c>
    </row>
    <row r="8078" spans="1:2" ht="16.149999999999999" customHeight="1">
      <c r="A8078" s="877">
        <v>41638</v>
      </c>
      <c r="B8078" s="880">
        <v>1922.56</v>
      </c>
    </row>
    <row r="8079" spans="1:2" ht="16.149999999999999" customHeight="1">
      <c r="A8079" s="877">
        <v>41639</v>
      </c>
      <c r="B8079" s="878">
        <v>1926.83</v>
      </c>
    </row>
    <row r="8080" spans="1:2" ht="16.149999999999999" customHeight="1">
      <c r="A8080" s="877">
        <v>41640</v>
      </c>
      <c r="B8080" s="880">
        <v>1926.83</v>
      </c>
    </row>
    <row r="8081" spans="1:2" ht="16.149999999999999" customHeight="1">
      <c r="A8081" s="877">
        <v>41641</v>
      </c>
      <c r="B8081" s="878">
        <v>1926.83</v>
      </c>
    </row>
    <row r="8082" spans="1:2" ht="16.149999999999999" customHeight="1">
      <c r="A8082" s="877">
        <v>41642</v>
      </c>
      <c r="B8082" s="880">
        <v>1938.89</v>
      </c>
    </row>
    <row r="8083" spans="1:2" ht="16.149999999999999" customHeight="1">
      <c r="A8083" s="877">
        <v>41643</v>
      </c>
      <c r="B8083" s="878">
        <v>1936.92</v>
      </c>
    </row>
    <row r="8084" spans="1:2" ht="16.149999999999999" customHeight="1">
      <c r="A8084" s="877">
        <v>41644</v>
      </c>
      <c r="B8084" s="880">
        <v>1936.92</v>
      </c>
    </row>
    <row r="8085" spans="1:2" ht="16.149999999999999" customHeight="1">
      <c r="A8085" s="877">
        <v>41645</v>
      </c>
      <c r="B8085" s="878">
        <v>1936.92</v>
      </c>
    </row>
    <row r="8086" spans="1:2" ht="16.149999999999999" customHeight="1">
      <c r="A8086" s="877">
        <v>41646</v>
      </c>
      <c r="B8086" s="880">
        <v>1936.92</v>
      </c>
    </row>
    <row r="8087" spans="1:2" ht="16.149999999999999" customHeight="1">
      <c r="A8087" s="877">
        <v>41647</v>
      </c>
      <c r="B8087" s="878">
        <v>1930.45</v>
      </c>
    </row>
    <row r="8088" spans="1:2" ht="16.149999999999999" customHeight="1">
      <c r="A8088" s="877">
        <v>41648</v>
      </c>
      <c r="B8088" s="880">
        <v>1933.24</v>
      </c>
    </row>
    <row r="8089" spans="1:2" ht="16.149999999999999" customHeight="1">
      <c r="A8089" s="877">
        <v>41649</v>
      </c>
      <c r="B8089" s="878">
        <v>1934.88</v>
      </c>
    </row>
    <row r="8090" spans="1:2" ht="16.149999999999999" customHeight="1">
      <c r="A8090" s="877">
        <v>41650</v>
      </c>
      <c r="B8090" s="880">
        <v>1926.55</v>
      </c>
    </row>
    <row r="8091" spans="1:2" ht="16.149999999999999" customHeight="1">
      <c r="A8091" s="877">
        <v>41651</v>
      </c>
      <c r="B8091" s="878">
        <v>1926.55</v>
      </c>
    </row>
    <row r="8092" spans="1:2" ht="16.149999999999999" customHeight="1">
      <c r="A8092" s="877">
        <v>41652</v>
      </c>
      <c r="B8092" s="880">
        <v>1926.55</v>
      </c>
    </row>
    <row r="8093" spans="1:2" ht="16.149999999999999" customHeight="1">
      <c r="A8093" s="877">
        <v>41653</v>
      </c>
      <c r="B8093" s="878">
        <v>1924.79</v>
      </c>
    </row>
    <row r="8094" spans="1:2" ht="16.149999999999999" customHeight="1">
      <c r="A8094" s="877">
        <v>41654</v>
      </c>
      <c r="B8094" s="880">
        <v>1932.59</v>
      </c>
    </row>
    <row r="8095" spans="1:2" ht="16.149999999999999" customHeight="1">
      <c r="A8095" s="877">
        <v>41655</v>
      </c>
      <c r="B8095" s="878">
        <v>1941.45</v>
      </c>
    </row>
    <row r="8096" spans="1:2" ht="16.149999999999999" customHeight="1">
      <c r="A8096" s="877">
        <v>41656</v>
      </c>
      <c r="B8096" s="880">
        <v>1947.15</v>
      </c>
    </row>
    <row r="8097" spans="1:2" ht="16.149999999999999" customHeight="1">
      <c r="A8097" s="877">
        <v>41657</v>
      </c>
      <c r="B8097" s="878">
        <v>1957.86</v>
      </c>
    </row>
    <row r="8098" spans="1:2" ht="16.149999999999999" customHeight="1">
      <c r="A8098" s="877">
        <v>41658</v>
      </c>
      <c r="B8098" s="880">
        <v>1957.86</v>
      </c>
    </row>
    <row r="8099" spans="1:2" ht="16.149999999999999" customHeight="1">
      <c r="A8099" s="877">
        <v>41659</v>
      </c>
      <c r="B8099" s="878">
        <v>1957.86</v>
      </c>
    </row>
    <row r="8100" spans="1:2" ht="16.149999999999999" customHeight="1">
      <c r="A8100" s="877">
        <v>41660</v>
      </c>
      <c r="B8100" s="880">
        <v>1957.86</v>
      </c>
    </row>
    <row r="8101" spans="1:2" ht="16.149999999999999" customHeight="1">
      <c r="A8101" s="877">
        <v>41661</v>
      </c>
      <c r="B8101" s="878">
        <v>1981.98</v>
      </c>
    </row>
    <row r="8102" spans="1:2" ht="16.149999999999999" customHeight="1">
      <c r="A8102" s="877">
        <v>41662</v>
      </c>
      <c r="B8102" s="880">
        <v>1983.48</v>
      </c>
    </row>
    <row r="8103" spans="1:2" ht="16.149999999999999" customHeight="1">
      <c r="A8103" s="877">
        <v>41663</v>
      </c>
      <c r="B8103" s="878">
        <v>1993.23</v>
      </c>
    </row>
    <row r="8104" spans="1:2" ht="16.149999999999999" customHeight="1">
      <c r="A8104" s="877">
        <v>41664</v>
      </c>
      <c r="B8104" s="880">
        <v>2000.48</v>
      </c>
    </row>
    <row r="8105" spans="1:2" ht="16.149999999999999" customHeight="1">
      <c r="A8105" s="877">
        <v>41665</v>
      </c>
      <c r="B8105" s="878">
        <v>2000.48</v>
      </c>
    </row>
    <row r="8106" spans="1:2" ht="16.149999999999999" customHeight="1">
      <c r="A8106" s="877">
        <v>41666</v>
      </c>
      <c r="B8106" s="880">
        <v>2000.48</v>
      </c>
    </row>
    <row r="8107" spans="1:2" ht="16.149999999999999" customHeight="1">
      <c r="A8107" s="877">
        <v>41667</v>
      </c>
      <c r="B8107" s="878">
        <v>1997.91</v>
      </c>
    </row>
    <row r="8108" spans="1:2" ht="16.149999999999999" customHeight="1">
      <c r="A8108" s="877">
        <v>41668</v>
      </c>
      <c r="B8108" s="880">
        <v>2000.56</v>
      </c>
    </row>
    <row r="8109" spans="1:2" ht="16.149999999999999" customHeight="1">
      <c r="A8109" s="877">
        <v>41669</v>
      </c>
      <c r="B8109" s="878">
        <v>2013.17</v>
      </c>
    </row>
    <row r="8110" spans="1:2" ht="16.149999999999999" customHeight="1">
      <c r="A8110" s="877">
        <v>41670</v>
      </c>
      <c r="B8110" s="880">
        <v>2008.26</v>
      </c>
    </row>
    <row r="8111" spans="1:2" ht="16.149999999999999" customHeight="1">
      <c r="A8111" s="877">
        <v>41671</v>
      </c>
      <c r="B8111" s="878">
        <v>2021.1</v>
      </c>
    </row>
    <row r="8112" spans="1:2" ht="16.149999999999999" customHeight="1">
      <c r="A8112" s="877">
        <v>41672</v>
      </c>
      <c r="B8112" s="880">
        <v>2021.1</v>
      </c>
    </row>
    <row r="8113" spans="1:2" ht="16.149999999999999" customHeight="1">
      <c r="A8113" s="877">
        <v>41673</v>
      </c>
      <c r="B8113" s="878">
        <v>2021.1</v>
      </c>
    </row>
    <row r="8114" spans="1:2" ht="16.149999999999999" customHeight="1">
      <c r="A8114" s="877">
        <v>41674</v>
      </c>
      <c r="B8114" s="880">
        <v>2039.85</v>
      </c>
    </row>
    <row r="8115" spans="1:2" ht="16.149999999999999" customHeight="1">
      <c r="A8115" s="877">
        <v>41675</v>
      </c>
      <c r="B8115" s="878">
        <v>2041.34</v>
      </c>
    </row>
    <row r="8116" spans="1:2" ht="16.149999999999999" customHeight="1">
      <c r="A8116" s="877">
        <v>41676</v>
      </c>
      <c r="B8116" s="880">
        <v>2048.75</v>
      </c>
    </row>
    <row r="8117" spans="1:2" ht="16.149999999999999" customHeight="1">
      <c r="A8117" s="877">
        <v>41677</v>
      </c>
      <c r="B8117" s="878">
        <v>2049.52</v>
      </c>
    </row>
    <row r="8118" spans="1:2" ht="16.149999999999999" customHeight="1">
      <c r="A8118" s="877">
        <v>41678</v>
      </c>
      <c r="B8118" s="880">
        <v>2046.06</v>
      </c>
    </row>
    <row r="8119" spans="1:2" ht="16.149999999999999" customHeight="1">
      <c r="A8119" s="877">
        <v>41679</v>
      </c>
      <c r="B8119" s="878">
        <v>2046.06</v>
      </c>
    </row>
    <row r="8120" spans="1:2" ht="16.149999999999999" customHeight="1">
      <c r="A8120" s="877">
        <v>41680</v>
      </c>
      <c r="B8120" s="880">
        <v>2046.06</v>
      </c>
    </row>
    <row r="8121" spans="1:2" ht="16.149999999999999" customHeight="1">
      <c r="A8121" s="877">
        <v>41681</v>
      </c>
      <c r="B8121" s="878">
        <v>2048.5500000000002</v>
      </c>
    </row>
    <row r="8122" spans="1:2" ht="16.149999999999999" customHeight="1">
      <c r="A8122" s="877">
        <v>41682</v>
      </c>
      <c r="B8122" s="880">
        <v>2041.61</v>
      </c>
    </row>
    <row r="8123" spans="1:2" ht="16.149999999999999" customHeight="1">
      <c r="A8123" s="877">
        <v>41683</v>
      </c>
      <c r="B8123" s="878">
        <v>2031.75</v>
      </c>
    </row>
    <row r="8124" spans="1:2" ht="16.149999999999999" customHeight="1">
      <c r="A8124" s="877">
        <v>41684</v>
      </c>
      <c r="B8124" s="880">
        <v>2032.99</v>
      </c>
    </row>
    <row r="8125" spans="1:2" ht="16.149999999999999" customHeight="1">
      <c r="A8125" s="877">
        <v>41685</v>
      </c>
      <c r="B8125" s="878">
        <v>2022.68</v>
      </c>
    </row>
    <row r="8126" spans="1:2" ht="16.149999999999999" customHeight="1">
      <c r="A8126" s="877">
        <v>41686</v>
      </c>
      <c r="B8126" s="880">
        <v>2022.68</v>
      </c>
    </row>
    <row r="8127" spans="1:2" ht="16.149999999999999" customHeight="1">
      <c r="A8127" s="877">
        <v>41687</v>
      </c>
      <c r="B8127" s="878">
        <v>2022.68</v>
      </c>
    </row>
    <row r="8128" spans="1:2" ht="16.149999999999999" customHeight="1">
      <c r="A8128" s="877">
        <v>41688</v>
      </c>
      <c r="B8128" s="880">
        <v>2022.68</v>
      </c>
    </row>
    <row r="8129" spans="1:2" ht="16.149999999999999" customHeight="1">
      <c r="A8129" s="877">
        <v>41689</v>
      </c>
      <c r="B8129" s="878">
        <v>2028.54</v>
      </c>
    </row>
    <row r="8130" spans="1:2" ht="16.149999999999999" customHeight="1">
      <c r="A8130" s="877">
        <v>41690</v>
      </c>
      <c r="B8130" s="880">
        <v>2042.22</v>
      </c>
    </row>
    <row r="8131" spans="1:2" ht="16.149999999999999" customHeight="1">
      <c r="A8131" s="877">
        <v>41691</v>
      </c>
      <c r="B8131" s="878">
        <v>2052.46</v>
      </c>
    </row>
    <row r="8132" spans="1:2" ht="16.149999999999999" customHeight="1">
      <c r="A8132" s="877">
        <v>41692</v>
      </c>
      <c r="B8132" s="880">
        <v>2043.96</v>
      </c>
    </row>
    <row r="8133" spans="1:2" ht="16.149999999999999" customHeight="1">
      <c r="A8133" s="877">
        <v>41693</v>
      </c>
      <c r="B8133" s="878">
        <v>2043.96</v>
      </c>
    </row>
    <row r="8134" spans="1:2" ht="16.149999999999999" customHeight="1">
      <c r="A8134" s="877">
        <v>41694</v>
      </c>
      <c r="B8134" s="880">
        <v>2043.96</v>
      </c>
    </row>
    <row r="8135" spans="1:2" ht="16.149999999999999" customHeight="1">
      <c r="A8135" s="877">
        <v>41695</v>
      </c>
      <c r="B8135" s="878">
        <v>2042.67</v>
      </c>
    </row>
    <row r="8136" spans="1:2" ht="16.149999999999999" customHeight="1">
      <c r="A8136" s="877">
        <v>41696</v>
      </c>
      <c r="B8136" s="880">
        <v>2045.45</v>
      </c>
    </row>
    <row r="8137" spans="1:2" ht="16.149999999999999" customHeight="1">
      <c r="A8137" s="877">
        <v>41697</v>
      </c>
      <c r="B8137" s="878">
        <v>2053.11</v>
      </c>
    </row>
    <row r="8138" spans="1:2" ht="16.149999999999999" customHeight="1">
      <c r="A8138" s="877">
        <v>41698</v>
      </c>
      <c r="B8138" s="880">
        <v>2054.9</v>
      </c>
    </row>
    <row r="8139" spans="1:2" ht="16.149999999999999" customHeight="1">
      <c r="A8139" s="877">
        <v>41699</v>
      </c>
      <c r="B8139" s="878">
        <v>2046.75</v>
      </c>
    </row>
    <row r="8140" spans="1:2" ht="16.149999999999999" customHeight="1">
      <c r="A8140" s="877">
        <v>41700</v>
      </c>
      <c r="B8140" s="880">
        <v>2046.75</v>
      </c>
    </row>
    <row r="8141" spans="1:2" ht="16.149999999999999" customHeight="1">
      <c r="A8141" s="877">
        <v>41701</v>
      </c>
      <c r="B8141" s="878">
        <v>2046.75</v>
      </c>
    </row>
    <row r="8142" spans="1:2" ht="16.149999999999999" customHeight="1">
      <c r="A8142" s="877">
        <v>41702</v>
      </c>
      <c r="B8142" s="880">
        <v>2052.5100000000002</v>
      </c>
    </row>
    <row r="8143" spans="1:2" ht="16.149999999999999" customHeight="1">
      <c r="A8143" s="877">
        <v>41703</v>
      </c>
      <c r="B8143" s="878">
        <v>2047.75</v>
      </c>
    </row>
    <row r="8144" spans="1:2" ht="16.149999999999999" customHeight="1">
      <c r="A8144" s="877">
        <v>41704</v>
      </c>
      <c r="B8144" s="880">
        <v>2045.14</v>
      </c>
    </row>
    <row r="8145" spans="1:2" ht="16.149999999999999" customHeight="1">
      <c r="A8145" s="877">
        <v>41705</v>
      </c>
      <c r="B8145" s="878">
        <v>2030.02</v>
      </c>
    </row>
    <row r="8146" spans="1:2" ht="16.149999999999999" customHeight="1">
      <c r="A8146" s="877">
        <v>41706</v>
      </c>
      <c r="B8146" s="880">
        <v>2036.2</v>
      </c>
    </row>
    <row r="8147" spans="1:2" ht="16.149999999999999" customHeight="1">
      <c r="A8147" s="877">
        <v>41707</v>
      </c>
      <c r="B8147" s="878">
        <v>2036.2</v>
      </c>
    </row>
    <row r="8148" spans="1:2" ht="16.149999999999999" customHeight="1">
      <c r="A8148" s="877">
        <v>41708</v>
      </c>
      <c r="B8148" s="880">
        <v>2036.2</v>
      </c>
    </row>
    <row r="8149" spans="1:2" ht="16.149999999999999" customHeight="1">
      <c r="A8149" s="877">
        <v>41709</v>
      </c>
      <c r="B8149" s="878">
        <v>2042.78</v>
      </c>
    </row>
    <row r="8150" spans="1:2" ht="16.149999999999999" customHeight="1">
      <c r="A8150" s="877">
        <v>41710</v>
      </c>
      <c r="B8150" s="880">
        <v>2043.59</v>
      </c>
    </row>
    <row r="8151" spans="1:2" ht="16.149999999999999" customHeight="1">
      <c r="A8151" s="877">
        <v>41711</v>
      </c>
      <c r="B8151" s="878">
        <v>2047.59</v>
      </c>
    </row>
    <row r="8152" spans="1:2" ht="16.149999999999999" customHeight="1">
      <c r="A8152" s="877">
        <v>41712</v>
      </c>
      <c r="B8152" s="880">
        <v>2044.48</v>
      </c>
    </row>
    <row r="8153" spans="1:2" ht="16.149999999999999" customHeight="1">
      <c r="A8153" s="877">
        <v>41713</v>
      </c>
      <c r="B8153" s="878">
        <v>2044.58</v>
      </c>
    </row>
    <row r="8154" spans="1:2" ht="16.149999999999999" customHeight="1">
      <c r="A8154" s="877">
        <v>41714</v>
      </c>
      <c r="B8154" s="880">
        <v>2044.58</v>
      </c>
    </row>
    <row r="8155" spans="1:2" ht="16.149999999999999" customHeight="1">
      <c r="A8155" s="877">
        <v>41715</v>
      </c>
      <c r="B8155" s="878">
        <v>2044.58</v>
      </c>
    </row>
    <row r="8156" spans="1:2" ht="16.149999999999999" customHeight="1">
      <c r="A8156" s="877">
        <v>41716</v>
      </c>
      <c r="B8156" s="880">
        <v>2035.16</v>
      </c>
    </row>
    <row r="8157" spans="1:2" ht="16.149999999999999" customHeight="1">
      <c r="A8157" s="877">
        <v>41717</v>
      </c>
      <c r="B8157" s="878">
        <v>2034.86</v>
      </c>
    </row>
    <row r="8158" spans="1:2" ht="16.149999999999999" customHeight="1">
      <c r="A8158" s="877">
        <v>41718</v>
      </c>
      <c r="B8158" s="880">
        <v>2017.38</v>
      </c>
    </row>
    <row r="8159" spans="1:2" ht="16.149999999999999" customHeight="1">
      <c r="A8159" s="877">
        <v>41719</v>
      </c>
      <c r="B8159" s="878">
        <v>1998.6</v>
      </c>
    </row>
    <row r="8160" spans="1:2" ht="16.149999999999999" customHeight="1">
      <c r="A8160" s="877">
        <v>41720</v>
      </c>
      <c r="B8160" s="880">
        <v>1993.85</v>
      </c>
    </row>
    <row r="8161" spans="1:2" ht="16.149999999999999" customHeight="1">
      <c r="A8161" s="877">
        <v>41721</v>
      </c>
      <c r="B8161" s="878">
        <v>1993.85</v>
      </c>
    </row>
    <row r="8162" spans="1:2" ht="16.149999999999999" customHeight="1">
      <c r="A8162" s="877">
        <v>41722</v>
      </c>
      <c r="B8162" s="880">
        <v>1993.85</v>
      </c>
    </row>
    <row r="8163" spans="1:2" ht="16.149999999999999" customHeight="1">
      <c r="A8163" s="877">
        <v>41723</v>
      </c>
      <c r="B8163" s="878">
        <v>1993.85</v>
      </c>
    </row>
    <row r="8164" spans="1:2" ht="16.149999999999999" customHeight="1">
      <c r="A8164" s="877">
        <v>41724</v>
      </c>
      <c r="B8164" s="880">
        <v>1978.63</v>
      </c>
    </row>
    <row r="8165" spans="1:2" ht="16.149999999999999" customHeight="1">
      <c r="A8165" s="877">
        <v>41725</v>
      </c>
      <c r="B8165" s="878">
        <v>1973.03</v>
      </c>
    </row>
    <row r="8166" spans="1:2" ht="16.149999999999999" customHeight="1">
      <c r="A8166" s="877">
        <v>41726</v>
      </c>
      <c r="B8166" s="880">
        <v>1965.64</v>
      </c>
    </row>
    <row r="8167" spans="1:2" ht="16.149999999999999" customHeight="1">
      <c r="A8167" s="877">
        <v>41727</v>
      </c>
      <c r="B8167" s="878">
        <v>1965.32</v>
      </c>
    </row>
    <row r="8168" spans="1:2" ht="16.149999999999999" customHeight="1">
      <c r="A8168" s="877">
        <v>41728</v>
      </c>
      <c r="B8168" s="880">
        <v>1965.32</v>
      </c>
    </row>
    <row r="8169" spans="1:2" ht="16.149999999999999" customHeight="1">
      <c r="A8169" s="877">
        <v>41729</v>
      </c>
      <c r="B8169" s="878">
        <v>1965.32</v>
      </c>
    </row>
    <row r="8170" spans="1:2" ht="16.149999999999999" customHeight="1">
      <c r="A8170" s="877">
        <v>41730</v>
      </c>
      <c r="B8170" s="880">
        <v>1969.45</v>
      </c>
    </row>
    <row r="8171" spans="1:2" ht="16.149999999999999" customHeight="1">
      <c r="A8171" s="877">
        <v>41731</v>
      </c>
      <c r="B8171" s="878">
        <v>1966.02</v>
      </c>
    </row>
    <row r="8172" spans="1:2" ht="16.149999999999999" customHeight="1">
      <c r="A8172" s="877">
        <v>41732</v>
      </c>
      <c r="B8172" s="880">
        <v>1963.51</v>
      </c>
    </row>
    <row r="8173" spans="1:2" ht="16.149999999999999" customHeight="1">
      <c r="A8173" s="877">
        <v>41733</v>
      </c>
      <c r="B8173" s="878">
        <v>1966.4</v>
      </c>
    </row>
    <row r="8174" spans="1:2" ht="16.149999999999999" customHeight="1">
      <c r="A8174" s="877">
        <v>41734</v>
      </c>
      <c r="B8174" s="880">
        <v>1951.85</v>
      </c>
    </row>
    <row r="8175" spans="1:2" ht="16.149999999999999" customHeight="1">
      <c r="A8175" s="877">
        <v>41735</v>
      </c>
      <c r="B8175" s="878">
        <v>1951.85</v>
      </c>
    </row>
    <row r="8176" spans="1:2" ht="16.149999999999999" customHeight="1">
      <c r="A8176" s="877">
        <v>41736</v>
      </c>
      <c r="B8176" s="880">
        <v>1951.85</v>
      </c>
    </row>
    <row r="8177" spans="1:2" ht="16.149999999999999" customHeight="1">
      <c r="A8177" s="877">
        <v>41737</v>
      </c>
      <c r="B8177" s="878">
        <v>1937.59</v>
      </c>
    </row>
    <row r="8178" spans="1:2" ht="16.149999999999999" customHeight="1">
      <c r="A8178" s="877">
        <v>41738</v>
      </c>
      <c r="B8178" s="880">
        <v>1923.95</v>
      </c>
    </row>
    <row r="8179" spans="1:2" ht="16.149999999999999" customHeight="1">
      <c r="A8179" s="877">
        <v>41739</v>
      </c>
      <c r="B8179" s="878">
        <v>1931.09</v>
      </c>
    </row>
    <row r="8180" spans="1:2" ht="16.149999999999999" customHeight="1">
      <c r="A8180" s="877">
        <v>41740</v>
      </c>
      <c r="B8180" s="880">
        <v>1920.93</v>
      </c>
    </row>
    <row r="8181" spans="1:2" ht="16.149999999999999" customHeight="1">
      <c r="A8181" s="877">
        <v>41741</v>
      </c>
      <c r="B8181" s="878">
        <v>1927.28</v>
      </c>
    </row>
    <row r="8182" spans="1:2" ht="16.149999999999999" customHeight="1">
      <c r="A8182" s="877">
        <v>41742</v>
      </c>
      <c r="B8182" s="880">
        <v>1927.28</v>
      </c>
    </row>
    <row r="8183" spans="1:2" ht="16.149999999999999" customHeight="1">
      <c r="A8183" s="877">
        <v>41743</v>
      </c>
      <c r="B8183" s="878">
        <v>1927.28</v>
      </c>
    </row>
    <row r="8184" spans="1:2" ht="16.149999999999999" customHeight="1">
      <c r="A8184" s="877">
        <v>41744</v>
      </c>
      <c r="B8184" s="880">
        <v>1926.47</v>
      </c>
    </row>
    <row r="8185" spans="1:2" ht="16.149999999999999" customHeight="1">
      <c r="A8185" s="877">
        <v>41745</v>
      </c>
      <c r="B8185" s="878">
        <v>1932.42</v>
      </c>
    </row>
    <row r="8186" spans="1:2" ht="16.149999999999999" customHeight="1">
      <c r="A8186" s="877">
        <v>41746</v>
      </c>
      <c r="B8186" s="880">
        <v>1930.62</v>
      </c>
    </row>
    <row r="8187" spans="1:2" ht="16.149999999999999" customHeight="1">
      <c r="A8187" s="877">
        <v>41747</v>
      </c>
      <c r="B8187" s="878">
        <v>1930.62</v>
      </c>
    </row>
    <row r="8188" spans="1:2" ht="16.149999999999999" customHeight="1">
      <c r="A8188" s="877">
        <v>41748</v>
      </c>
      <c r="B8188" s="880">
        <v>1930.62</v>
      </c>
    </row>
    <row r="8189" spans="1:2" ht="16.149999999999999" customHeight="1">
      <c r="A8189" s="877">
        <v>41749</v>
      </c>
      <c r="B8189" s="878">
        <v>1930.62</v>
      </c>
    </row>
    <row r="8190" spans="1:2" ht="16.149999999999999" customHeight="1">
      <c r="A8190" s="877">
        <v>41750</v>
      </c>
      <c r="B8190" s="880">
        <v>1930.62</v>
      </c>
    </row>
    <row r="8191" spans="1:2" ht="16.149999999999999" customHeight="1">
      <c r="A8191" s="877">
        <v>41751</v>
      </c>
      <c r="B8191" s="878">
        <v>1921.75</v>
      </c>
    </row>
    <row r="8192" spans="1:2" ht="16.149999999999999" customHeight="1">
      <c r="A8192" s="877">
        <v>41752</v>
      </c>
      <c r="B8192" s="880">
        <v>1929.66</v>
      </c>
    </row>
    <row r="8193" spans="1:2" ht="16.149999999999999" customHeight="1">
      <c r="A8193" s="877">
        <v>41753</v>
      </c>
      <c r="B8193" s="878">
        <v>1936.63</v>
      </c>
    </row>
    <row r="8194" spans="1:2" ht="16.149999999999999" customHeight="1">
      <c r="A8194" s="877">
        <v>41754</v>
      </c>
      <c r="B8194" s="880">
        <v>1936.07</v>
      </c>
    </row>
    <row r="8195" spans="1:2" ht="16.149999999999999" customHeight="1">
      <c r="A8195" s="877">
        <v>41755</v>
      </c>
      <c r="B8195" s="878">
        <v>1942.37</v>
      </c>
    </row>
    <row r="8196" spans="1:2" ht="16.149999999999999" customHeight="1">
      <c r="A8196" s="877">
        <v>41756</v>
      </c>
      <c r="B8196" s="880">
        <v>1942.37</v>
      </c>
    </row>
    <row r="8197" spans="1:2" ht="16.149999999999999" customHeight="1">
      <c r="A8197" s="877">
        <v>41757</v>
      </c>
      <c r="B8197" s="878">
        <v>1942.37</v>
      </c>
    </row>
    <row r="8198" spans="1:2" ht="16.149999999999999" customHeight="1">
      <c r="A8198" s="877">
        <v>41758</v>
      </c>
      <c r="B8198" s="880">
        <v>1936.13</v>
      </c>
    </row>
    <row r="8199" spans="1:2" ht="16.149999999999999" customHeight="1">
      <c r="A8199" s="877">
        <v>41759</v>
      </c>
      <c r="B8199" s="878">
        <v>1935.14</v>
      </c>
    </row>
    <row r="8200" spans="1:2" ht="16.149999999999999" customHeight="1">
      <c r="A8200" s="877">
        <v>41760</v>
      </c>
      <c r="B8200" s="880">
        <v>1933.46</v>
      </c>
    </row>
    <row r="8201" spans="1:2" ht="16.149999999999999" customHeight="1">
      <c r="A8201" s="877">
        <v>41761</v>
      </c>
      <c r="B8201" s="878">
        <v>1933.46</v>
      </c>
    </row>
    <row r="8202" spans="1:2" ht="16.149999999999999" customHeight="1">
      <c r="A8202" s="877">
        <v>41762</v>
      </c>
      <c r="B8202" s="880">
        <v>1926.3</v>
      </c>
    </row>
    <row r="8203" spans="1:2" ht="16.149999999999999" customHeight="1">
      <c r="A8203" s="877">
        <v>41763</v>
      </c>
      <c r="B8203" s="878">
        <v>1926.3</v>
      </c>
    </row>
    <row r="8204" spans="1:2" ht="16.149999999999999" customHeight="1">
      <c r="A8204" s="877">
        <v>41764</v>
      </c>
      <c r="B8204" s="880">
        <v>1926.3</v>
      </c>
    </row>
    <row r="8205" spans="1:2" ht="16.149999999999999" customHeight="1">
      <c r="A8205" s="877">
        <v>41765</v>
      </c>
      <c r="B8205" s="878">
        <v>1923.07</v>
      </c>
    </row>
    <row r="8206" spans="1:2" ht="16.149999999999999" customHeight="1">
      <c r="A8206" s="877">
        <v>41766</v>
      </c>
      <c r="B8206" s="880">
        <v>1918.2</v>
      </c>
    </row>
    <row r="8207" spans="1:2" ht="16.149999999999999" customHeight="1">
      <c r="A8207" s="877">
        <v>41767</v>
      </c>
      <c r="B8207" s="878">
        <v>1912.97</v>
      </c>
    </row>
    <row r="8208" spans="1:2" ht="16.149999999999999" customHeight="1">
      <c r="A8208" s="877">
        <v>41768</v>
      </c>
      <c r="B8208" s="880">
        <v>1902.15</v>
      </c>
    </row>
    <row r="8209" spans="1:2" ht="16.149999999999999" customHeight="1">
      <c r="A8209" s="877">
        <v>41769</v>
      </c>
      <c r="B8209" s="878">
        <v>1901.51</v>
      </c>
    </row>
    <row r="8210" spans="1:2" ht="16.149999999999999" customHeight="1">
      <c r="A8210" s="877">
        <v>41770</v>
      </c>
      <c r="B8210" s="880">
        <v>1901.51</v>
      </c>
    </row>
    <row r="8211" spans="1:2" ht="16.149999999999999" customHeight="1">
      <c r="A8211" s="877">
        <v>41771</v>
      </c>
      <c r="B8211" s="878">
        <v>1901.51</v>
      </c>
    </row>
    <row r="8212" spans="1:2" ht="16.149999999999999" customHeight="1">
      <c r="A8212" s="877">
        <v>41772</v>
      </c>
      <c r="B8212" s="880">
        <v>1904.85</v>
      </c>
    </row>
    <row r="8213" spans="1:2" ht="16.149999999999999" customHeight="1">
      <c r="A8213" s="877">
        <v>41773</v>
      </c>
      <c r="B8213" s="878">
        <v>1919.7</v>
      </c>
    </row>
    <row r="8214" spans="1:2" ht="16.149999999999999" customHeight="1">
      <c r="A8214" s="877">
        <v>41774</v>
      </c>
      <c r="B8214" s="880">
        <v>1925.31</v>
      </c>
    </row>
    <row r="8215" spans="1:2" ht="16.149999999999999" customHeight="1">
      <c r="A8215" s="877">
        <v>41775</v>
      </c>
      <c r="B8215" s="878">
        <v>1927.8</v>
      </c>
    </row>
    <row r="8216" spans="1:2" ht="16.149999999999999" customHeight="1">
      <c r="A8216" s="877">
        <v>41776</v>
      </c>
      <c r="B8216" s="880">
        <v>1925.41</v>
      </c>
    </row>
    <row r="8217" spans="1:2" ht="16.149999999999999" customHeight="1">
      <c r="A8217" s="877">
        <v>41777</v>
      </c>
      <c r="B8217" s="878">
        <v>1925.41</v>
      </c>
    </row>
    <row r="8218" spans="1:2" ht="16.149999999999999" customHeight="1">
      <c r="A8218" s="877">
        <v>41778</v>
      </c>
      <c r="B8218" s="880">
        <v>1925.41</v>
      </c>
    </row>
    <row r="8219" spans="1:2" ht="16.149999999999999" customHeight="1">
      <c r="A8219" s="877">
        <v>41779</v>
      </c>
      <c r="B8219" s="878">
        <v>1921.16</v>
      </c>
    </row>
    <row r="8220" spans="1:2" ht="16.149999999999999" customHeight="1">
      <c r="A8220" s="877">
        <v>41780</v>
      </c>
      <c r="B8220" s="880">
        <v>1920.41</v>
      </c>
    </row>
    <row r="8221" spans="1:2" ht="16.149999999999999" customHeight="1">
      <c r="A8221" s="877">
        <v>41781</v>
      </c>
      <c r="B8221" s="878">
        <v>1911.33</v>
      </c>
    </row>
    <row r="8222" spans="1:2" ht="16.149999999999999" customHeight="1">
      <c r="A8222" s="877">
        <v>41782</v>
      </c>
      <c r="B8222" s="880">
        <v>1905.8</v>
      </c>
    </row>
    <row r="8223" spans="1:2" ht="16.149999999999999" customHeight="1">
      <c r="A8223" s="877">
        <v>41783</v>
      </c>
      <c r="B8223" s="878">
        <v>1905.53</v>
      </c>
    </row>
    <row r="8224" spans="1:2" ht="16.149999999999999" customHeight="1">
      <c r="A8224" s="877">
        <v>41784</v>
      </c>
      <c r="B8224" s="880">
        <v>1905.53</v>
      </c>
    </row>
    <row r="8225" spans="1:2" ht="16.149999999999999" customHeight="1">
      <c r="A8225" s="877">
        <v>41785</v>
      </c>
      <c r="B8225" s="878">
        <v>1905.53</v>
      </c>
    </row>
    <row r="8226" spans="1:2" ht="16.149999999999999" customHeight="1">
      <c r="A8226" s="877">
        <v>41786</v>
      </c>
      <c r="B8226" s="880">
        <v>1905.53</v>
      </c>
    </row>
    <row r="8227" spans="1:2" ht="16.149999999999999" customHeight="1">
      <c r="A8227" s="877">
        <v>41787</v>
      </c>
      <c r="B8227" s="878">
        <v>1917.34</v>
      </c>
    </row>
    <row r="8228" spans="1:2" ht="16.149999999999999" customHeight="1">
      <c r="A8228" s="877">
        <v>41788</v>
      </c>
      <c r="B8228" s="880">
        <v>1910.8</v>
      </c>
    </row>
    <row r="8229" spans="1:2" ht="16.149999999999999" customHeight="1">
      <c r="A8229" s="877">
        <v>41789</v>
      </c>
      <c r="B8229" s="878">
        <v>1905.96</v>
      </c>
    </row>
    <row r="8230" spans="1:2" ht="16.149999999999999" customHeight="1">
      <c r="A8230" s="877">
        <v>41790</v>
      </c>
      <c r="B8230" s="880">
        <v>1900.64</v>
      </c>
    </row>
    <row r="8231" spans="1:2" ht="16.149999999999999" customHeight="1">
      <c r="A8231" s="877">
        <v>41791</v>
      </c>
      <c r="B8231" s="878">
        <v>1900.64</v>
      </c>
    </row>
    <row r="8232" spans="1:2" ht="16.149999999999999" customHeight="1">
      <c r="A8232" s="877">
        <v>41792</v>
      </c>
      <c r="B8232" s="880">
        <v>1900.64</v>
      </c>
    </row>
    <row r="8233" spans="1:2" ht="16.149999999999999" customHeight="1">
      <c r="A8233" s="877">
        <v>41793</v>
      </c>
      <c r="B8233" s="878">
        <v>1900.64</v>
      </c>
    </row>
    <row r="8234" spans="1:2" ht="16.149999999999999" customHeight="1">
      <c r="A8234" s="877">
        <v>41794</v>
      </c>
      <c r="B8234" s="880">
        <v>1899.74</v>
      </c>
    </row>
    <row r="8235" spans="1:2" ht="16.149999999999999" customHeight="1">
      <c r="A8235" s="877">
        <v>41795</v>
      </c>
      <c r="B8235" s="878">
        <v>1897.7</v>
      </c>
    </row>
    <row r="8236" spans="1:2" ht="16.149999999999999" customHeight="1">
      <c r="A8236" s="877">
        <v>41796</v>
      </c>
      <c r="B8236" s="880">
        <v>1892.08</v>
      </c>
    </row>
    <row r="8237" spans="1:2" ht="16.149999999999999" customHeight="1">
      <c r="A8237" s="877">
        <v>41797</v>
      </c>
      <c r="B8237" s="878">
        <v>1886.09</v>
      </c>
    </row>
    <row r="8238" spans="1:2" ht="16.149999999999999" customHeight="1">
      <c r="A8238" s="877">
        <v>41798</v>
      </c>
      <c r="B8238" s="880">
        <v>1886.09</v>
      </c>
    </row>
    <row r="8239" spans="1:2" ht="16.149999999999999" customHeight="1">
      <c r="A8239" s="877">
        <v>41799</v>
      </c>
      <c r="B8239" s="878">
        <v>1886.09</v>
      </c>
    </row>
    <row r="8240" spans="1:2" ht="16.149999999999999" customHeight="1">
      <c r="A8240" s="877">
        <v>41800</v>
      </c>
      <c r="B8240" s="880">
        <v>1883.76</v>
      </c>
    </row>
    <row r="8241" spans="1:2" ht="16.149999999999999" customHeight="1">
      <c r="A8241" s="877">
        <v>41801</v>
      </c>
      <c r="B8241" s="878">
        <v>1884.97</v>
      </c>
    </row>
    <row r="8242" spans="1:2" ht="16.149999999999999" customHeight="1">
      <c r="A8242" s="877">
        <v>41802</v>
      </c>
      <c r="B8242" s="880">
        <v>1884.63</v>
      </c>
    </row>
    <row r="8243" spans="1:2" ht="16.149999999999999" customHeight="1">
      <c r="A8243" s="877">
        <v>41803</v>
      </c>
      <c r="B8243" s="878">
        <v>1877.18</v>
      </c>
    </row>
    <row r="8244" spans="1:2" ht="16.149999999999999" customHeight="1">
      <c r="A8244" s="877">
        <v>41804</v>
      </c>
      <c r="B8244" s="880">
        <v>1877.37</v>
      </c>
    </row>
    <row r="8245" spans="1:2" ht="16.149999999999999" customHeight="1">
      <c r="A8245" s="877">
        <v>41805</v>
      </c>
      <c r="B8245" s="878">
        <v>1877.37</v>
      </c>
    </row>
    <row r="8246" spans="1:2" ht="16.149999999999999" customHeight="1">
      <c r="A8246" s="877">
        <v>41806</v>
      </c>
      <c r="B8246" s="880">
        <v>1877.37</v>
      </c>
    </row>
    <row r="8247" spans="1:2" ht="16.149999999999999" customHeight="1">
      <c r="A8247" s="877">
        <v>41807</v>
      </c>
      <c r="B8247" s="878">
        <v>1886.62</v>
      </c>
    </row>
    <row r="8248" spans="1:2" ht="16.149999999999999" customHeight="1">
      <c r="A8248" s="877">
        <v>41808</v>
      </c>
      <c r="B8248" s="880">
        <v>1899.9</v>
      </c>
    </row>
    <row r="8249" spans="1:2" ht="16.149999999999999" customHeight="1">
      <c r="A8249" s="877">
        <v>41809</v>
      </c>
      <c r="B8249" s="878">
        <v>1895.92</v>
      </c>
    </row>
    <row r="8250" spans="1:2" ht="16.149999999999999" customHeight="1">
      <c r="A8250" s="877">
        <v>41810</v>
      </c>
      <c r="B8250" s="880">
        <v>1881.34</v>
      </c>
    </row>
    <row r="8251" spans="1:2" ht="16.149999999999999" customHeight="1">
      <c r="A8251" s="877">
        <v>41811</v>
      </c>
      <c r="B8251" s="878">
        <v>1884.56</v>
      </c>
    </row>
    <row r="8252" spans="1:2" ht="16.149999999999999" customHeight="1">
      <c r="A8252" s="877">
        <v>41812</v>
      </c>
      <c r="B8252" s="880">
        <v>1884.56</v>
      </c>
    </row>
    <row r="8253" spans="1:2" ht="16.149999999999999" customHeight="1">
      <c r="A8253" s="877">
        <v>41813</v>
      </c>
      <c r="B8253" s="878">
        <v>1884.56</v>
      </c>
    </row>
    <row r="8254" spans="1:2" ht="16.149999999999999" customHeight="1">
      <c r="A8254" s="877">
        <v>41814</v>
      </c>
      <c r="B8254" s="880">
        <v>1884.56</v>
      </c>
    </row>
    <row r="8255" spans="1:2" ht="16.149999999999999" customHeight="1">
      <c r="A8255" s="877">
        <v>41815</v>
      </c>
      <c r="B8255" s="878">
        <v>1886.85</v>
      </c>
    </row>
    <row r="8256" spans="1:2" ht="16.149999999999999" customHeight="1">
      <c r="A8256" s="877">
        <v>41816</v>
      </c>
      <c r="B8256" s="880">
        <v>1880.37</v>
      </c>
    </row>
    <row r="8257" spans="1:2" ht="16.149999999999999" customHeight="1">
      <c r="A8257" s="877">
        <v>41817</v>
      </c>
      <c r="B8257" s="878">
        <v>1886.01</v>
      </c>
    </row>
    <row r="8258" spans="1:2" ht="16.149999999999999" customHeight="1">
      <c r="A8258" s="877">
        <v>41818</v>
      </c>
      <c r="B8258" s="880">
        <v>1881.19</v>
      </c>
    </row>
    <row r="8259" spans="1:2" ht="16.149999999999999" customHeight="1">
      <c r="A8259" s="877">
        <v>41819</v>
      </c>
      <c r="B8259" s="878">
        <v>1881.19</v>
      </c>
    </row>
    <row r="8260" spans="1:2" ht="16.149999999999999" customHeight="1">
      <c r="A8260" s="877">
        <v>41820</v>
      </c>
      <c r="B8260" s="880">
        <v>1881.19</v>
      </c>
    </row>
    <row r="8261" spans="1:2" ht="16.149999999999999" customHeight="1">
      <c r="A8261" s="877">
        <v>41821</v>
      </c>
      <c r="B8261" s="878">
        <v>1881.19</v>
      </c>
    </row>
    <row r="8262" spans="1:2" ht="16.149999999999999" customHeight="1">
      <c r="A8262" s="877">
        <v>41822</v>
      </c>
      <c r="B8262" s="880">
        <v>1865.42</v>
      </c>
    </row>
    <row r="8263" spans="1:2" ht="16.149999999999999" customHeight="1">
      <c r="A8263" s="877">
        <v>41823</v>
      </c>
      <c r="B8263" s="878">
        <v>1856.73</v>
      </c>
    </row>
    <row r="8264" spans="1:2" ht="16.149999999999999" customHeight="1">
      <c r="A8264" s="877">
        <v>41824</v>
      </c>
      <c r="B8264" s="880">
        <v>1848.91</v>
      </c>
    </row>
    <row r="8265" spans="1:2" ht="16.149999999999999" customHeight="1">
      <c r="A8265" s="877">
        <v>41825</v>
      </c>
      <c r="B8265" s="878">
        <v>1848.91</v>
      </c>
    </row>
    <row r="8266" spans="1:2" ht="16.149999999999999" customHeight="1">
      <c r="A8266" s="877">
        <v>41826</v>
      </c>
      <c r="B8266" s="880">
        <v>1848.91</v>
      </c>
    </row>
    <row r="8267" spans="1:2" ht="16.149999999999999" customHeight="1">
      <c r="A8267" s="877">
        <v>41827</v>
      </c>
      <c r="B8267" s="878">
        <v>1848.91</v>
      </c>
    </row>
    <row r="8268" spans="1:2" ht="16.149999999999999" customHeight="1">
      <c r="A8268" s="877">
        <v>41828</v>
      </c>
      <c r="B8268" s="880">
        <v>1849.28</v>
      </c>
    </row>
    <row r="8269" spans="1:2" ht="16.149999999999999" customHeight="1">
      <c r="A8269" s="877">
        <v>41829</v>
      </c>
      <c r="B8269" s="878">
        <v>1854.24</v>
      </c>
    </row>
    <row r="8270" spans="1:2" ht="16.149999999999999" customHeight="1">
      <c r="A8270" s="877">
        <v>41830</v>
      </c>
      <c r="B8270" s="880">
        <v>1859.94</v>
      </c>
    </row>
    <row r="8271" spans="1:2" ht="16.149999999999999" customHeight="1">
      <c r="A8271" s="877">
        <v>41831</v>
      </c>
      <c r="B8271" s="878">
        <v>1858.47</v>
      </c>
    </row>
    <row r="8272" spans="1:2" ht="16.149999999999999" customHeight="1">
      <c r="A8272" s="877">
        <v>41832</v>
      </c>
      <c r="B8272" s="880">
        <v>1852.57</v>
      </c>
    </row>
    <row r="8273" spans="1:2" ht="16.149999999999999" customHeight="1">
      <c r="A8273" s="877">
        <v>41833</v>
      </c>
      <c r="B8273" s="878">
        <v>1852.57</v>
      </c>
    </row>
    <row r="8274" spans="1:2" ht="16.149999999999999" customHeight="1">
      <c r="A8274" s="877">
        <v>41834</v>
      </c>
      <c r="B8274" s="880">
        <v>1852.57</v>
      </c>
    </row>
    <row r="8275" spans="1:2" ht="16.149999999999999" customHeight="1">
      <c r="A8275" s="877">
        <v>41835</v>
      </c>
      <c r="B8275" s="878">
        <v>1857.93</v>
      </c>
    </row>
    <row r="8276" spans="1:2" ht="16.149999999999999" customHeight="1">
      <c r="A8276" s="877">
        <v>41836</v>
      </c>
      <c r="B8276" s="880">
        <v>1867.88</v>
      </c>
    </row>
    <row r="8277" spans="1:2" ht="16.149999999999999" customHeight="1">
      <c r="A8277" s="877">
        <v>41837</v>
      </c>
      <c r="B8277" s="878">
        <v>1868.41</v>
      </c>
    </row>
    <row r="8278" spans="1:2" ht="16.149999999999999" customHeight="1">
      <c r="A8278" s="877">
        <v>41838</v>
      </c>
      <c r="B8278" s="880">
        <v>1872.27</v>
      </c>
    </row>
    <row r="8279" spans="1:2" ht="16.149999999999999" customHeight="1">
      <c r="A8279" s="877">
        <v>41839</v>
      </c>
      <c r="B8279" s="878">
        <v>1871.87</v>
      </c>
    </row>
    <row r="8280" spans="1:2" ht="16.149999999999999" customHeight="1">
      <c r="A8280" s="877">
        <v>41840</v>
      </c>
      <c r="B8280" s="880">
        <v>1871.87</v>
      </c>
    </row>
    <row r="8281" spans="1:2" ht="16.149999999999999" customHeight="1">
      <c r="A8281" s="877">
        <v>41841</v>
      </c>
      <c r="B8281" s="878">
        <v>1871.87</v>
      </c>
    </row>
    <row r="8282" spans="1:2" ht="16.149999999999999" customHeight="1">
      <c r="A8282" s="877">
        <v>41842</v>
      </c>
      <c r="B8282" s="880">
        <v>1861.28</v>
      </c>
    </row>
    <row r="8283" spans="1:2" ht="16.149999999999999" customHeight="1">
      <c r="A8283" s="877">
        <v>41843</v>
      </c>
      <c r="B8283" s="878">
        <v>1848.98</v>
      </c>
    </row>
    <row r="8284" spans="1:2" ht="16.149999999999999" customHeight="1">
      <c r="A8284" s="877">
        <v>41844</v>
      </c>
      <c r="B8284" s="880">
        <v>1847.85</v>
      </c>
    </row>
    <row r="8285" spans="1:2" ht="16.149999999999999" customHeight="1">
      <c r="A8285" s="877">
        <v>41845</v>
      </c>
      <c r="B8285" s="878">
        <v>1846.12</v>
      </c>
    </row>
    <row r="8286" spans="1:2" ht="16.149999999999999" customHeight="1">
      <c r="A8286" s="877">
        <v>41846</v>
      </c>
      <c r="B8286" s="880">
        <v>1848.56</v>
      </c>
    </row>
    <row r="8287" spans="1:2" ht="16.149999999999999" customHeight="1">
      <c r="A8287" s="877">
        <v>41847</v>
      </c>
      <c r="B8287" s="878">
        <v>1848.56</v>
      </c>
    </row>
    <row r="8288" spans="1:2" ht="16.149999999999999" customHeight="1">
      <c r="A8288" s="877">
        <v>41848</v>
      </c>
      <c r="B8288" s="880">
        <v>1848.56</v>
      </c>
    </row>
    <row r="8289" spans="1:2" ht="16.149999999999999" customHeight="1">
      <c r="A8289" s="877">
        <v>41849</v>
      </c>
      <c r="B8289" s="878">
        <v>1850.61</v>
      </c>
    </row>
    <row r="8290" spans="1:2" ht="16.149999999999999" customHeight="1">
      <c r="A8290" s="877">
        <v>41850</v>
      </c>
      <c r="B8290" s="880">
        <v>1853.3</v>
      </c>
    </row>
    <row r="8291" spans="1:2" ht="16.149999999999999" customHeight="1">
      <c r="A8291" s="877">
        <v>41851</v>
      </c>
      <c r="B8291" s="878">
        <v>1872.43</v>
      </c>
    </row>
    <row r="8292" spans="1:2" ht="16.149999999999999" customHeight="1">
      <c r="A8292" s="877">
        <v>41852</v>
      </c>
      <c r="B8292" s="880">
        <v>1878.75</v>
      </c>
    </row>
    <row r="8293" spans="1:2" ht="16.149999999999999" customHeight="1">
      <c r="A8293" s="877">
        <v>41853</v>
      </c>
      <c r="B8293" s="878">
        <v>1873.65</v>
      </c>
    </row>
    <row r="8294" spans="1:2" ht="16.149999999999999" customHeight="1">
      <c r="A8294" s="877">
        <v>41854</v>
      </c>
      <c r="B8294" s="880">
        <v>1873.65</v>
      </c>
    </row>
    <row r="8295" spans="1:2" ht="16.149999999999999" customHeight="1">
      <c r="A8295" s="877">
        <v>41855</v>
      </c>
      <c r="B8295" s="878">
        <v>1873.65</v>
      </c>
    </row>
    <row r="8296" spans="1:2" ht="16.149999999999999" customHeight="1">
      <c r="A8296" s="877">
        <v>41856</v>
      </c>
      <c r="B8296" s="880">
        <v>1878.68</v>
      </c>
    </row>
    <row r="8297" spans="1:2" ht="16.149999999999999" customHeight="1">
      <c r="A8297" s="877">
        <v>41857</v>
      </c>
      <c r="B8297" s="878">
        <v>1892.35</v>
      </c>
    </row>
    <row r="8298" spans="1:2" ht="16.149999999999999" customHeight="1">
      <c r="A8298" s="877">
        <v>41858</v>
      </c>
      <c r="B8298" s="880">
        <v>1888.51</v>
      </c>
    </row>
    <row r="8299" spans="1:2" ht="16.149999999999999" customHeight="1">
      <c r="A8299" s="877">
        <v>41859</v>
      </c>
      <c r="B8299" s="878">
        <v>1888.51</v>
      </c>
    </row>
    <row r="8300" spans="1:2" ht="16.149999999999999" customHeight="1">
      <c r="A8300" s="877">
        <v>41860</v>
      </c>
      <c r="B8300" s="880">
        <v>1891.59</v>
      </c>
    </row>
    <row r="8301" spans="1:2" ht="16.149999999999999" customHeight="1">
      <c r="A8301" s="877">
        <v>41861</v>
      </c>
      <c r="B8301" s="878">
        <v>1891.59</v>
      </c>
    </row>
    <row r="8302" spans="1:2" ht="16.149999999999999" customHeight="1">
      <c r="A8302" s="877">
        <v>41862</v>
      </c>
      <c r="B8302" s="880">
        <v>1891.59</v>
      </c>
    </row>
    <row r="8303" spans="1:2" ht="16.149999999999999" customHeight="1">
      <c r="A8303" s="877">
        <v>41863</v>
      </c>
      <c r="B8303" s="878">
        <v>1881.62</v>
      </c>
    </row>
    <row r="8304" spans="1:2" ht="16.149999999999999" customHeight="1">
      <c r="A8304" s="877">
        <v>41864</v>
      </c>
      <c r="B8304" s="880">
        <v>1877.4</v>
      </c>
    </row>
    <row r="8305" spans="1:2" ht="16.149999999999999" customHeight="1">
      <c r="A8305" s="877">
        <v>41865</v>
      </c>
      <c r="B8305" s="878">
        <v>1883.33</v>
      </c>
    </row>
    <row r="8306" spans="1:2" ht="16.149999999999999" customHeight="1">
      <c r="A8306" s="877">
        <v>41866</v>
      </c>
      <c r="B8306" s="880">
        <v>1877.77</v>
      </c>
    </row>
    <row r="8307" spans="1:2" ht="16.149999999999999" customHeight="1">
      <c r="A8307" s="877">
        <v>41867</v>
      </c>
      <c r="B8307" s="878">
        <v>1884.81</v>
      </c>
    </row>
    <row r="8308" spans="1:2" ht="16.149999999999999" customHeight="1">
      <c r="A8308" s="877">
        <v>41868</v>
      </c>
      <c r="B8308" s="880">
        <v>1884.81</v>
      </c>
    </row>
    <row r="8309" spans="1:2" ht="16.149999999999999" customHeight="1">
      <c r="A8309" s="877">
        <v>41869</v>
      </c>
      <c r="B8309" s="878">
        <v>1884.81</v>
      </c>
    </row>
    <row r="8310" spans="1:2" ht="16.149999999999999" customHeight="1">
      <c r="A8310" s="877">
        <v>41870</v>
      </c>
      <c r="B8310" s="880">
        <v>1884.81</v>
      </c>
    </row>
    <row r="8311" spans="1:2" ht="16.149999999999999" customHeight="1">
      <c r="A8311" s="877">
        <v>41871</v>
      </c>
      <c r="B8311" s="878">
        <v>1894.27</v>
      </c>
    </row>
    <row r="8312" spans="1:2" ht="16.149999999999999" customHeight="1">
      <c r="A8312" s="877">
        <v>41872</v>
      </c>
      <c r="B8312" s="880">
        <v>1912.43</v>
      </c>
    </row>
    <row r="8313" spans="1:2" ht="16.149999999999999" customHeight="1">
      <c r="A8313" s="877">
        <v>41873</v>
      </c>
      <c r="B8313" s="878">
        <v>1919.84</v>
      </c>
    </row>
    <row r="8314" spans="1:2" ht="16.149999999999999" customHeight="1">
      <c r="A8314" s="877">
        <v>41874</v>
      </c>
      <c r="B8314" s="880">
        <v>1924.4</v>
      </c>
    </row>
    <row r="8315" spans="1:2" ht="16.149999999999999" customHeight="1">
      <c r="A8315" s="877">
        <v>41875</v>
      </c>
      <c r="B8315" s="878">
        <v>1924.4</v>
      </c>
    </row>
    <row r="8316" spans="1:2" ht="16.149999999999999" customHeight="1">
      <c r="A8316" s="877">
        <v>41876</v>
      </c>
      <c r="B8316" s="880">
        <v>1924.4</v>
      </c>
    </row>
    <row r="8317" spans="1:2" ht="16.149999999999999" customHeight="1">
      <c r="A8317" s="877">
        <v>41877</v>
      </c>
      <c r="B8317" s="878">
        <v>1932.39</v>
      </c>
    </row>
    <row r="8318" spans="1:2" ht="16.149999999999999" customHeight="1">
      <c r="A8318" s="877">
        <v>41878</v>
      </c>
      <c r="B8318" s="880">
        <v>1928.67</v>
      </c>
    </row>
    <row r="8319" spans="1:2" ht="16.149999999999999" customHeight="1">
      <c r="A8319" s="877">
        <v>41879</v>
      </c>
      <c r="B8319" s="878">
        <v>1926.92</v>
      </c>
    </row>
    <row r="8320" spans="1:2" ht="16.149999999999999" customHeight="1">
      <c r="A8320" s="877">
        <v>41880</v>
      </c>
      <c r="B8320" s="880">
        <v>1935.04</v>
      </c>
    </row>
    <row r="8321" spans="1:2" ht="16.149999999999999" customHeight="1">
      <c r="A8321" s="877">
        <v>41881</v>
      </c>
      <c r="B8321" s="878">
        <v>1918.62</v>
      </c>
    </row>
    <row r="8322" spans="1:2" ht="16.149999999999999" customHeight="1">
      <c r="A8322" s="877">
        <v>41882</v>
      </c>
      <c r="B8322" s="880">
        <v>1918.62</v>
      </c>
    </row>
    <row r="8323" spans="1:2" ht="16.149999999999999" customHeight="1">
      <c r="A8323" s="877">
        <v>41883</v>
      </c>
      <c r="B8323" s="878">
        <v>1918.62</v>
      </c>
    </row>
    <row r="8324" spans="1:2" ht="16.149999999999999" customHeight="1">
      <c r="A8324" s="877">
        <v>41884</v>
      </c>
      <c r="B8324" s="880">
        <v>1918.62</v>
      </c>
    </row>
    <row r="8325" spans="1:2" ht="16.149999999999999" customHeight="1">
      <c r="A8325" s="877">
        <v>41885</v>
      </c>
      <c r="B8325" s="878">
        <v>1931.49</v>
      </c>
    </row>
    <row r="8326" spans="1:2" ht="16.149999999999999" customHeight="1">
      <c r="A8326" s="877">
        <v>41886</v>
      </c>
      <c r="B8326" s="880">
        <v>1924.67</v>
      </c>
    </row>
    <row r="8327" spans="1:2" ht="16.149999999999999" customHeight="1">
      <c r="A8327" s="877">
        <v>41887</v>
      </c>
      <c r="B8327" s="878">
        <v>1931.45</v>
      </c>
    </row>
    <row r="8328" spans="1:2" ht="16.149999999999999" customHeight="1">
      <c r="A8328" s="877">
        <v>41888</v>
      </c>
      <c r="B8328" s="880">
        <v>1935.25</v>
      </c>
    </row>
    <row r="8329" spans="1:2" ht="16.149999999999999" customHeight="1">
      <c r="A8329" s="877">
        <v>41889</v>
      </c>
      <c r="B8329" s="878">
        <v>1935.25</v>
      </c>
    </row>
    <row r="8330" spans="1:2" ht="16.149999999999999" customHeight="1">
      <c r="A8330" s="877">
        <v>41890</v>
      </c>
      <c r="B8330" s="880">
        <v>1935.25</v>
      </c>
    </row>
    <row r="8331" spans="1:2" ht="16.149999999999999" customHeight="1">
      <c r="A8331" s="877">
        <v>41891</v>
      </c>
      <c r="B8331" s="878">
        <v>1942.03</v>
      </c>
    </row>
    <row r="8332" spans="1:2" ht="16.149999999999999" customHeight="1">
      <c r="A8332" s="877">
        <v>41892</v>
      </c>
      <c r="B8332" s="880">
        <v>1962.84</v>
      </c>
    </row>
    <row r="8333" spans="1:2" ht="16.149999999999999" customHeight="1">
      <c r="A8333" s="877">
        <v>41893</v>
      </c>
      <c r="B8333" s="878">
        <v>1975.82</v>
      </c>
    </row>
    <row r="8334" spans="1:2" ht="16.149999999999999" customHeight="1">
      <c r="A8334" s="877">
        <v>41894</v>
      </c>
      <c r="B8334" s="880">
        <v>1979.97</v>
      </c>
    </row>
    <row r="8335" spans="1:2" ht="16.149999999999999" customHeight="1">
      <c r="A8335" s="877">
        <v>41895</v>
      </c>
      <c r="B8335" s="878">
        <v>1994.97</v>
      </c>
    </row>
    <row r="8336" spans="1:2" ht="16.149999999999999" customHeight="1">
      <c r="A8336" s="877">
        <v>41896</v>
      </c>
      <c r="B8336" s="880">
        <v>1994.97</v>
      </c>
    </row>
    <row r="8337" spans="1:2" ht="16.149999999999999" customHeight="1">
      <c r="A8337" s="877">
        <v>41897</v>
      </c>
      <c r="B8337" s="878">
        <v>1994.97</v>
      </c>
    </row>
    <row r="8338" spans="1:2" ht="16.149999999999999" customHeight="1">
      <c r="A8338" s="877">
        <v>41898</v>
      </c>
      <c r="B8338" s="880">
        <v>1987.71</v>
      </c>
    </row>
    <row r="8339" spans="1:2" ht="16.149999999999999" customHeight="1">
      <c r="A8339" s="877">
        <v>41899</v>
      </c>
      <c r="B8339" s="878">
        <v>1978.08</v>
      </c>
    </row>
    <row r="8340" spans="1:2" ht="16.149999999999999" customHeight="1">
      <c r="A8340" s="877">
        <v>41900</v>
      </c>
      <c r="B8340" s="880">
        <v>1975.47</v>
      </c>
    </row>
    <row r="8341" spans="1:2" ht="16.149999999999999" customHeight="1">
      <c r="A8341" s="877">
        <v>41901</v>
      </c>
      <c r="B8341" s="878">
        <v>1975.42</v>
      </c>
    </row>
    <row r="8342" spans="1:2" ht="16.149999999999999" customHeight="1">
      <c r="A8342" s="877">
        <v>41902</v>
      </c>
      <c r="B8342" s="880">
        <v>1966.89</v>
      </c>
    </row>
    <row r="8343" spans="1:2" ht="16.149999999999999" customHeight="1">
      <c r="A8343" s="877">
        <v>41903</v>
      </c>
      <c r="B8343" s="878">
        <v>1966.89</v>
      </c>
    </row>
    <row r="8344" spans="1:2" ht="16.149999999999999" customHeight="1">
      <c r="A8344" s="877">
        <v>41904</v>
      </c>
      <c r="B8344" s="880">
        <v>1966.89</v>
      </c>
    </row>
    <row r="8345" spans="1:2" ht="16.149999999999999" customHeight="1">
      <c r="A8345" s="877">
        <v>41905</v>
      </c>
      <c r="B8345" s="878">
        <v>1992.68</v>
      </c>
    </row>
    <row r="8346" spans="1:2" ht="16.149999999999999" customHeight="1">
      <c r="A8346" s="877">
        <v>41906</v>
      </c>
      <c r="B8346" s="880">
        <v>1997.91</v>
      </c>
    </row>
    <row r="8347" spans="1:2" ht="16.149999999999999" customHeight="1">
      <c r="A8347" s="877">
        <v>41907</v>
      </c>
      <c r="B8347" s="878">
        <v>2007.48</v>
      </c>
    </row>
    <row r="8348" spans="1:2" ht="16.149999999999999" customHeight="1">
      <c r="A8348" s="877">
        <v>41908</v>
      </c>
      <c r="B8348" s="880">
        <v>2019.76</v>
      </c>
    </row>
    <row r="8349" spans="1:2" ht="16.149999999999999" customHeight="1">
      <c r="A8349" s="877">
        <v>41909</v>
      </c>
      <c r="B8349" s="878">
        <v>2023.89</v>
      </c>
    </row>
    <row r="8350" spans="1:2" ht="16.149999999999999" customHeight="1">
      <c r="A8350" s="877">
        <v>41910</v>
      </c>
      <c r="B8350" s="880">
        <v>2023.89</v>
      </c>
    </row>
    <row r="8351" spans="1:2" ht="16.149999999999999" customHeight="1">
      <c r="A8351" s="877">
        <v>41911</v>
      </c>
      <c r="B8351" s="878">
        <v>2023.89</v>
      </c>
    </row>
    <row r="8352" spans="1:2" ht="16.149999999999999" customHeight="1">
      <c r="A8352" s="877">
        <v>41912</v>
      </c>
      <c r="B8352" s="880">
        <v>2028.48</v>
      </c>
    </row>
    <row r="8353" spans="1:2" ht="16.149999999999999" customHeight="1">
      <c r="A8353" s="877">
        <v>41913</v>
      </c>
      <c r="B8353" s="878">
        <v>2022</v>
      </c>
    </row>
    <row r="8354" spans="1:2" ht="16.149999999999999" customHeight="1">
      <c r="A8354" s="877">
        <v>41914</v>
      </c>
      <c r="B8354" s="880">
        <v>2025.75</v>
      </c>
    </row>
    <row r="8355" spans="1:2" ht="16.149999999999999" customHeight="1">
      <c r="A8355" s="877">
        <v>41915</v>
      </c>
      <c r="B8355" s="878">
        <v>2021.49</v>
      </c>
    </row>
    <row r="8356" spans="1:2" ht="16.149999999999999" customHeight="1">
      <c r="A8356" s="877">
        <v>41916</v>
      </c>
      <c r="B8356" s="880">
        <v>2026.2</v>
      </c>
    </row>
    <row r="8357" spans="1:2" ht="16.149999999999999" customHeight="1">
      <c r="A8357" s="877">
        <v>41917</v>
      </c>
      <c r="B8357" s="878">
        <v>2026.2</v>
      </c>
    </row>
    <row r="8358" spans="1:2" ht="16.149999999999999" customHeight="1">
      <c r="A8358" s="877">
        <v>41918</v>
      </c>
      <c r="B8358" s="880">
        <v>2026.2</v>
      </c>
    </row>
    <row r="8359" spans="1:2" ht="16.149999999999999" customHeight="1">
      <c r="A8359" s="877">
        <v>41919</v>
      </c>
      <c r="B8359" s="878">
        <v>2028.03</v>
      </c>
    </row>
    <row r="8360" spans="1:2" ht="16.149999999999999" customHeight="1">
      <c r="A8360" s="877">
        <v>41920</v>
      </c>
      <c r="B8360" s="880">
        <v>2026.9</v>
      </c>
    </row>
    <row r="8361" spans="1:2" ht="16.149999999999999" customHeight="1">
      <c r="A8361" s="877">
        <v>41921</v>
      </c>
      <c r="B8361" s="878">
        <v>2040.31</v>
      </c>
    </row>
    <row r="8362" spans="1:2" ht="16.149999999999999" customHeight="1">
      <c r="A8362" s="877">
        <v>41922</v>
      </c>
      <c r="B8362" s="880">
        <v>2041.71</v>
      </c>
    </row>
    <row r="8363" spans="1:2" ht="16.149999999999999" customHeight="1">
      <c r="A8363" s="877">
        <v>41923</v>
      </c>
      <c r="B8363" s="878">
        <v>2052.96</v>
      </c>
    </row>
    <row r="8364" spans="1:2" ht="16.149999999999999" customHeight="1">
      <c r="A8364" s="877">
        <v>41924</v>
      </c>
      <c r="B8364" s="880">
        <v>2052.96</v>
      </c>
    </row>
    <row r="8365" spans="1:2" ht="16.149999999999999" customHeight="1">
      <c r="A8365" s="877">
        <v>41925</v>
      </c>
      <c r="B8365" s="878">
        <v>2052.96</v>
      </c>
    </row>
    <row r="8366" spans="1:2" ht="16.149999999999999" customHeight="1">
      <c r="A8366" s="877">
        <v>41926</v>
      </c>
      <c r="B8366" s="880">
        <v>2052.96</v>
      </c>
    </row>
    <row r="8367" spans="1:2" ht="16.149999999999999" customHeight="1">
      <c r="A8367" s="877">
        <v>41927</v>
      </c>
      <c r="B8367" s="878">
        <v>2049.66</v>
      </c>
    </row>
    <row r="8368" spans="1:2" ht="16.149999999999999" customHeight="1">
      <c r="A8368" s="877">
        <v>41928</v>
      </c>
      <c r="B8368" s="880">
        <v>2057.6999999999998</v>
      </c>
    </row>
    <row r="8369" spans="1:2" ht="16.149999999999999" customHeight="1">
      <c r="A8369" s="877">
        <v>41929</v>
      </c>
      <c r="B8369" s="878">
        <v>2074.4</v>
      </c>
    </row>
    <row r="8370" spans="1:2" ht="16.149999999999999" customHeight="1">
      <c r="A8370" s="877">
        <v>41930</v>
      </c>
      <c r="B8370" s="880">
        <v>2064.4299999999998</v>
      </c>
    </row>
    <row r="8371" spans="1:2" ht="16.149999999999999" customHeight="1">
      <c r="A8371" s="877">
        <v>41931</v>
      </c>
      <c r="B8371" s="878">
        <v>2064.4299999999998</v>
      </c>
    </row>
    <row r="8372" spans="1:2" ht="16.149999999999999" customHeight="1">
      <c r="A8372" s="877">
        <v>41932</v>
      </c>
      <c r="B8372" s="880">
        <v>2064.4299999999998</v>
      </c>
    </row>
    <row r="8373" spans="1:2" ht="16.149999999999999" customHeight="1">
      <c r="A8373" s="877">
        <v>41933</v>
      </c>
      <c r="B8373" s="878">
        <v>2065.8200000000002</v>
      </c>
    </row>
    <row r="8374" spans="1:2" ht="16.149999999999999" customHeight="1">
      <c r="A8374" s="877">
        <v>41934</v>
      </c>
      <c r="B8374" s="880">
        <v>2048.44</v>
      </c>
    </row>
    <row r="8375" spans="1:2" ht="16.149999999999999" customHeight="1">
      <c r="A8375" s="877">
        <v>41935</v>
      </c>
      <c r="B8375" s="878">
        <v>2049.9</v>
      </c>
    </row>
    <row r="8376" spans="1:2" ht="16.149999999999999" customHeight="1">
      <c r="A8376" s="877">
        <v>41936</v>
      </c>
      <c r="B8376" s="880">
        <v>2053.39</v>
      </c>
    </row>
    <row r="8377" spans="1:2" ht="16.149999999999999" customHeight="1">
      <c r="A8377" s="877">
        <v>41937</v>
      </c>
      <c r="B8377" s="878">
        <v>2065.38</v>
      </c>
    </row>
    <row r="8378" spans="1:2" ht="16.149999999999999" customHeight="1">
      <c r="A8378" s="877">
        <v>41938</v>
      </c>
      <c r="B8378" s="880">
        <v>2065.38</v>
      </c>
    </row>
    <row r="8379" spans="1:2" ht="16.149999999999999" customHeight="1">
      <c r="A8379" s="877">
        <v>41939</v>
      </c>
      <c r="B8379" s="878">
        <v>2065.38</v>
      </c>
    </row>
    <row r="8380" spans="1:2" ht="16.149999999999999" customHeight="1">
      <c r="A8380" s="877">
        <v>41940</v>
      </c>
      <c r="B8380" s="880">
        <v>2069.7199999999998</v>
      </c>
    </row>
    <row r="8381" spans="1:2" ht="16.149999999999999" customHeight="1">
      <c r="A8381" s="877">
        <v>41941</v>
      </c>
      <c r="B8381" s="878">
        <v>2055.4299999999998</v>
      </c>
    </row>
    <row r="8382" spans="1:2" ht="16.149999999999999" customHeight="1">
      <c r="A8382" s="877">
        <v>41942</v>
      </c>
      <c r="B8382" s="880">
        <v>2044.55</v>
      </c>
    </row>
    <row r="8383" spans="1:2" ht="16.149999999999999" customHeight="1">
      <c r="A8383" s="877">
        <v>41943</v>
      </c>
      <c r="B8383" s="878">
        <v>2050.52</v>
      </c>
    </row>
    <row r="8384" spans="1:2" ht="16.149999999999999" customHeight="1">
      <c r="A8384" s="877">
        <v>41944</v>
      </c>
      <c r="B8384" s="880">
        <v>2061.92</v>
      </c>
    </row>
    <row r="8385" spans="1:2" ht="16.149999999999999" customHeight="1">
      <c r="A8385" s="877">
        <v>41945</v>
      </c>
      <c r="B8385" s="878">
        <v>2061.92</v>
      </c>
    </row>
    <row r="8386" spans="1:2" ht="16.149999999999999" customHeight="1">
      <c r="A8386" s="877">
        <v>41946</v>
      </c>
      <c r="B8386" s="880">
        <v>2061.92</v>
      </c>
    </row>
    <row r="8387" spans="1:2" ht="16.149999999999999" customHeight="1">
      <c r="A8387" s="877">
        <v>41947</v>
      </c>
      <c r="B8387" s="878">
        <v>2061.92</v>
      </c>
    </row>
    <row r="8388" spans="1:2" ht="16.149999999999999" customHeight="1">
      <c r="A8388" s="877">
        <v>41948</v>
      </c>
      <c r="B8388" s="880">
        <v>2076.9899999999998</v>
      </c>
    </row>
    <row r="8389" spans="1:2" ht="16.149999999999999" customHeight="1">
      <c r="A8389" s="877">
        <v>41949</v>
      </c>
      <c r="B8389" s="878">
        <v>2081.2399999999998</v>
      </c>
    </row>
    <row r="8390" spans="1:2" ht="16.149999999999999" customHeight="1">
      <c r="A8390" s="877">
        <v>41950</v>
      </c>
      <c r="B8390" s="880">
        <v>2086.86</v>
      </c>
    </row>
    <row r="8391" spans="1:2" ht="16.149999999999999" customHeight="1">
      <c r="A8391" s="877">
        <v>41951</v>
      </c>
      <c r="B8391" s="878">
        <v>2103.25</v>
      </c>
    </row>
    <row r="8392" spans="1:2" ht="16.149999999999999" customHeight="1">
      <c r="A8392" s="877">
        <v>41952</v>
      </c>
      <c r="B8392" s="880">
        <v>2103.25</v>
      </c>
    </row>
    <row r="8393" spans="1:2" ht="16.149999999999999" customHeight="1">
      <c r="A8393" s="877">
        <v>41953</v>
      </c>
      <c r="B8393" s="878">
        <v>2103.25</v>
      </c>
    </row>
    <row r="8394" spans="1:2" ht="16.149999999999999" customHeight="1">
      <c r="A8394" s="877">
        <v>41954</v>
      </c>
      <c r="B8394" s="880">
        <v>2103.12</v>
      </c>
    </row>
    <row r="8395" spans="1:2" ht="16.149999999999999" customHeight="1">
      <c r="A8395" s="877">
        <v>41955</v>
      </c>
      <c r="B8395" s="878">
        <v>2103.12</v>
      </c>
    </row>
    <row r="8396" spans="1:2" ht="16.149999999999999" customHeight="1">
      <c r="A8396" s="877">
        <v>41956</v>
      </c>
      <c r="B8396" s="880">
        <v>2115.59</v>
      </c>
    </row>
    <row r="8397" spans="1:2" ht="16.149999999999999" customHeight="1">
      <c r="A8397" s="877">
        <v>41957</v>
      </c>
      <c r="B8397" s="878">
        <v>2133.0300000000002</v>
      </c>
    </row>
    <row r="8398" spans="1:2" ht="16.149999999999999" customHeight="1">
      <c r="A8398" s="877">
        <v>41958</v>
      </c>
      <c r="B8398" s="880">
        <v>2160.4699999999998</v>
      </c>
    </row>
    <row r="8399" spans="1:2" ht="16.149999999999999" customHeight="1">
      <c r="A8399" s="877">
        <v>41959</v>
      </c>
      <c r="B8399" s="878">
        <v>2160.4699999999998</v>
      </c>
    </row>
    <row r="8400" spans="1:2" ht="16.149999999999999" customHeight="1">
      <c r="A8400" s="877">
        <v>41960</v>
      </c>
      <c r="B8400" s="880">
        <v>2160.4699999999998</v>
      </c>
    </row>
    <row r="8401" spans="1:2" ht="16.149999999999999" customHeight="1">
      <c r="A8401" s="877">
        <v>41961</v>
      </c>
      <c r="B8401" s="878">
        <v>2160.4699999999998</v>
      </c>
    </row>
    <row r="8402" spans="1:2" ht="16.149999999999999" customHeight="1">
      <c r="A8402" s="877">
        <v>41962</v>
      </c>
      <c r="B8402" s="880">
        <v>2158.58</v>
      </c>
    </row>
    <row r="8403" spans="1:2" ht="16.149999999999999" customHeight="1">
      <c r="A8403" s="877">
        <v>41963</v>
      </c>
      <c r="B8403" s="878">
        <v>2156.73</v>
      </c>
    </row>
    <row r="8404" spans="1:2" ht="16.149999999999999" customHeight="1">
      <c r="A8404" s="877">
        <v>41964</v>
      </c>
      <c r="B8404" s="880">
        <v>2156.9299999999998</v>
      </c>
    </row>
    <row r="8405" spans="1:2" ht="16.149999999999999" customHeight="1">
      <c r="A8405" s="877">
        <v>41965</v>
      </c>
      <c r="B8405" s="878">
        <v>2142.02</v>
      </c>
    </row>
    <row r="8406" spans="1:2" ht="16.149999999999999" customHeight="1">
      <c r="A8406" s="877">
        <v>41966</v>
      </c>
      <c r="B8406" s="880">
        <v>2142.02</v>
      </c>
    </row>
    <row r="8407" spans="1:2" ht="16.149999999999999" customHeight="1">
      <c r="A8407" s="877">
        <v>41967</v>
      </c>
      <c r="B8407" s="878">
        <v>2142.02</v>
      </c>
    </row>
    <row r="8408" spans="1:2" ht="16.149999999999999" customHeight="1">
      <c r="A8408" s="877">
        <v>41968</v>
      </c>
      <c r="B8408" s="880">
        <v>2158.12</v>
      </c>
    </row>
    <row r="8409" spans="1:2" ht="16.149999999999999" customHeight="1">
      <c r="A8409" s="877">
        <v>41969</v>
      </c>
      <c r="B8409" s="878">
        <v>2162.15</v>
      </c>
    </row>
    <row r="8410" spans="1:2" ht="16.149999999999999" customHeight="1">
      <c r="A8410" s="877">
        <v>41970</v>
      </c>
      <c r="B8410" s="880">
        <v>2165.15</v>
      </c>
    </row>
    <row r="8411" spans="1:2" ht="16.149999999999999" customHeight="1">
      <c r="A8411" s="877">
        <v>41971</v>
      </c>
      <c r="B8411" s="878">
        <v>2165.15</v>
      </c>
    </row>
    <row r="8412" spans="1:2" ht="16.149999999999999" customHeight="1">
      <c r="A8412" s="877">
        <v>41972</v>
      </c>
      <c r="B8412" s="880">
        <v>2206.19</v>
      </c>
    </row>
    <row r="8413" spans="1:2" ht="16.149999999999999" customHeight="1">
      <c r="A8413" s="877">
        <v>41973</v>
      </c>
      <c r="B8413" s="878">
        <v>2206.19</v>
      </c>
    </row>
    <row r="8414" spans="1:2" ht="16.149999999999999" customHeight="1">
      <c r="A8414" s="877">
        <v>41974</v>
      </c>
      <c r="B8414" s="880">
        <v>2206.19</v>
      </c>
    </row>
    <row r="8415" spans="1:2" ht="16.149999999999999" customHeight="1">
      <c r="A8415" s="877">
        <v>41975</v>
      </c>
      <c r="B8415" s="878">
        <v>2252.36</v>
      </c>
    </row>
    <row r="8416" spans="1:2" ht="16.149999999999999" customHeight="1">
      <c r="A8416" s="877">
        <v>41976</v>
      </c>
      <c r="B8416" s="880">
        <v>2293.4699999999998</v>
      </c>
    </row>
    <row r="8417" spans="1:2" ht="16.149999999999999" customHeight="1">
      <c r="A8417" s="877">
        <v>41977</v>
      </c>
      <c r="B8417" s="878">
        <v>2286.0300000000002</v>
      </c>
    </row>
    <row r="8418" spans="1:2" ht="16.149999999999999" customHeight="1">
      <c r="A8418" s="877">
        <v>41978</v>
      </c>
      <c r="B8418" s="880">
        <v>2284.2399999999998</v>
      </c>
    </row>
    <row r="8419" spans="1:2" ht="16.149999999999999" customHeight="1">
      <c r="A8419" s="877">
        <v>41979</v>
      </c>
      <c r="B8419" s="878">
        <v>2304.12</v>
      </c>
    </row>
    <row r="8420" spans="1:2" ht="16.149999999999999" customHeight="1">
      <c r="A8420" s="877">
        <v>41980</v>
      </c>
      <c r="B8420" s="880">
        <v>2304.12</v>
      </c>
    </row>
    <row r="8421" spans="1:2" ht="16.149999999999999" customHeight="1">
      <c r="A8421" s="877">
        <v>41981</v>
      </c>
      <c r="B8421" s="878">
        <v>2304.12</v>
      </c>
    </row>
    <row r="8422" spans="1:2" ht="16.149999999999999" customHeight="1">
      <c r="A8422" s="877">
        <v>41982</v>
      </c>
      <c r="B8422" s="880">
        <v>2304.12</v>
      </c>
    </row>
    <row r="8423" spans="1:2" ht="16.149999999999999" customHeight="1">
      <c r="A8423" s="877">
        <v>41983</v>
      </c>
      <c r="B8423" s="878">
        <v>2350.0100000000002</v>
      </c>
    </row>
    <row r="8424" spans="1:2" ht="16.149999999999999" customHeight="1">
      <c r="A8424" s="877">
        <v>41984</v>
      </c>
      <c r="B8424" s="880">
        <v>2381.96</v>
      </c>
    </row>
    <row r="8425" spans="1:2" ht="16.149999999999999" customHeight="1">
      <c r="A8425" s="877">
        <v>41985</v>
      </c>
      <c r="B8425" s="878">
        <v>2423.56</v>
      </c>
    </row>
    <row r="8426" spans="1:2" ht="16.149999999999999" customHeight="1">
      <c r="A8426" s="877">
        <v>41986</v>
      </c>
      <c r="B8426" s="880">
        <v>2405.31</v>
      </c>
    </row>
    <row r="8427" spans="1:2" ht="16.149999999999999" customHeight="1">
      <c r="A8427" s="877">
        <v>41987</v>
      </c>
      <c r="B8427" s="878">
        <v>2405.31</v>
      </c>
    </row>
    <row r="8428" spans="1:2" ht="16.149999999999999" customHeight="1">
      <c r="A8428" s="877">
        <v>41988</v>
      </c>
      <c r="B8428" s="880">
        <v>2405.31</v>
      </c>
    </row>
    <row r="8429" spans="1:2" ht="16.149999999999999" customHeight="1">
      <c r="A8429" s="877">
        <v>41989</v>
      </c>
      <c r="B8429" s="878">
        <v>2414.39</v>
      </c>
    </row>
    <row r="8430" spans="1:2" ht="16.149999999999999" customHeight="1">
      <c r="A8430" s="877">
        <v>41990</v>
      </c>
      <c r="B8430" s="880">
        <v>2446.35</v>
      </c>
    </row>
    <row r="8431" spans="1:2" ht="16.149999999999999" customHeight="1">
      <c r="A8431" s="877">
        <v>41991</v>
      </c>
      <c r="B8431" s="878">
        <v>2412.79</v>
      </c>
    </row>
    <row r="8432" spans="1:2" ht="16.149999999999999" customHeight="1">
      <c r="A8432" s="877">
        <v>41992</v>
      </c>
      <c r="B8432" s="880">
        <v>2334.98</v>
      </c>
    </row>
    <row r="8433" spans="1:2" ht="16.149999999999999" customHeight="1">
      <c r="A8433" s="877">
        <v>41993</v>
      </c>
      <c r="B8433" s="878">
        <v>2297.14</v>
      </c>
    </row>
    <row r="8434" spans="1:2" ht="16.149999999999999" customHeight="1">
      <c r="A8434" s="877">
        <v>41994</v>
      </c>
      <c r="B8434" s="880">
        <v>2297.14</v>
      </c>
    </row>
    <row r="8435" spans="1:2" ht="16.149999999999999" customHeight="1">
      <c r="A8435" s="877">
        <v>41995</v>
      </c>
      <c r="B8435" s="878">
        <v>2297.14</v>
      </c>
    </row>
    <row r="8436" spans="1:2" ht="16.149999999999999" customHeight="1">
      <c r="A8436" s="877">
        <v>41996</v>
      </c>
      <c r="B8436" s="880">
        <v>2316.9299999999998</v>
      </c>
    </row>
    <row r="8437" spans="1:2" ht="16.149999999999999" customHeight="1">
      <c r="A8437" s="877">
        <v>41997</v>
      </c>
      <c r="B8437" s="878">
        <v>2342.5700000000002</v>
      </c>
    </row>
    <row r="8438" spans="1:2" ht="16.149999999999999" customHeight="1">
      <c r="A8438" s="877">
        <v>41998</v>
      </c>
      <c r="B8438" s="880">
        <v>2346.9</v>
      </c>
    </row>
    <row r="8439" spans="1:2" ht="16.149999999999999" customHeight="1">
      <c r="A8439" s="877">
        <v>41999</v>
      </c>
      <c r="B8439" s="878">
        <v>2346.9</v>
      </c>
    </row>
    <row r="8440" spans="1:2" ht="16.149999999999999" customHeight="1">
      <c r="A8440" s="877">
        <v>42000</v>
      </c>
      <c r="B8440" s="880">
        <v>2358.46</v>
      </c>
    </row>
    <row r="8441" spans="1:2" ht="16.149999999999999" customHeight="1">
      <c r="A8441" s="877">
        <v>42001</v>
      </c>
      <c r="B8441" s="878">
        <v>2358.46</v>
      </c>
    </row>
    <row r="8442" spans="1:2" ht="16.149999999999999" customHeight="1">
      <c r="A8442" s="877">
        <v>42002</v>
      </c>
      <c r="B8442" s="880">
        <v>2358.46</v>
      </c>
    </row>
    <row r="8443" spans="1:2" ht="16.149999999999999" customHeight="1">
      <c r="A8443" s="877">
        <v>42003</v>
      </c>
      <c r="B8443" s="878">
        <v>2378.56</v>
      </c>
    </row>
    <row r="8444" spans="1:2" ht="16.149999999999999" customHeight="1">
      <c r="A8444" s="877">
        <v>42004</v>
      </c>
      <c r="B8444" s="880">
        <v>2392.46</v>
      </c>
    </row>
    <row r="8445" spans="1:2" ht="16.149999999999999" customHeight="1">
      <c r="A8445" s="877">
        <v>42005</v>
      </c>
      <c r="B8445" s="878">
        <v>2392.46</v>
      </c>
    </row>
    <row r="8446" spans="1:2" ht="16.149999999999999" customHeight="1">
      <c r="A8446" s="877">
        <v>42006</v>
      </c>
      <c r="B8446" s="880">
        <v>2392.46</v>
      </c>
    </row>
    <row r="8447" spans="1:2" ht="16.149999999999999" customHeight="1">
      <c r="A8447" s="877">
        <v>42007</v>
      </c>
      <c r="B8447" s="878">
        <v>2383.37</v>
      </c>
    </row>
    <row r="8448" spans="1:2" ht="16.149999999999999" customHeight="1">
      <c r="A8448" s="877">
        <v>42008</v>
      </c>
      <c r="B8448" s="880">
        <v>2383.37</v>
      </c>
    </row>
    <row r="8449" spans="1:2" ht="16.149999999999999" customHeight="1">
      <c r="A8449" s="877">
        <v>42009</v>
      </c>
      <c r="B8449" s="878">
        <v>2383.37</v>
      </c>
    </row>
    <row r="8450" spans="1:2" ht="16.149999999999999" customHeight="1">
      <c r="A8450" s="877">
        <v>42010</v>
      </c>
      <c r="B8450" s="880">
        <v>2412.8200000000002</v>
      </c>
    </row>
    <row r="8451" spans="1:2" ht="16.149999999999999" customHeight="1">
      <c r="A8451" s="877">
        <v>42011</v>
      </c>
      <c r="B8451" s="878">
        <v>2452.11</v>
      </c>
    </row>
    <row r="8452" spans="1:2" ht="16.149999999999999" customHeight="1">
      <c r="A8452" s="877">
        <v>42012</v>
      </c>
      <c r="B8452" s="880">
        <v>2434.31</v>
      </c>
    </row>
    <row r="8453" spans="1:2" ht="16.149999999999999" customHeight="1">
      <c r="A8453" s="877">
        <v>42013</v>
      </c>
      <c r="B8453" s="878">
        <v>2405.0300000000002</v>
      </c>
    </row>
    <row r="8454" spans="1:2" ht="16.149999999999999" customHeight="1">
      <c r="A8454" s="877">
        <v>42014</v>
      </c>
      <c r="B8454" s="880">
        <v>2406.71</v>
      </c>
    </row>
    <row r="8455" spans="1:2" ht="16.149999999999999" customHeight="1">
      <c r="A8455" s="877">
        <v>42015</v>
      </c>
      <c r="B8455" s="878">
        <v>2406.71</v>
      </c>
    </row>
    <row r="8456" spans="1:2" ht="16.149999999999999" customHeight="1">
      <c r="A8456" s="877">
        <v>42016</v>
      </c>
      <c r="B8456" s="880">
        <v>2406.71</v>
      </c>
    </row>
    <row r="8457" spans="1:2" ht="16.149999999999999" customHeight="1">
      <c r="A8457" s="877">
        <v>42017</v>
      </c>
      <c r="B8457" s="878">
        <v>2406.71</v>
      </c>
    </row>
    <row r="8458" spans="1:2" ht="16.149999999999999" customHeight="1">
      <c r="A8458" s="877">
        <v>42018</v>
      </c>
      <c r="B8458" s="880">
        <v>2442.0300000000002</v>
      </c>
    </row>
    <row r="8459" spans="1:2" ht="16.149999999999999" customHeight="1">
      <c r="A8459" s="877">
        <v>42019</v>
      </c>
      <c r="B8459" s="878">
        <v>2438.79</v>
      </c>
    </row>
    <row r="8460" spans="1:2" ht="16.149999999999999" customHeight="1">
      <c r="A8460" s="877">
        <v>42020</v>
      </c>
      <c r="B8460" s="880">
        <v>2398.91</v>
      </c>
    </row>
    <row r="8461" spans="1:2" ht="16.149999999999999" customHeight="1">
      <c r="A8461" s="877">
        <v>42021</v>
      </c>
      <c r="B8461" s="878">
        <v>2383.91</v>
      </c>
    </row>
    <row r="8462" spans="1:2" ht="16.149999999999999" customHeight="1">
      <c r="A8462" s="877">
        <v>42022</v>
      </c>
      <c r="B8462" s="880">
        <v>2383.91</v>
      </c>
    </row>
    <row r="8463" spans="1:2" ht="16.149999999999999" customHeight="1">
      <c r="A8463" s="877">
        <v>42023</v>
      </c>
      <c r="B8463" s="878">
        <v>2383.91</v>
      </c>
    </row>
    <row r="8464" spans="1:2" ht="16.149999999999999" customHeight="1">
      <c r="A8464" s="877">
        <v>42024</v>
      </c>
      <c r="B8464" s="880">
        <v>2383.91</v>
      </c>
    </row>
    <row r="8465" spans="1:2" ht="16.149999999999999" customHeight="1">
      <c r="A8465" s="877">
        <v>42025</v>
      </c>
      <c r="B8465" s="878">
        <v>2373.44</v>
      </c>
    </row>
    <row r="8466" spans="1:2" ht="16.149999999999999" customHeight="1">
      <c r="A8466" s="877">
        <v>42026</v>
      </c>
      <c r="B8466" s="880">
        <v>2361.54</v>
      </c>
    </row>
    <row r="8467" spans="1:2" ht="16.149999999999999" customHeight="1">
      <c r="A8467" s="877">
        <v>42027</v>
      </c>
      <c r="B8467" s="878">
        <v>2370.75</v>
      </c>
    </row>
    <row r="8468" spans="1:2" ht="16.149999999999999" customHeight="1">
      <c r="A8468" s="877">
        <v>42028</v>
      </c>
      <c r="B8468" s="880">
        <v>2386.5</v>
      </c>
    </row>
    <row r="8469" spans="1:2" ht="16.149999999999999" customHeight="1">
      <c r="A8469" s="877">
        <v>42029</v>
      </c>
      <c r="B8469" s="878">
        <v>2386.5</v>
      </c>
    </row>
    <row r="8470" spans="1:2" ht="16.149999999999999" customHeight="1">
      <c r="A8470" s="877">
        <v>42030</v>
      </c>
      <c r="B8470" s="880">
        <v>2386.5</v>
      </c>
    </row>
    <row r="8471" spans="1:2" ht="16.149999999999999" customHeight="1">
      <c r="A8471" s="877">
        <v>42031</v>
      </c>
      <c r="B8471" s="878">
        <v>2386.2800000000002</v>
      </c>
    </row>
    <row r="8472" spans="1:2" ht="16.149999999999999" customHeight="1">
      <c r="A8472" s="877">
        <v>42032</v>
      </c>
      <c r="B8472" s="880">
        <v>2381.11</v>
      </c>
    </row>
    <row r="8473" spans="1:2" ht="16.149999999999999" customHeight="1">
      <c r="A8473" s="877">
        <v>42033</v>
      </c>
      <c r="B8473" s="878">
        <v>2362.42</v>
      </c>
    </row>
    <row r="8474" spans="1:2" ht="16.149999999999999" customHeight="1">
      <c r="A8474" s="877">
        <v>42034</v>
      </c>
      <c r="B8474" s="880">
        <v>2397.35</v>
      </c>
    </row>
    <row r="8475" spans="1:2" ht="16.149999999999999" customHeight="1">
      <c r="A8475" s="877">
        <v>42035</v>
      </c>
      <c r="B8475" s="878">
        <v>2441.1</v>
      </c>
    </row>
    <row r="8476" spans="1:2" ht="16.149999999999999" customHeight="1">
      <c r="A8476" s="877">
        <v>42036</v>
      </c>
      <c r="B8476" s="880">
        <v>2441.1</v>
      </c>
    </row>
    <row r="8477" spans="1:2" ht="16.149999999999999" customHeight="1">
      <c r="A8477" s="877">
        <v>42037</v>
      </c>
      <c r="B8477" s="878">
        <v>2441.1</v>
      </c>
    </row>
    <row r="8478" spans="1:2" ht="16.149999999999999" customHeight="1">
      <c r="A8478" s="877">
        <v>42038</v>
      </c>
      <c r="B8478" s="880">
        <v>2407.29</v>
      </c>
    </row>
    <row r="8479" spans="1:2" ht="16.149999999999999" customHeight="1">
      <c r="A8479" s="877">
        <v>42039</v>
      </c>
      <c r="B8479" s="878">
        <v>2374.7199999999998</v>
      </c>
    </row>
    <row r="8480" spans="1:2" ht="16.149999999999999" customHeight="1">
      <c r="A8480" s="877">
        <v>42040</v>
      </c>
      <c r="B8480" s="880">
        <v>2381.91</v>
      </c>
    </row>
    <row r="8481" spans="1:2" ht="16.149999999999999" customHeight="1">
      <c r="A8481" s="877">
        <v>42041</v>
      </c>
      <c r="B8481" s="878">
        <v>2384.5300000000002</v>
      </c>
    </row>
    <row r="8482" spans="1:2" ht="16.149999999999999" customHeight="1">
      <c r="A8482" s="877">
        <v>42042</v>
      </c>
      <c r="B8482" s="880">
        <v>2384.7600000000002</v>
      </c>
    </row>
    <row r="8483" spans="1:2" ht="16.149999999999999" customHeight="1">
      <c r="A8483" s="877">
        <v>42043</v>
      </c>
      <c r="B8483" s="878">
        <v>2384.7600000000002</v>
      </c>
    </row>
    <row r="8484" spans="1:2" ht="16.149999999999999" customHeight="1">
      <c r="A8484" s="877">
        <v>42044</v>
      </c>
      <c r="B8484" s="880">
        <v>2384.7600000000002</v>
      </c>
    </row>
    <row r="8485" spans="1:2" ht="16.149999999999999" customHeight="1">
      <c r="A8485" s="877">
        <v>42045</v>
      </c>
      <c r="B8485" s="878">
        <v>2371.31</v>
      </c>
    </row>
    <row r="8486" spans="1:2" ht="16.149999999999999" customHeight="1">
      <c r="A8486" s="877">
        <v>42046</v>
      </c>
      <c r="B8486" s="880">
        <v>2380.79</v>
      </c>
    </row>
    <row r="8487" spans="1:2" ht="16.149999999999999" customHeight="1">
      <c r="A8487" s="877">
        <v>42047</v>
      </c>
      <c r="B8487" s="878">
        <v>2416.61</v>
      </c>
    </row>
    <row r="8488" spans="1:2" ht="16.149999999999999" customHeight="1">
      <c r="A8488" s="877">
        <v>42048</v>
      </c>
      <c r="B8488" s="880">
        <v>2401.0300000000002</v>
      </c>
    </row>
    <row r="8489" spans="1:2" ht="16.149999999999999" customHeight="1">
      <c r="A8489" s="877">
        <v>42049</v>
      </c>
      <c r="B8489" s="878">
        <v>2376.23</v>
      </c>
    </row>
    <row r="8490" spans="1:2" ht="16.149999999999999" customHeight="1">
      <c r="A8490" s="877">
        <v>42050</v>
      </c>
      <c r="B8490" s="880">
        <v>2376.23</v>
      </c>
    </row>
    <row r="8491" spans="1:2" ht="16.149999999999999" customHeight="1">
      <c r="A8491" s="877">
        <v>42051</v>
      </c>
      <c r="B8491" s="878">
        <v>2376.23</v>
      </c>
    </row>
    <row r="8492" spans="1:2" ht="16.149999999999999" customHeight="1">
      <c r="A8492" s="877">
        <v>42052</v>
      </c>
      <c r="B8492" s="880">
        <v>2376.23</v>
      </c>
    </row>
    <row r="8493" spans="1:2" ht="16.149999999999999" customHeight="1">
      <c r="A8493" s="877">
        <v>42053</v>
      </c>
      <c r="B8493" s="878">
        <v>2416.37</v>
      </c>
    </row>
    <row r="8494" spans="1:2" ht="16.149999999999999" customHeight="1">
      <c r="A8494" s="877">
        <v>42054</v>
      </c>
      <c r="B8494" s="880">
        <v>2429.71</v>
      </c>
    </row>
    <row r="8495" spans="1:2" ht="16.149999999999999" customHeight="1">
      <c r="A8495" s="877">
        <v>42055</v>
      </c>
      <c r="B8495" s="878">
        <v>2445.16</v>
      </c>
    </row>
    <row r="8496" spans="1:2" ht="16.149999999999999" customHeight="1">
      <c r="A8496" s="877">
        <v>42056</v>
      </c>
      <c r="B8496" s="880">
        <v>2455.54</v>
      </c>
    </row>
    <row r="8497" spans="1:2" ht="16.149999999999999" customHeight="1">
      <c r="A8497" s="877">
        <v>42057</v>
      </c>
      <c r="B8497" s="878">
        <v>2455.54</v>
      </c>
    </row>
    <row r="8498" spans="1:2" ht="16.149999999999999" customHeight="1">
      <c r="A8498" s="877">
        <v>42058</v>
      </c>
      <c r="B8498" s="880">
        <v>2455.54</v>
      </c>
    </row>
    <row r="8499" spans="1:2" ht="16.149999999999999" customHeight="1">
      <c r="A8499" s="877">
        <v>42059</v>
      </c>
      <c r="B8499" s="878">
        <v>2489.81</v>
      </c>
    </row>
    <row r="8500" spans="1:2" ht="16.149999999999999" customHeight="1">
      <c r="A8500" s="877">
        <v>42060</v>
      </c>
      <c r="B8500" s="880">
        <v>2500.59</v>
      </c>
    </row>
    <row r="8501" spans="1:2" ht="16.149999999999999" customHeight="1">
      <c r="A8501" s="877">
        <v>42061</v>
      </c>
      <c r="B8501" s="878">
        <v>2489.41</v>
      </c>
    </row>
    <row r="8502" spans="1:2" ht="16.149999999999999" customHeight="1">
      <c r="A8502" s="877">
        <v>42062</v>
      </c>
      <c r="B8502" s="880">
        <v>2484.58</v>
      </c>
    </row>
    <row r="8503" spans="1:2" ht="16.149999999999999" customHeight="1">
      <c r="A8503" s="877">
        <v>42063</v>
      </c>
      <c r="B8503" s="878">
        <v>2496.9899999999998</v>
      </c>
    </row>
    <row r="8504" spans="1:2" ht="16.149999999999999" customHeight="1">
      <c r="A8504" s="877">
        <v>42064</v>
      </c>
      <c r="B8504" s="880">
        <v>2496.9899999999998</v>
      </c>
    </row>
    <row r="8505" spans="1:2" ht="16.149999999999999" customHeight="1">
      <c r="A8505" s="877">
        <v>42065</v>
      </c>
      <c r="B8505" s="878">
        <v>2496.9899999999998</v>
      </c>
    </row>
    <row r="8506" spans="1:2" ht="16.149999999999999" customHeight="1">
      <c r="A8506" s="877">
        <v>42066</v>
      </c>
      <c r="B8506" s="880">
        <v>2522.0300000000002</v>
      </c>
    </row>
    <row r="8507" spans="1:2" ht="16.149999999999999" customHeight="1">
      <c r="A8507" s="877">
        <v>42067</v>
      </c>
      <c r="B8507" s="878">
        <v>2555.08</v>
      </c>
    </row>
    <row r="8508" spans="1:2" ht="16.149999999999999" customHeight="1">
      <c r="A8508" s="877">
        <v>42068</v>
      </c>
      <c r="B8508" s="880">
        <v>2565.9</v>
      </c>
    </row>
    <row r="8509" spans="1:2" ht="16.149999999999999" customHeight="1">
      <c r="A8509" s="877">
        <v>42069</v>
      </c>
      <c r="B8509" s="878">
        <v>2543.4699999999998</v>
      </c>
    </row>
    <row r="8510" spans="1:2" ht="16.149999999999999" customHeight="1">
      <c r="A8510" s="877">
        <v>42070</v>
      </c>
      <c r="B8510" s="880">
        <v>2565.61</v>
      </c>
    </row>
    <row r="8511" spans="1:2" ht="16.149999999999999" customHeight="1">
      <c r="A8511" s="877">
        <v>42071</v>
      </c>
      <c r="B8511" s="878">
        <v>2565.61</v>
      </c>
    </row>
    <row r="8512" spans="1:2" ht="16.149999999999999" customHeight="1">
      <c r="A8512" s="877">
        <v>42072</v>
      </c>
      <c r="B8512" s="880">
        <v>2565.61</v>
      </c>
    </row>
    <row r="8513" spans="1:2" ht="16.149999999999999" customHeight="1">
      <c r="A8513" s="877">
        <v>42073</v>
      </c>
      <c r="B8513" s="878">
        <v>2592.86</v>
      </c>
    </row>
    <row r="8514" spans="1:2" ht="16.149999999999999" customHeight="1">
      <c r="A8514" s="877">
        <v>42074</v>
      </c>
      <c r="B8514" s="880">
        <v>2618.79</v>
      </c>
    </row>
    <row r="8515" spans="1:2" ht="16.149999999999999" customHeight="1">
      <c r="A8515" s="877">
        <v>42075</v>
      </c>
      <c r="B8515" s="878">
        <v>2633.65</v>
      </c>
    </row>
    <row r="8516" spans="1:2" ht="16.149999999999999" customHeight="1">
      <c r="A8516" s="877">
        <v>42076</v>
      </c>
      <c r="B8516" s="880">
        <v>2610.08</v>
      </c>
    </row>
    <row r="8517" spans="1:2" ht="16.149999999999999" customHeight="1">
      <c r="A8517" s="877">
        <v>42077</v>
      </c>
      <c r="B8517" s="878">
        <v>2661.52</v>
      </c>
    </row>
    <row r="8518" spans="1:2" ht="16.149999999999999" customHeight="1">
      <c r="A8518" s="877">
        <v>42078</v>
      </c>
      <c r="B8518" s="880">
        <v>2661.52</v>
      </c>
    </row>
    <row r="8519" spans="1:2" ht="16.149999999999999" customHeight="1">
      <c r="A8519" s="877">
        <v>42079</v>
      </c>
      <c r="B8519" s="878">
        <v>2661.52</v>
      </c>
    </row>
    <row r="8520" spans="1:2" ht="16.149999999999999" customHeight="1">
      <c r="A8520" s="877">
        <v>42080</v>
      </c>
      <c r="B8520" s="880">
        <v>2675.08</v>
      </c>
    </row>
    <row r="8521" spans="1:2" ht="16.149999999999999" customHeight="1">
      <c r="A8521" s="877">
        <v>42081</v>
      </c>
      <c r="B8521" s="878">
        <v>2677.97</v>
      </c>
    </row>
    <row r="8522" spans="1:2" ht="16.149999999999999" customHeight="1">
      <c r="A8522" s="877">
        <v>42082</v>
      </c>
      <c r="B8522" s="880">
        <v>2651.49</v>
      </c>
    </row>
    <row r="8523" spans="1:2" ht="16.149999999999999" customHeight="1">
      <c r="A8523" s="877">
        <v>42083</v>
      </c>
      <c r="B8523" s="878">
        <v>2613.38</v>
      </c>
    </row>
    <row r="8524" spans="1:2" ht="16.149999999999999" customHeight="1">
      <c r="A8524" s="877">
        <v>42084</v>
      </c>
      <c r="B8524" s="880">
        <v>2587.71</v>
      </c>
    </row>
    <row r="8525" spans="1:2" ht="16.149999999999999" customHeight="1">
      <c r="A8525" s="877">
        <v>42085</v>
      </c>
      <c r="B8525" s="878">
        <v>2587.71</v>
      </c>
    </row>
    <row r="8526" spans="1:2" ht="16.149999999999999" customHeight="1">
      <c r="A8526" s="877">
        <v>42086</v>
      </c>
      <c r="B8526" s="880">
        <v>2587.71</v>
      </c>
    </row>
    <row r="8527" spans="1:2" ht="16.149999999999999" customHeight="1">
      <c r="A8527" s="877">
        <v>42087</v>
      </c>
      <c r="B8527" s="878">
        <v>2587.71</v>
      </c>
    </row>
    <row r="8528" spans="1:2" ht="16.149999999999999" customHeight="1">
      <c r="A8528" s="877">
        <v>42088</v>
      </c>
      <c r="B8528" s="880">
        <v>2526.79</v>
      </c>
    </row>
    <row r="8529" spans="1:2" ht="16.149999999999999" customHeight="1">
      <c r="A8529" s="877">
        <v>42089</v>
      </c>
      <c r="B8529" s="878">
        <v>2535.5500000000002</v>
      </c>
    </row>
    <row r="8530" spans="1:2" ht="16.149999999999999" customHeight="1">
      <c r="A8530" s="877">
        <v>42090</v>
      </c>
      <c r="B8530" s="880">
        <v>2551.3000000000002</v>
      </c>
    </row>
    <row r="8531" spans="1:2" ht="16.149999999999999" customHeight="1">
      <c r="A8531" s="877">
        <v>42091</v>
      </c>
      <c r="B8531" s="878">
        <v>2556.85</v>
      </c>
    </row>
    <row r="8532" spans="1:2" ht="16.149999999999999" customHeight="1">
      <c r="A8532" s="877">
        <v>42092</v>
      </c>
      <c r="B8532" s="880">
        <v>2556.85</v>
      </c>
    </row>
    <row r="8533" spans="1:2" ht="16.149999999999999" customHeight="1">
      <c r="A8533" s="877">
        <v>42093</v>
      </c>
      <c r="B8533" s="878">
        <v>2556.85</v>
      </c>
    </row>
    <row r="8534" spans="1:2" ht="16.149999999999999" customHeight="1">
      <c r="A8534" s="877">
        <v>42094</v>
      </c>
      <c r="B8534" s="880">
        <v>2576.0500000000002</v>
      </c>
    </row>
    <row r="8535" spans="1:2" ht="16.149999999999999" customHeight="1">
      <c r="A8535" s="877">
        <v>42095</v>
      </c>
      <c r="B8535" s="878">
        <v>2598.36</v>
      </c>
    </row>
    <row r="8536" spans="1:2" ht="16.149999999999999" customHeight="1">
      <c r="A8536" s="877">
        <v>42096</v>
      </c>
      <c r="B8536" s="880">
        <v>2576.41</v>
      </c>
    </row>
    <row r="8537" spans="1:2" ht="16.149999999999999" customHeight="1">
      <c r="A8537" s="877">
        <v>42097</v>
      </c>
      <c r="B8537" s="878">
        <v>2576.41</v>
      </c>
    </row>
    <row r="8538" spans="1:2" ht="16.149999999999999" customHeight="1">
      <c r="A8538" s="877">
        <v>42098</v>
      </c>
      <c r="B8538" s="880">
        <v>2576.41</v>
      </c>
    </row>
    <row r="8539" spans="1:2" ht="16.149999999999999" customHeight="1">
      <c r="A8539" s="877">
        <v>42099</v>
      </c>
      <c r="B8539" s="878">
        <v>2576.41</v>
      </c>
    </row>
    <row r="8540" spans="1:2" ht="16.149999999999999" customHeight="1">
      <c r="A8540" s="877">
        <v>42100</v>
      </c>
      <c r="B8540" s="880">
        <v>2576.41</v>
      </c>
    </row>
    <row r="8541" spans="1:2" ht="16.149999999999999" customHeight="1">
      <c r="A8541" s="877">
        <v>42101</v>
      </c>
      <c r="B8541" s="878">
        <v>2522.71</v>
      </c>
    </row>
    <row r="8542" spans="1:2" ht="16.149999999999999" customHeight="1">
      <c r="A8542" s="877">
        <v>42102</v>
      </c>
      <c r="B8542" s="880">
        <v>2518.0500000000002</v>
      </c>
    </row>
    <row r="8543" spans="1:2" ht="16.149999999999999" customHeight="1">
      <c r="A8543" s="877">
        <v>42103</v>
      </c>
      <c r="B8543" s="878">
        <v>2490.9</v>
      </c>
    </row>
    <row r="8544" spans="1:2" ht="16.149999999999999" customHeight="1">
      <c r="A8544" s="877">
        <v>42104</v>
      </c>
      <c r="B8544" s="880">
        <v>2494.77</v>
      </c>
    </row>
    <row r="8545" spans="1:2" ht="16.149999999999999" customHeight="1">
      <c r="A8545" s="877">
        <v>42105</v>
      </c>
      <c r="B8545" s="878">
        <v>2516.08</v>
      </c>
    </row>
    <row r="8546" spans="1:2" ht="16.149999999999999" customHeight="1">
      <c r="A8546" s="877">
        <v>42106</v>
      </c>
      <c r="B8546" s="880">
        <v>2516.08</v>
      </c>
    </row>
    <row r="8547" spans="1:2" ht="16.149999999999999" customHeight="1">
      <c r="A8547" s="877">
        <v>42107</v>
      </c>
      <c r="B8547" s="878">
        <v>2516.08</v>
      </c>
    </row>
    <row r="8548" spans="1:2" ht="16.149999999999999" customHeight="1">
      <c r="A8548" s="877">
        <v>42108</v>
      </c>
      <c r="B8548" s="880">
        <v>2537.33</v>
      </c>
    </row>
    <row r="8549" spans="1:2" ht="16.149999999999999" customHeight="1">
      <c r="A8549" s="877">
        <v>42109</v>
      </c>
      <c r="B8549" s="878">
        <v>2550.83</v>
      </c>
    </row>
    <row r="8550" spans="1:2" ht="16.149999999999999" customHeight="1">
      <c r="A8550" s="877">
        <v>42110</v>
      </c>
      <c r="B8550" s="880">
        <v>2534.63</v>
      </c>
    </row>
    <row r="8551" spans="1:2" ht="16.149999999999999" customHeight="1">
      <c r="A8551" s="877">
        <v>42111</v>
      </c>
      <c r="B8551" s="878">
        <v>2493.9299999999998</v>
      </c>
    </row>
    <row r="8552" spans="1:2" ht="16.149999999999999" customHeight="1">
      <c r="A8552" s="877">
        <v>42112</v>
      </c>
      <c r="B8552" s="880">
        <v>2495.0100000000002</v>
      </c>
    </row>
    <row r="8553" spans="1:2" ht="16.149999999999999" customHeight="1">
      <c r="A8553" s="877">
        <v>42113</v>
      </c>
      <c r="B8553" s="878">
        <v>2495.0100000000002</v>
      </c>
    </row>
    <row r="8554" spans="1:2" ht="16.149999999999999" customHeight="1">
      <c r="A8554" s="877">
        <v>42114</v>
      </c>
      <c r="B8554" s="880">
        <v>2495.0100000000002</v>
      </c>
    </row>
    <row r="8555" spans="1:2" ht="16.149999999999999" customHeight="1">
      <c r="A8555" s="877">
        <v>42115</v>
      </c>
      <c r="B8555" s="878">
        <v>2487.0700000000002</v>
      </c>
    </row>
    <row r="8556" spans="1:2" ht="16.149999999999999" customHeight="1">
      <c r="A8556" s="877">
        <v>42116</v>
      </c>
      <c r="B8556" s="880">
        <v>2469.0300000000002</v>
      </c>
    </row>
    <row r="8557" spans="1:2" ht="16.149999999999999" customHeight="1">
      <c r="A8557" s="877">
        <v>42117</v>
      </c>
      <c r="B8557" s="878">
        <v>2488.5</v>
      </c>
    </row>
    <row r="8558" spans="1:2" ht="16.149999999999999" customHeight="1">
      <c r="A8558" s="877">
        <v>42118</v>
      </c>
      <c r="B8558" s="880">
        <v>2471.21</v>
      </c>
    </row>
    <row r="8559" spans="1:2" ht="16.149999999999999" customHeight="1">
      <c r="A8559" s="877">
        <v>42119</v>
      </c>
      <c r="B8559" s="878">
        <v>2461.17</v>
      </c>
    </row>
    <row r="8560" spans="1:2" ht="16.149999999999999" customHeight="1">
      <c r="A8560" s="877">
        <v>42120</v>
      </c>
      <c r="B8560" s="880">
        <v>2461.17</v>
      </c>
    </row>
    <row r="8561" spans="1:2" ht="16.149999999999999" customHeight="1">
      <c r="A8561" s="877">
        <v>42121</v>
      </c>
      <c r="B8561" s="878">
        <v>2461.17</v>
      </c>
    </row>
    <row r="8562" spans="1:2" ht="16.149999999999999" customHeight="1">
      <c r="A8562" s="877">
        <v>42122</v>
      </c>
      <c r="B8562" s="880">
        <v>2419.81</v>
      </c>
    </row>
    <row r="8563" spans="1:2" ht="16.149999999999999" customHeight="1">
      <c r="A8563" s="877">
        <v>42123</v>
      </c>
      <c r="B8563" s="878">
        <v>2393.42</v>
      </c>
    </row>
    <row r="8564" spans="1:2" ht="16.149999999999999" customHeight="1">
      <c r="A8564" s="877">
        <v>42124</v>
      </c>
      <c r="B8564" s="880">
        <v>2388.06</v>
      </c>
    </row>
    <row r="8565" spans="1:2" ht="16.149999999999999" customHeight="1">
      <c r="A8565" s="877">
        <v>42125</v>
      </c>
      <c r="B8565" s="878">
        <v>2393.58</v>
      </c>
    </row>
    <row r="8566" spans="1:2" ht="16.149999999999999" customHeight="1">
      <c r="A8566" s="877">
        <v>42126</v>
      </c>
      <c r="B8566" s="880">
        <v>2393.58</v>
      </c>
    </row>
    <row r="8567" spans="1:2" ht="16.149999999999999" customHeight="1">
      <c r="A8567" s="877">
        <v>42127</v>
      </c>
      <c r="B8567" s="878">
        <v>2393.58</v>
      </c>
    </row>
    <row r="8568" spans="1:2" ht="16.149999999999999" customHeight="1">
      <c r="A8568" s="877">
        <v>42128</v>
      </c>
      <c r="B8568" s="880">
        <v>2393.58</v>
      </c>
    </row>
    <row r="8569" spans="1:2" ht="16.149999999999999" customHeight="1">
      <c r="A8569" s="877">
        <v>42129</v>
      </c>
      <c r="B8569" s="878">
        <v>2408.17</v>
      </c>
    </row>
    <row r="8570" spans="1:2" ht="16.149999999999999" customHeight="1">
      <c r="A8570" s="877">
        <v>42130</v>
      </c>
      <c r="B8570" s="880">
        <v>2386.7199999999998</v>
      </c>
    </row>
    <row r="8571" spans="1:2" ht="16.149999999999999" customHeight="1">
      <c r="A8571" s="877">
        <v>42131</v>
      </c>
      <c r="B8571" s="878">
        <v>2362.41</v>
      </c>
    </row>
    <row r="8572" spans="1:2" ht="16.149999999999999" customHeight="1">
      <c r="A8572" s="877">
        <v>42132</v>
      </c>
      <c r="B8572" s="880">
        <v>2369.23</v>
      </c>
    </row>
    <row r="8573" spans="1:2" ht="16.149999999999999" customHeight="1">
      <c r="A8573" s="877">
        <v>42133</v>
      </c>
      <c r="B8573" s="878">
        <v>2360.58</v>
      </c>
    </row>
    <row r="8574" spans="1:2" ht="16.149999999999999" customHeight="1">
      <c r="A8574" s="877">
        <v>42134</v>
      </c>
      <c r="B8574" s="880">
        <v>2360.58</v>
      </c>
    </row>
    <row r="8575" spans="1:2" ht="16.149999999999999" customHeight="1">
      <c r="A8575" s="877">
        <v>42135</v>
      </c>
      <c r="B8575" s="878">
        <v>2360.58</v>
      </c>
    </row>
    <row r="8576" spans="1:2" ht="16.149999999999999" customHeight="1">
      <c r="A8576" s="877">
        <v>42136</v>
      </c>
      <c r="B8576" s="880">
        <v>2381.5300000000002</v>
      </c>
    </row>
    <row r="8577" spans="1:2" ht="16.149999999999999" customHeight="1">
      <c r="A8577" s="877">
        <v>42137</v>
      </c>
      <c r="B8577" s="878">
        <v>2386.77</v>
      </c>
    </row>
    <row r="8578" spans="1:2" ht="16.149999999999999" customHeight="1">
      <c r="A8578" s="877">
        <v>42138</v>
      </c>
      <c r="B8578" s="880">
        <v>2377.87</v>
      </c>
    </row>
    <row r="8579" spans="1:2" ht="16.149999999999999" customHeight="1">
      <c r="A8579" s="877">
        <v>42139</v>
      </c>
      <c r="B8579" s="878">
        <v>2389.4899999999998</v>
      </c>
    </row>
    <row r="8580" spans="1:2" ht="16.149999999999999" customHeight="1">
      <c r="A8580" s="877">
        <v>42140</v>
      </c>
      <c r="B8580" s="880">
        <v>2417.0100000000002</v>
      </c>
    </row>
    <row r="8581" spans="1:2" ht="16.149999999999999" customHeight="1">
      <c r="A8581" s="877">
        <v>42141</v>
      </c>
      <c r="B8581" s="878">
        <v>2417.0100000000002</v>
      </c>
    </row>
    <row r="8582" spans="1:2" ht="16.149999999999999" customHeight="1">
      <c r="A8582" s="877">
        <v>42142</v>
      </c>
      <c r="B8582" s="880">
        <v>2417.0100000000002</v>
      </c>
    </row>
    <row r="8583" spans="1:2" ht="16.149999999999999" customHeight="1">
      <c r="A8583" s="877">
        <v>42143</v>
      </c>
      <c r="B8583" s="878">
        <v>2417.0100000000002</v>
      </c>
    </row>
    <row r="8584" spans="1:2" ht="16.149999999999999" customHeight="1">
      <c r="A8584" s="877">
        <v>42144</v>
      </c>
      <c r="B8584" s="880">
        <v>2475.4499999999998</v>
      </c>
    </row>
    <row r="8585" spans="1:2" ht="16.149999999999999" customHeight="1">
      <c r="A8585" s="877">
        <v>42145</v>
      </c>
      <c r="B8585" s="878">
        <v>2503.37</v>
      </c>
    </row>
    <row r="8586" spans="1:2" ht="16.149999999999999" customHeight="1">
      <c r="A8586" s="877">
        <v>42146</v>
      </c>
      <c r="B8586" s="880">
        <v>2489.39</v>
      </c>
    </row>
    <row r="8587" spans="1:2" ht="16.149999999999999" customHeight="1">
      <c r="A8587" s="877">
        <v>42147</v>
      </c>
      <c r="B8587" s="878">
        <v>2500.2199999999998</v>
      </c>
    </row>
    <row r="8588" spans="1:2" ht="16.149999999999999" customHeight="1">
      <c r="A8588" s="877">
        <v>42148</v>
      </c>
      <c r="B8588" s="880">
        <v>2500.2199999999998</v>
      </c>
    </row>
    <row r="8589" spans="1:2" ht="16.149999999999999" customHeight="1">
      <c r="A8589" s="877">
        <v>42149</v>
      </c>
      <c r="B8589" s="878">
        <v>2500.2199999999998</v>
      </c>
    </row>
    <row r="8590" spans="1:2" ht="16.149999999999999" customHeight="1">
      <c r="A8590" s="877">
        <v>42150</v>
      </c>
      <c r="B8590" s="880">
        <v>2500.2199999999998</v>
      </c>
    </row>
    <row r="8591" spans="1:2" ht="16.149999999999999" customHeight="1">
      <c r="A8591" s="877">
        <v>42151</v>
      </c>
      <c r="B8591" s="878">
        <v>2542.5300000000002</v>
      </c>
    </row>
    <row r="8592" spans="1:2" ht="16.149999999999999" customHeight="1">
      <c r="A8592" s="877">
        <v>42152</v>
      </c>
      <c r="B8592" s="880">
        <v>2548.13</v>
      </c>
    </row>
    <row r="8593" spans="1:2" ht="16.149999999999999" customHeight="1">
      <c r="A8593" s="877">
        <v>42153</v>
      </c>
      <c r="B8593" s="878">
        <v>2549.9699999999998</v>
      </c>
    </row>
    <row r="8594" spans="1:2" ht="16.149999999999999" customHeight="1">
      <c r="A8594" s="877">
        <v>42154</v>
      </c>
      <c r="B8594" s="880">
        <v>2533.79</v>
      </c>
    </row>
    <row r="8595" spans="1:2" ht="16.149999999999999" customHeight="1">
      <c r="A8595" s="877">
        <v>42155</v>
      </c>
      <c r="B8595" s="878">
        <v>2533.79</v>
      </c>
    </row>
    <row r="8596" spans="1:2" ht="16.149999999999999" customHeight="1">
      <c r="A8596" s="877">
        <v>42156</v>
      </c>
      <c r="B8596" s="880">
        <v>2533.79</v>
      </c>
    </row>
    <row r="8597" spans="1:2" ht="16.149999999999999" customHeight="1">
      <c r="A8597" s="877">
        <v>42157</v>
      </c>
      <c r="B8597" s="878">
        <v>2549.29</v>
      </c>
    </row>
    <row r="8598" spans="1:2" ht="16.149999999999999" customHeight="1">
      <c r="A8598" s="877">
        <v>42158</v>
      </c>
      <c r="B8598" s="880">
        <v>2554.44</v>
      </c>
    </row>
    <row r="8599" spans="1:2" ht="16.149999999999999" customHeight="1">
      <c r="A8599" s="877">
        <v>42159</v>
      </c>
      <c r="B8599" s="878">
        <v>2571.92</v>
      </c>
    </row>
    <row r="8600" spans="1:2" ht="16.149999999999999" customHeight="1">
      <c r="A8600" s="877">
        <v>42160</v>
      </c>
      <c r="B8600" s="880">
        <v>2588.56</v>
      </c>
    </row>
    <row r="8601" spans="1:2" ht="16.149999999999999" customHeight="1">
      <c r="A8601" s="877">
        <v>42161</v>
      </c>
      <c r="B8601" s="878">
        <v>2623.66</v>
      </c>
    </row>
    <row r="8602" spans="1:2" ht="16.149999999999999" customHeight="1">
      <c r="A8602" s="877">
        <v>42162</v>
      </c>
      <c r="B8602" s="880">
        <v>2623.66</v>
      </c>
    </row>
    <row r="8603" spans="1:2" ht="16.149999999999999" customHeight="1">
      <c r="A8603" s="877">
        <v>42163</v>
      </c>
      <c r="B8603" s="878">
        <v>2623.66</v>
      </c>
    </row>
    <row r="8604" spans="1:2" ht="16.149999999999999" customHeight="1">
      <c r="A8604" s="877">
        <v>42164</v>
      </c>
      <c r="B8604" s="880">
        <v>2623.66</v>
      </c>
    </row>
    <row r="8605" spans="1:2" ht="16.149999999999999" customHeight="1">
      <c r="A8605" s="877">
        <v>42165</v>
      </c>
      <c r="B8605" s="878">
        <v>2569.17</v>
      </c>
    </row>
    <row r="8606" spans="1:2" ht="16.149999999999999" customHeight="1">
      <c r="A8606" s="877">
        <v>42166</v>
      </c>
      <c r="B8606" s="880">
        <v>2523</v>
      </c>
    </row>
    <row r="8607" spans="1:2" ht="16.149999999999999" customHeight="1">
      <c r="A8607" s="877">
        <v>42167</v>
      </c>
      <c r="B8607" s="878">
        <v>2538.5500000000002</v>
      </c>
    </row>
    <row r="8608" spans="1:2" ht="16.149999999999999" customHeight="1">
      <c r="A8608" s="877">
        <v>42168</v>
      </c>
      <c r="B8608" s="880">
        <v>2535.91</v>
      </c>
    </row>
    <row r="8609" spans="1:2" ht="16.149999999999999" customHeight="1">
      <c r="A8609" s="877">
        <v>42169</v>
      </c>
      <c r="B8609" s="878">
        <v>2535.91</v>
      </c>
    </row>
    <row r="8610" spans="1:2" ht="16.149999999999999" customHeight="1">
      <c r="A8610" s="877">
        <v>42170</v>
      </c>
      <c r="B8610" s="880">
        <v>2535.91</v>
      </c>
    </row>
    <row r="8611" spans="1:2" ht="16.149999999999999" customHeight="1">
      <c r="A8611" s="877">
        <v>42171</v>
      </c>
      <c r="B8611" s="878">
        <v>2535.91</v>
      </c>
    </row>
    <row r="8612" spans="1:2" ht="16.149999999999999" customHeight="1">
      <c r="A8612" s="877">
        <v>42172</v>
      </c>
      <c r="B8612" s="880">
        <v>2531.7199999999998</v>
      </c>
    </row>
    <row r="8613" spans="1:2" ht="16.149999999999999" customHeight="1">
      <c r="A8613" s="877">
        <v>42173</v>
      </c>
      <c r="B8613" s="878">
        <v>2550.4299999999998</v>
      </c>
    </row>
    <row r="8614" spans="1:2" ht="16.149999999999999" customHeight="1">
      <c r="A8614" s="877">
        <v>42174</v>
      </c>
      <c r="B8614" s="880">
        <v>2528.85</v>
      </c>
    </row>
    <row r="8615" spans="1:2" ht="16.149999999999999" customHeight="1">
      <c r="A8615" s="877">
        <v>42175</v>
      </c>
      <c r="B8615" s="878">
        <v>2548.1999999999998</v>
      </c>
    </row>
    <row r="8616" spans="1:2" ht="16.149999999999999" customHeight="1">
      <c r="A8616" s="877">
        <v>42176</v>
      </c>
      <c r="B8616" s="880">
        <v>2548.1999999999998</v>
      </c>
    </row>
    <row r="8617" spans="1:2" ht="16.149999999999999" customHeight="1">
      <c r="A8617" s="877">
        <v>42177</v>
      </c>
      <c r="B8617" s="878">
        <v>2548.1999999999998</v>
      </c>
    </row>
    <row r="8618" spans="1:2" ht="16.149999999999999" customHeight="1">
      <c r="A8618" s="877">
        <v>42178</v>
      </c>
      <c r="B8618" s="880">
        <v>2537.6799999999998</v>
      </c>
    </row>
    <row r="8619" spans="1:2" ht="16.149999999999999" customHeight="1">
      <c r="A8619" s="877">
        <v>42179</v>
      </c>
      <c r="B8619" s="878">
        <v>2550.7399999999998</v>
      </c>
    </row>
    <row r="8620" spans="1:2" ht="16.149999999999999" customHeight="1">
      <c r="A8620" s="877">
        <v>42180</v>
      </c>
      <c r="B8620" s="880">
        <v>2566.66</v>
      </c>
    </row>
    <row r="8621" spans="1:2" ht="16.149999999999999" customHeight="1">
      <c r="A8621" s="877">
        <v>42181</v>
      </c>
      <c r="B8621" s="878">
        <v>2556.21</v>
      </c>
    </row>
    <row r="8622" spans="1:2" ht="16.149999999999999" customHeight="1">
      <c r="A8622" s="877">
        <v>42182</v>
      </c>
      <c r="B8622" s="880">
        <v>2585.11</v>
      </c>
    </row>
    <row r="8623" spans="1:2" ht="16.149999999999999" customHeight="1">
      <c r="A8623" s="877">
        <v>42183</v>
      </c>
      <c r="B8623" s="878">
        <v>2585.11</v>
      </c>
    </row>
    <row r="8624" spans="1:2" ht="16.149999999999999" customHeight="1">
      <c r="A8624" s="877">
        <v>42184</v>
      </c>
      <c r="B8624" s="880">
        <v>2585.11</v>
      </c>
    </row>
    <row r="8625" spans="1:2" ht="16.149999999999999" customHeight="1">
      <c r="A8625" s="877">
        <v>42185</v>
      </c>
      <c r="B8625" s="878">
        <v>2585.11</v>
      </c>
    </row>
    <row r="8626" spans="1:2" ht="16.149999999999999" customHeight="1">
      <c r="A8626" s="877">
        <v>42186</v>
      </c>
      <c r="B8626" s="880">
        <v>2598.6799999999998</v>
      </c>
    </row>
    <row r="8627" spans="1:2" ht="16.149999999999999" customHeight="1">
      <c r="A8627" s="877">
        <v>42187</v>
      </c>
      <c r="B8627" s="878">
        <v>2626.8</v>
      </c>
    </row>
    <row r="8628" spans="1:2" ht="16.149999999999999" customHeight="1">
      <c r="A8628" s="877">
        <v>42188</v>
      </c>
      <c r="B8628" s="880">
        <v>2623.91</v>
      </c>
    </row>
    <row r="8629" spans="1:2" ht="16.149999999999999" customHeight="1">
      <c r="A8629" s="877">
        <v>42189</v>
      </c>
      <c r="B8629" s="878">
        <v>2642.97</v>
      </c>
    </row>
    <row r="8630" spans="1:2" ht="16.149999999999999" customHeight="1">
      <c r="A8630" s="877">
        <v>42190</v>
      </c>
      <c r="B8630" s="880">
        <v>2642.97</v>
      </c>
    </row>
    <row r="8631" spans="1:2" ht="16.149999999999999" customHeight="1">
      <c r="A8631" s="877">
        <v>42191</v>
      </c>
      <c r="B8631" s="878">
        <v>2642.97</v>
      </c>
    </row>
    <row r="8632" spans="1:2" ht="16.149999999999999" customHeight="1">
      <c r="A8632" s="877">
        <v>42192</v>
      </c>
      <c r="B8632" s="880">
        <v>2665.41</v>
      </c>
    </row>
    <row r="8633" spans="1:2" ht="16.149999999999999" customHeight="1">
      <c r="A8633" s="877">
        <v>42193</v>
      </c>
      <c r="B8633" s="878">
        <v>2690.15</v>
      </c>
    </row>
    <row r="8634" spans="1:2" ht="16.149999999999999" customHeight="1">
      <c r="A8634" s="877">
        <v>42194</v>
      </c>
      <c r="B8634" s="880">
        <v>2690.79</v>
      </c>
    </row>
    <row r="8635" spans="1:2" ht="16.149999999999999" customHeight="1">
      <c r="A8635" s="877">
        <v>42195</v>
      </c>
      <c r="B8635" s="878">
        <v>2670.79</v>
      </c>
    </row>
    <row r="8636" spans="1:2" ht="16.149999999999999" customHeight="1">
      <c r="A8636" s="877">
        <v>42196</v>
      </c>
      <c r="B8636" s="880">
        <v>2667.37</v>
      </c>
    </row>
    <row r="8637" spans="1:2" ht="16.149999999999999" customHeight="1">
      <c r="A8637" s="877">
        <v>42197</v>
      </c>
      <c r="B8637" s="878">
        <v>2667.37</v>
      </c>
    </row>
    <row r="8638" spans="1:2" ht="16.149999999999999" customHeight="1">
      <c r="A8638" s="877">
        <v>42198</v>
      </c>
      <c r="B8638" s="880">
        <v>2667.37</v>
      </c>
    </row>
    <row r="8639" spans="1:2" ht="16.149999999999999" customHeight="1">
      <c r="A8639" s="877">
        <v>42199</v>
      </c>
      <c r="B8639" s="878">
        <v>2693.54</v>
      </c>
    </row>
    <row r="8640" spans="1:2" ht="16.149999999999999" customHeight="1">
      <c r="A8640" s="877">
        <v>42200</v>
      </c>
      <c r="B8640" s="880">
        <v>2688.2</v>
      </c>
    </row>
    <row r="8641" spans="1:2" ht="16.149999999999999" customHeight="1">
      <c r="A8641" s="877">
        <v>42201</v>
      </c>
      <c r="B8641" s="878">
        <v>2713.04</v>
      </c>
    </row>
    <row r="8642" spans="1:2" ht="16.149999999999999" customHeight="1">
      <c r="A8642" s="877">
        <v>42202</v>
      </c>
      <c r="B8642" s="880">
        <v>2727.23</v>
      </c>
    </row>
    <row r="8643" spans="1:2" ht="16.149999999999999" customHeight="1">
      <c r="A8643" s="877">
        <v>42203</v>
      </c>
      <c r="B8643" s="878">
        <v>2751.88</v>
      </c>
    </row>
    <row r="8644" spans="1:2" ht="16.149999999999999" customHeight="1">
      <c r="A8644" s="877">
        <v>42204</v>
      </c>
      <c r="B8644" s="880">
        <v>2751.88</v>
      </c>
    </row>
    <row r="8645" spans="1:2" ht="16.149999999999999" customHeight="1">
      <c r="A8645" s="877">
        <v>42205</v>
      </c>
      <c r="B8645" s="878">
        <v>2751.88</v>
      </c>
    </row>
    <row r="8646" spans="1:2" ht="16.149999999999999" customHeight="1">
      <c r="A8646" s="877">
        <v>42206</v>
      </c>
      <c r="B8646" s="880">
        <v>2751.88</v>
      </c>
    </row>
    <row r="8647" spans="1:2" ht="16.149999999999999" customHeight="1">
      <c r="A8647" s="877">
        <v>42207</v>
      </c>
      <c r="B8647" s="878">
        <v>2765.1</v>
      </c>
    </row>
    <row r="8648" spans="1:2" ht="16.149999999999999" customHeight="1">
      <c r="A8648" s="877">
        <v>42208</v>
      </c>
      <c r="B8648" s="880">
        <v>2790.26</v>
      </c>
    </row>
    <row r="8649" spans="1:2" ht="16.149999999999999" customHeight="1">
      <c r="A8649" s="877">
        <v>42209</v>
      </c>
      <c r="B8649" s="878">
        <v>2807.36</v>
      </c>
    </row>
    <row r="8650" spans="1:2" ht="16.149999999999999" customHeight="1">
      <c r="A8650" s="877">
        <v>42210</v>
      </c>
      <c r="B8650" s="880">
        <v>2857.46</v>
      </c>
    </row>
    <row r="8651" spans="1:2" ht="16.149999999999999" customHeight="1">
      <c r="A8651" s="877">
        <v>42211</v>
      </c>
      <c r="B8651" s="878">
        <v>2857.46</v>
      </c>
    </row>
    <row r="8652" spans="1:2" ht="16.149999999999999" customHeight="1">
      <c r="A8652" s="877">
        <v>42212</v>
      </c>
      <c r="B8652" s="880">
        <v>2857.46</v>
      </c>
    </row>
    <row r="8653" spans="1:2" ht="16.149999999999999" customHeight="1">
      <c r="A8653" s="877">
        <v>42213</v>
      </c>
      <c r="B8653" s="878">
        <v>2854.13</v>
      </c>
    </row>
    <row r="8654" spans="1:2" ht="16.149999999999999" customHeight="1">
      <c r="A8654" s="877">
        <v>42214</v>
      </c>
      <c r="B8654" s="880">
        <v>2855.44</v>
      </c>
    </row>
    <row r="8655" spans="1:2" ht="16.149999999999999" customHeight="1">
      <c r="A8655" s="877">
        <v>42215</v>
      </c>
      <c r="B8655" s="878">
        <v>2855.32</v>
      </c>
    </row>
    <row r="8656" spans="1:2" ht="16.149999999999999" customHeight="1">
      <c r="A8656" s="877">
        <v>42216</v>
      </c>
      <c r="B8656" s="880">
        <v>2866.04</v>
      </c>
    </row>
    <row r="8657" spans="1:2" ht="16.149999999999999" customHeight="1">
      <c r="A8657" s="877">
        <v>42217</v>
      </c>
      <c r="B8657" s="878">
        <v>2862.51</v>
      </c>
    </row>
    <row r="8658" spans="1:2" ht="16.149999999999999" customHeight="1">
      <c r="A8658" s="877">
        <v>42218</v>
      </c>
      <c r="B8658" s="880">
        <v>2862.51</v>
      </c>
    </row>
    <row r="8659" spans="1:2" ht="16.149999999999999" customHeight="1">
      <c r="A8659" s="877">
        <v>42219</v>
      </c>
      <c r="B8659" s="878">
        <v>2862.51</v>
      </c>
    </row>
    <row r="8660" spans="1:2" ht="16.149999999999999" customHeight="1">
      <c r="A8660" s="877">
        <v>42220</v>
      </c>
      <c r="B8660" s="880">
        <v>2902.98</v>
      </c>
    </row>
    <row r="8661" spans="1:2" ht="16.149999999999999" customHeight="1">
      <c r="A8661" s="877">
        <v>42221</v>
      </c>
      <c r="B8661" s="878">
        <v>2906.95</v>
      </c>
    </row>
    <row r="8662" spans="1:2" ht="16.149999999999999" customHeight="1">
      <c r="A8662" s="877">
        <v>42222</v>
      </c>
      <c r="B8662" s="880">
        <v>2945.97</v>
      </c>
    </row>
    <row r="8663" spans="1:2" ht="16.149999999999999" customHeight="1">
      <c r="A8663" s="877">
        <v>42223</v>
      </c>
      <c r="B8663" s="878">
        <v>2955.31</v>
      </c>
    </row>
    <row r="8664" spans="1:2" ht="16.149999999999999" customHeight="1">
      <c r="A8664" s="877">
        <v>42224</v>
      </c>
      <c r="B8664" s="880">
        <v>2955.31</v>
      </c>
    </row>
    <row r="8665" spans="1:2" ht="16.149999999999999" customHeight="1">
      <c r="A8665" s="877">
        <v>42225</v>
      </c>
      <c r="B8665" s="878">
        <v>2955.31</v>
      </c>
    </row>
    <row r="8666" spans="1:2" ht="16.149999999999999" customHeight="1">
      <c r="A8666" s="877">
        <v>42226</v>
      </c>
      <c r="B8666" s="880">
        <v>2955.31</v>
      </c>
    </row>
    <row r="8667" spans="1:2" ht="16.149999999999999" customHeight="1">
      <c r="A8667" s="877">
        <v>42227</v>
      </c>
      <c r="B8667" s="878">
        <v>2913.45</v>
      </c>
    </row>
    <row r="8668" spans="1:2" ht="16.149999999999999" customHeight="1">
      <c r="A8668" s="877">
        <v>42228</v>
      </c>
      <c r="B8668" s="880">
        <v>2943.97</v>
      </c>
    </row>
    <row r="8669" spans="1:2" ht="16.149999999999999" customHeight="1">
      <c r="A8669" s="877">
        <v>42229</v>
      </c>
      <c r="B8669" s="878">
        <v>2937.63</v>
      </c>
    </row>
    <row r="8670" spans="1:2" ht="16.149999999999999" customHeight="1">
      <c r="A8670" s="877">
        <v>42230</v>
      </c>
      <c r="B8670" s="880">
        <v>2966.12</v>
      </c>
    </row>
    <row r="8671" spans="1:2" ht="16.149999999999999" customHeight="1">
      <c r="A8671" s="877">
        <v>42231</v>
      </c>
      <c r="B8671" s="878">
        <v>2983.12</v>
      </c>
    </row>
    <row r="8672" spans="1:2" ht="16.149999999999999" customHeight="1">
      <c r="A8672" s="877">
        <v>42232</v>
      </c>
      <c r="B8672" s="880">
        <v>2983.12</v>
      </c>
    </row>
    <row r="8673" spans="1:2" ht="16.149999999999999" customHeight="1">
      <c r="A8673" s="877">
        <v>42233</v>
      </c>
      <c r="B8673" s="878">
        <v>2983.12</v>
      </c>
    </row>
    <row r="8674" spans="1:2" ht="16.149999999999999" customHeight="1">
      <c r="A8674" s="877">
        <v>42234</v>
      </c>
      <c r="B8674" s="880">
        <v>2983.12</v>
      </c>
    </row>
    <row r="8675" spans="1:2" ht="16.149999999999999" customHeight="1">
      <c r="A8675" s="877">
        <v>42235</v>
      </c>
      <c r="B8675" s="878">
        <v>3003.35</v>
      </c>
    </row>
    <row r="8676" spans="1:2" ht="16.149999999999999" customHeight="1">
      <c r="A8676" s="877">
        <v>42236</v>
      </c>
      <c r="B8676" s="880">
        <v>3027.2</v>
      </c>
    </row>
    <row r="8677" spans="1:2" ht="16.149999999999999" customHeight="1">
      <c r="A8677" s="877">
        <v>42237</v>
      </c>
      <c r="B8677" s="878">
        <v>3053.65</v>
      </c>
    </row>
    <row r="8678" spans="1:2" ht="16.149999999999999" customHeight="1">
      <c r="A8678" s="877">
        <v>42238</v>
      </c>
      <c r="B8678" s="880">
        <v>3102.6</v>
      </c>
    </row>
    <row r="8679" spans="1:2" ht="16.149999999999999" customHeight="1">
      <c r="A8679" s="877">
        <v>42239</v>
      </c>
      <c r="B8679" s="878">
        <v>3102.6</v>
      </c>
    </row>
    <row r="8680" spans="1:2" ht="16.149999999999999" customHeight="1">
      <c r="A8680" s="877">
        <v>42240</v>
      </c>
      <c r="B8680" s="880">
        <v>3102.6</v>
      </c>
    </row>
    <row r="8681" spans="1:2" ht="16.149999999999999" customHeight="1">
      <c r="A8681" s="877">
        <v>42241</v>
      </c>
      <c r="B8681" s="878">
        <v>3208.37</v>
      </c>
    </row>
    <row r="8682" spans="1:2" ht="16.149999999999999" customHeight="1">
      <c r="A8682" s="877">
        <v>42242</v>
      </c>
      <c r="B8682" s="880">
        <v>3194.24</v>
      </c>
    </row>
    <row r="8683" spans="1:2" ht="16.149999999999999" customHeight="1">
      <c r="A8683" s="877">
        <v>42243</v>
      </c>
      <c r="B8683" s="878">
        <v>3238.51</v>
      </c>
    </row>
    <row r="8684" spans="1:2" ht="16.149999999999999" customHeight="1">
      <c r="A8684" s="877">
        <v>42244</v>
      </c>
      <c r="B8684" s="880">
        <v>3195.47</v>
      </c>
    </row>
    <row r="8685" spans="1:2" ht="16.149999999999999" customHeight="1">
      <c r="A8685" s="877">
        <v>42245</v>
      </c>
      <c r="B8685" s="878">
        <v>3101.1</v>
      </c>
    </row>
    <row r="8686" spans="1:2" ht="16.149999999999999" customHeight="1">
      <c r="A8686" s="877">
        <v>42246</v>
      </c>
      <c r="B8686" s="880">
        <v>3101.1</v>
      </c>
    </row>
    <row r="8687" spans="1:2" ht="16.149999999999999" customHeight="1">
      <c r="A8687" s="877">
        <v>42247</v>
      </c>
      <c r="B8687" s="878">
        <v>3101.1</v>
      </c>
    </row>
    <row r="8688" spans="1:2" ht="16.149999999999999" customHeight="1">
      <c r="A8688" s="877">
        <v>42248</v>
      </c>
      <c r="B8688" s="880">
        <v>3079.97</v>
      </c>
    </row>
    <row r="8689" spans="1:2" ht="16.149999999999999" customHeight="1">
      <c r="A8689" s="877">
        <v>42249</v>
      </c>
      <c r="B8689" s="878">
        <v>3093.64</v>
      </c>
    </row>
    <row r="8690" spans="1:2" ht="16.149999999999999" customHeight="1">
      <c r="A8690" s="877">
        <v>42250</v>
      </c>
      <c r="B8690" s="880">
        <v>3142.34</v>
      </c>
    </row>
    <row r="8691" spans="1:2" ht="16.149999999999999" customHeight="1">
      <c r="A8691" s="877">
        <v>42251</v>
      </c>
      <c r="B8691" s="878">
        <v>3119.93</v>
      </c>
    </row>
    <row r="8692" spans="1:2" ht="16.149999999999999" customHeight="1">
      <c r="A8692" s="877">
        <v>42252</v>
      </c>
      <c r="B8692" s="880">
        <v>3113.55</v>
      </c>
    </row>
    <row r="8693" spans="1:2" ht="16.149999999999999" customHeight="1">
      <c r="A8693" s="877">
        <v>42253</v>
      </c>
      <c r="B8693" s="878">
        <v>3113.55</v>
      </c>
    </row>
    <row r="8694" spans="1:2" ht="16.149999999999999" customHeight="1">
      <c r="A8694" s="877">
        <v>42254</v>
      </c>
      <c r="B8694" s="880">
        <v>3113.55</v>
      </c>
    </row>
    <row r="8695" spans="1:2" ht="16.149999999999999" customHeight="1">
      <c r="A8695" s="877">
        <v>42255</v>
      </c>
      <c r="B8695" s="878">
        <v>3113.55</v>
      </c>
    </row>
    <row r="8696" spans="1:2" ht="16.149999999999999" customHeight="1">
      <c r="A8696" s="877">
        <v>42256</v>
      </c>
      <c r="B8696" s="880">
        <v>3138.46</v>
      </c>
    </row>
    <row r="8697" spans="1:2" ht="16.149999999999999" customHeight="1">
      <c r="A8697" s="877">
        <v>42257</v>
      </c>
      <c r="B8697" s="878">
        <v>3105.4</v>
      </c>
    </row>
    <row r="8698" spans="1:2" ht="16.149999999999999" customHeight="1">
      <c r="A8698" s="877">
        <v>42258</v>
      </c>
      <c r="B8698" s="880">
        <v>3080.57</v>
      </c>
    </row>
    <row r="8699" spans="1:2" ht="16.149999999999999" customHeight="1">
      <c r="A8699" s="877">
        <v>42259</v>
      </c>
      <c r="B8699" s="878">
        <v>3012.96</v>
      </c>
    </row>
    <row r="8700" spans="1:2" ht="16.149999999999999" customHeight="1">
      <c r="A8700" s="877">
        <v>42260</v>
      </c>
      <c r="B8700" s="880">
        <v>3012.96</v>
      </c>
    </row>
    <row r="8701" spans="1:2" ht="16.149999999999999" customHeight="1">
      <c r="A8701" s="877">
        <v>42261</v>
      </c>
      <c r="B8701" s="878">
        <v>3012.96</v>
      </c>
    </row>
    <row r="8702" spans="1:2" ht="16.149999999999999" customHeight="1">
      <c r="A8702" s="877">
        <v>42262</v>
      </c>
      <c r="B8702" s="880">
        <v>3032.59</v>
      </c>
    </row>
    <row r="8703" spans="1:2" ht="16.149999999999999" customHeight="1">
      <c r="A8703" s="877">
        <v>42263</v>
      </c>
      <c r="B8703" s="878">
        <v>3025.28</v>
      </c>
    </row>
    <row r="8704" spans="1:2" ht="16.149999999999999" customHeight="1">
      <c r="A8704" s="877">
        <v>42264</v>
      </c>
      <c r="B8704" s="880">
        <v>2989.04</v>
      </c>
    </row>
    <row r="8705" spans="1:2" ht="16.149999999999999" customHeight="1">
      <c r="A8705" s="877">
        <v>42265</v>
      </c>
      <c r="B8705" s="878">
        <v>2975.13</v>
      </c>
    </row>
    <row r="8706" spans="1:2" ht="16.149999999999999" customHeight="1">
      <c r="A8706" s="877">
        <v>42266</v>
      </c>
      <c r="B8706" s="880">
        <v>2984.9</v>
      </c>
    </row>
    <row r="8707" spans="1:2" ht="16.149999999999999" customHeight="1">
      <c r="A8707" s="877">
        <v>42267</v>
      </c>
      <c r="B8707" s="878">
        <v>2984.9</v>
      </c>
    </row>
    <row r="8708" spans="1:2" ht="16.149999999999999" customHeight="1">
      <c r="A8708" s="877">
        <v>42268</v>
      </c>
      <c r="B8708" s="880">
        <v>2984.9</v>
      </c>
    </row>
    <row r="8709" spans="1:2" ht="16.149999999999999" customHeight="1">
      <c r="A8709" s="877">
        <v>42269</v>
      </c>
      <c r="B8709" s="878">
        <v>3001.68</v>
      </c>
    </row>
    <row r="8710" spans="1:2" ht="16.149999999999999" customHeight="1">
      <c r="A8710" s="877">
        <v>42270</v>
      </c>
      <c r="B8710" s="880">
        <v>3065.74</v>
      </c>
    </row>
    <row r="8711" spans="1:2" ht="16.149999999999999" customHeight="1">
      <c r="A8711" s="877">
        <v>42271</v>
      </c>
      <c r="B8711" s="878">
        <v>3099.28</v>
      </c>
    </row>
    <row r="8712" spans="1:2" ht="16.149999999999999" customHeight="1">
      <c r="A8712" s="877">
        <v>42272</v>
      </c>
      <c r="B8712" s="880">
        <v>3135.17</v>
      </c>
    </row>
    <row r="8713" spans="1:2" ht="16.149999999999999" customHeight="1">
      <c r="A8713" s="877">
        <v>42273</v>
      </c>
      <c r="B8713" s="878">
        <v>3080.44</v>
      </c>
    </row>
    <row r="8714" spans="1:2" ht="16.149999999999999" customHeight="1">
      <c r="A8714" s="877">
        <v>42274</v>
      </c>
      <c r="B8714" s="880">
        <v>3080.44</v>
      </c>
    </row>
    <row r="8715" spans="1:2" ht="16.149999999999999" customHeight="1">
      <c r="A8715" s="877">
        <v>42275</v>
      </c>
      <c r="B8715" s="878">
        <v>3080.44</v>
      </c>
    </row>
    <row r="8716" spans="1:2" ht="16.149999999999999" customHeight="1">
      <c r="A8716" s="877">
        <v>42276</v>
      </c>
      <c r="B8716" s="880">
        <v>3096.98</v>
      </c>
    </row>
    <row r="8717" spans="1:2" ht="16.149999999999999" customHeight="1">
      <c r="A8717" s="877">
        <v>42277</v>
      </c>
      <c r="B8717" s="878">
        <v>3121.94</v>
      </c>
    </row>
    <row r="8718" spans="1:2" ht="16.149999999999999" customHeight="1">
      <c r="A8718" s="877">
        <v>42278</v>
      </c>
      <c r="B8718" s="880">
        <v>3086.75</v>
      </c>
    </row>
    <row r="8719" spans="1:2" ht="16.149999999999999" customHeight="1">
      <c r="A8719" s="877">
        <v>42279</v>
      </c>
      <c r="B8719" s="878">
        <v>3061.85</v>
      </c>
    </row>
    <row r="8720" spans="1:2" ht="16.149999999999999" customHeight="1">
      <c r="A8720" s="877">
        <v>42280</v>
      </c>
      <c r="B8720" s="880">
        <v>3034.9</v>
      </c>
    </row>
    <row r="8721" spans="1:2" ht="16.149999999999999" customHeight="1">
      <c r="A8721" s="877">
        <v>42281</v>
      </c>
      <c r="B8721" s="878">
        <v>3034.9</v>
      </c>
    </row>
    <row r="8722" spans="1:2" ht="16.149999999999999" customHeight="1">
      <c r="A8722" s="877">
        <v>42282</v>
      </c>
      <c r="B8722" s="880">
        <v>3034.9</v>
      </c>
    </row>
    <row r="8723" spans="1:2" ht="16.149999999999999" customHeight="1">
      <c r="A8723" s="877">
        <v>42283</v>
      </c>
      <c r="B8723" s="878">
        <v>2971.15</v>
      </c>
    </row>
    <row r="8724" spans="1:2" ht="16.149999999999999" customHeight="1">
      <c r="A8724" s="877">
        <v>42284</v>
      </c>
      <c r="B8724" s="880">
        <v>2913.74</v>
      </c>
    </row>
    <row r="8725" spans="1:2" ht="16.149999999999999" customHeight="1">
      <c r="A8725" s="877">
        <v>42285</v>
      </c>
      <c r="B8725" s="878">
        <v>2891.91</v>
      </c>
    </row>
    <row r="8726" spans="1:2" ht="16.149999999999999" customHeight="1">
      <c r="A8726" s="877">
        <v>42286</v>
      </c>
      <c r="B8726" s="880">
        <v>2887.21</v>
      </c>
    </row>
    <row r="8727" spans="1:2" ht="16.149999999999999" customHeight="1">
      <c r="A8727" s="877">
        <v>42287</v>
      </c>
      <c r="B8727" s="878">
        <v>2855.74</v>
      </c>
    </row>
    <row r="8728" spans="1:2" ht="16.149999999999999" customHeight="1">
      <c r="A8728" s="877">
        <v>42288</v>
      </c>
      <c r="B8728" s="880">
        <v>2855.74</v>
      </c>
    </row>
    <row r="8729" spans="1:2" ht="16.149999999999999" customHeight="1">
      <c r="A8729" s="877">
        <v>42289</v>
      </c>
      <c r="B8729" s="878">
        <v>2855.74</v>
      </c>
    </row>
    <row r="8730" spans="1:2" ht="16.149999999999999" customHeight="1">
      <c r="A8730" s="877">
        <v>42290</v>
      </c>
      <c r="B8730" s="880">
        <v>2855.74</v>
      </c>
    </row>
    <row r="8731" spans="1:2" ht="16.149999999999999" customHeight="1">
      <c r="A8731" s="877">
        <v>42291</v>
      </c>
      <c r="B8731" s="878">
        <v>2910.7</v>
      </c>
    </row>
    <row r="8732" spans="1:2" ht="16.149999999999999" customHeight="1">
      <c r="A8732" s="877">
        <v>42292</v>
      </c>
      <c r="B8732" s="880">
        <v>2928.69</v>
      </c>
    </row>
    <row r="8733" spans="1:2" ht="16.149999999999999" customHeight="1">
      <c r="A8733" s="877">
        <v>42293</v>
      </c>
      <c r="B8733" s="878">
        <v>2908.87</v>
      </c>
    </row>
    <row r="8734" spans="1:2" ht="16.149999999999999" customHeight="1">
      <c r="A8734" s="877">
        <v>42294</v>
      </c>
      <c r="B8734" s="880">
        <v>2879.89</v>
      </c>
    </row>
    <row r="8735" spans="1:2" ht="16.149999999999999" customHeight="1">
      <c r="A8735" s="877">
        <v>42295</v>
      </c>
      <c r="B8735" s="878">
        <v>2879.89</v>
      </c>
    </row>
    <row r="8736" spans="1:2" ht="16.149999999999999" customHeight="1">
      <c r="A8736" s="877">
        <v>42296</v>
      </c>
      <c r="B8736" s="880">
        <v>2879.89</v>
      </c>
    </row>
    <row r="8737" spans="1:2" ht="16.149999999999999" customHeight="1">
      <c r="A8737" s="877">
        <v>42297</v>
      </c>
      <c r="B8737" s="878">
        <v>2912.99</v>
      </c>
    </row>
    <row r="8738" spans="1:2" ht="16.149999999999999" customHeight="1">
      <c r="A8738" s="877">
        <v>42298</v>
      </c>
      <c r="B8738" s="880">
        <v>2929.19</v>
      </c>
    </row>
    <row r="8739" spans="1:2" ht="16.149999999999999" customHeight="1">
      <c r="A8739" s="877">
        <v>42299</v>
      </c>
      <c r="B8739" s="878">
        <v>2966.68</v>
      </c>
    </row>
    <row r="8740" spans="1:2" ht="16.149999999999999" customHeight="1">
      <c r="A8740" s="877">
        <v>42300</v>
      </c>
      <c r="B8740" s="880">
        <v>2925.36</v>
      </c>
    </row>
    <row r="8741" spans="1:2" ht="16.149999999999999" customHeight="1">
      <c r="A8741" s="877">
        <v>42301</v>
      </c>
      <c r="B8741" s="878">
        <v>2912.08</v>
      </c>
    </row>
    <row r="8742" spans="1:2" ht="16.149999999999999" customHeight="1">
      <c r="A8742" s="877">
        <v>42302</v>
      </c>
      <c r="B8742" s="880">
        <v>2912.08</v>
      </c>
    </row>
    <row r="8743" spans="1:2" ht="16.149999999999999" customHeight="1">
      <c r="A8743" s="877">
        <v>42303</v>
      </c>
      <c r="B8743" s="878">
        <v>2912.08</v>
      </c>
    </row>
    <row r="8744" spans="1:2" ht="16.149999999999999" customHeight="1">
      <c r="A8744" s="877">
        <v>42304</v>
      </c>
      <c r="B8744" s="880">
        <v>2918.21</v>
      </c>
    </row>
    <row r="8745" spans="1:2" ht="16.149999999999999" customHeight="1">
      <c r="A8745" s="877">
        <v>42305</v>
      </c>
      <c r="B8745" s="878">
        <v>2950.87</v>
      </c>
    </row>
    <row r="8746" spans="1:2" ht="16.149999999999999" customHeight="1">
      <c r="A8746" s="877">
        <v>42306</v>
      </c>
      <c r="B8746" s="880">
        <v>2926.75</v>
      </c>
    </row>
    <row r="8747" spans="1:2" ht="16.149999999999999" customHeight="1">
      <c r="A8747" s="877">
        <v>42307</v>
      </c>
      <c r="B8747" s="878">
        <v>2921.32</v>
      </c>
    </row>
    <row r="8748" spans="1:2" ht="16.149999999999999" customHeight="1">
      <c r="A8748" s="877">
        <v>42308</v>
      </c>
      <c r="B8748" s="880">
        <v>2897.83</v>
      </c>
    </row>
    <row r="8749" spans="1:2" ht="16.149999999999999" customHeight="1">
      <c r="A8749" s="877">
        <v>42309</v>
      </c>
      <c r="B8749" s="878">
        <v>2897.83</v>
      </c>
    </row>
    <row r="8750" spans="1:2" ht="16.149999999999999" customHeight="1">
      <c r="A8750" s="877">
        <v>42310</v>
      </c>
      <c r="B8750" s="880">
        <v>2897.83</v>
      </c>
    </row>
    <row r="8751" spans="1:2" ht="16.149999999999999" customHeight="1">
      <c r="A8751" s="877">
        <v>42311</v>
      </c>
      <c r="B8751" s="878">
        <v>2897.83</v>
      </c>
    </row>
    <row r="8752" spans="1:2" ht="16.149999999999999" customHeight="1">
      <c r="A8752" s="877">
        <v>42312</v>
      </c>
      <c r="B8752" s="880">
        <v>2825.25</v>
      </c>
    </row>
    <row r="8753" spans="1:2" ht="16.149999999999999" customHeight="1">
      <c r="A8753" s="877">
        <v>42313</v>
      </c>
      <c r="B8753" s="878">
        <v>2819.63</v>
      </c>
    </row>
    <row r="8754" spans="1:2" ht="16.149999999999999" customHeight="1">
      <c r="A8754" s="877">
        <v>42314</v>
      </c>
      <c r="B8754" s="880">
        <v>2853.32</v>
      </c>
    </row>
    <row r="8755" spans="1:2" ht="16.149999999999999" customHeight="1">
      <c r="A8755" s="877">
        <v>42315</v>
      </c>
      <c r="B8755" s="878">
        <v>2896.19</v>
      </c>
    </row>
    <row r="8756" spans="1:2" ht="16.149999999999999" customHeight="1">
      <c r="A8756" s="877">
        <v>42316</v>
      </c>
      <c r="B8756" s="880">
        <v>2896.19</v>
      </c>
    </row>
    <row r="8757" spans="1:2" ht="16.149999999999999" customHeight="1">
      <c r="A8757" s="877">
        <v>42317</v>
      </c>
      <c r="B8757" s="878">
        <v>2896.19</v>
      </c>
    </row>
    <row r="8758" spans="1:2" ht="16.149999999999999" customHeight="1">
      <c r="A8758" s="877">
        <v>42318</v>
      </c>
      <c r="B8758" s="880">
        <v>2921.15</v>
      </c>
    </row>
    <row r="8759" spans="1:2" ht="16.149999999999999" customHeight="1">
      <c r="A8759" s="877">
        <v>42319</v>
      </c>
      <c r="B8759" s="878">
        <v>2935.86</v>
      </c>
    </row>
    <row r="8760" spans="1:2" ht="16.149999999999999" customHeight="1">
      <c r="A8760" s="877">
        <v>42320</v>
      </c>
      <c r="B8760" s="880">
        <v>2935.86</v>
      </c>
    </row>
    <row r="8761" spans="1:2" ht="16.149999999999999" customHeight="1">
      <c r="A8761" s="877">
        <v>42321</v>
      </c>
      <c r="B8761" s="878">
        <v>3009.36</v>
      </c>
    </row>
    <row r="8762" spans="1:2" ht="16.149999999999999" customHeight="1">
      <c r="A8762" s="877">
        <v>42322</v>
      </c>
      <c r="B8762" s="880">
        <v>3073.23</v>
      </c>
    </row>
    <row r="8763" spans="1:2" ht="16.149999999999999" customHeight="1">
      <c r="A8763" s="877">
        <v>42323</v>
      </c>
      <c r="B8763" s="878">
        <v>3073.23</v>
      </c>
    </row>
    <row r="8764" spans="1:2" ht="16.149999999999999" customHeight="1">
      <c r="A8764" s="877">
        <v>42324</v>
      </c>
      <c r="B8764" s="880">
        <v>3073.23</v>
      </c>
    </row>
    <row r="8765" spans="1:2" ht="16.149999999999999" customHeight="1">
      <c r="A8765" s="877">
        <v>42325</v>
      </c>
      <c r="B8765" s="878">
        <v>3073.23</v>
      </c>
    </row>
    <row r="8766" spans="1:2" ht="16.149999999999999" customHeight="1">
      <c r="A8766" s="877">
        <v>42326</v>
      </c>
      <c r="B8766" s="880">
        <v>3069.24</v>
      </c>
    </row>
    <row r="8767" spans="1:2" ht="16.149999999999999" customHeight="1">
      <c r="A8767" s="877">
        <v>42327</v>
      </c>
      <c r="B8767" s="878">
        <v>3108.7</v>
      </c>
    </row>
    <row r="8768" spans="1:2" ht="16.149999999999999" customHeight="1">
      <c r="A8768" s="877">
        <v>42328</v>
      </c>
      <c r="B8768" s="880">
        <v>3082.04</v>
      </c>
    </row>
    <row r="8769" spans="1:2" ht="16.149999999999999" customHeight="1">
      <c r="A8769" s="877">
        <v>42329</v>
      </c>
      <c r="B8769" s="878">
        <v>3047.31</v>
      </c>
    </row>
    <row r="8770" spans="1:2" ht="16.149999999999999" customHeight="1">
      <c r="A8770" s="877">
        <v>42330</v>
      </c>
      <c r="B8770" s="880">
        <v>3047.31</v>
      </c>
    </row>
    <row r="8771" spans="1:2" ht="16.149999999999999" customHeight="1">
      <c r="A8771" s="877">
        <v>42331</v>
      </c>
      <c r="B8771" s="878">
        <v>3047.31</v>
      </c>
    </row>
    <row r="8772" spans="1:2" ht="16.149999999999999" customHeight="1">
      <c r="A8772" s="877">
        <v>42332</v>
      </c>
      <c r="B8772" s="880">
        <v>3086.82</v>
      </c>
    </row>
    <row r="8773" spans="1:2" ht="16.149999999999999" customHeight="1">
      <c r="A8773" s="877">
        <v>42333</v>
      </c>
      <c r="B8773" s="878">
        <v>3074.35</v>
      </c>
    </row>
    <row r="8774" spans="1:2" ht="16.149999999999999" customHeight="1">
      <c r="A8774" s="877">
        <v>42334</v>
      </c>
      <c r="B8774" s="880">
        <v>3099.75</v>
      </c>
    </row>
    <row r="8775" spans="1:2" ht="16.149999999999999" customHeight="1">
      <c r="A8775" s="877">
        <v>42335</v>
      </c>
      <c r="B8775" s="878">
        <v>3099.75</v>
      </c>
    </row>
    <row r="8776" spans="1:2" ht="16.149999999999999" customHeight="1">
      <c r="A8776" s="877">
        <v>42336</v>
      </c>
      <c r="B8776" s="880">
        <v>3101.1</v>
      </c>
    </row>
    <row r="8777" spans="1:2" ht="16.149999999999999" customHeight="1">
      <c r="A8777" s="877">
        <v>42337</v>
      </c>
      <c r="B8777" s="878">
        <v>3101.1</v>
      </c>
    </row>
    <row r="8778" spans="1:2" ht="16.149999999999999" customHeight="1">
      <c r="A8778" s="877">
        <v>42338</v>
      </c>
      <c r="B8778" s="880">
        <v>3101.1</v>
      </c>
    </row>
    <row r="8779" spans="1:2" ht="16.149999999999999" customHeight="1">
      <c r="A8779" s="877">
        <v>42339</v>
      </c>
      <c r="B8779" s="878">
        <v>3142.11</v>
      </c>
    </row>
    <row r="8780" spans="1:2" ht="16.149999999999999" customHeight="1">
      <c r="A8780" s="877">
        <v>42340</v>
      </c>
      <c r="B8780" s="880">
        <v>3131.95</v>
      </c>
    </row>
    <row r="8781" spans="1:2" ht="16.149999999999999" customHeight="1">
      <c r="A8781" s="877">
        <v>42341</v>
      </c>
      <c r="B8781" s="878">
        <v>3166.67</v>
      </c>
    </row>
    <row r="8782" spans="1:2" ht="16.149999999999999" customHeight="1">
      <c r="A8782" s="877">
        <v>42342</v>
      </c>
      <c r="B8782" s="880">
        <v>3149.12</v>
      </c>
    </row>
    <row r="8783" spans="1:2" ht="16.149999999999999" customHeight="1">
      <c r="A8783" s="877">
        <v>42343</v>
      </c>
      <c r="B8783" s="878">
        <v>3179.22</v>
      </c>
    </row>
    <row r="8784" spans="1:2" ht="16.149999999999999" customHeight="1">
      <c r="A8784" s="877">
        <v>42344</v>
      </c>
      <c r="B8784" s="880">
        <v>3179.22</v>
      </c>
    </row>
    <row r="8785" spans="1:2" ht="16.149999999999999" customHeight="1">
      <c r="A8785" s="877">
        <v>42345</v>
      </c>
      <c r="B8785" s="878">
        <v>3179.22</v>
      </c>
    </row>
    <row r="8786" spans="1:2" ht="16.149999999999999" customHeight="1">
      <c r="A8786" s="877">
        <v>42346</v>
      </c>
      <c r="B8786" s="880">
        <v>3287.03</v>
      </c>
    </row>
    <row r="8787" spans="1:2" ht="16.149999999999999" customHeight="1">
      <c r="A8787" s="877">
        <v>42347</v>
      </c>
      <c r="B8787" s="878">
        <v>3287.03</v>
      </c>
    </row>
    <row r="8788" spans="1:2" ht="16.149999999999999" customHeight="1">
      <c r="A8788" s="877">
        <v>42348</v>
      </c>
      <c r="B8788" s="880">
        <v>3294.02</v>
      </c>
    </row>
    <row r="8789" spans="1:2" ht="16.149999999999999" customHeight="1">
      <c r="A8789" s="877">
        <v>42349</v>
      </c>
      <c r="B8789" s="878">
        <v>3259.56</v>
      </c>
    </row>
    <row r="8790" spans="1:2" ht="16.149999999999999" customHeight="1">
      <c r="A8790" s="877">
        <v>42350</v>
      </c>
      <c r="B8790" s="880">
        <v>3299.36</v>
      </c>
    </row>
    <row r="8791" spans="1:2" ht="16.149999999999999" customHeight="1">
      <c r="A8791" s="877">
        <v>42351</v>
      </c>
      <c r="B8791" s="878">
        <v>3299.36</v>
      </c>
    </row>
    <row r="8792" spans="1:2" ht="16.149999999999999" customHeight="1">
      <c r="A8792" s="877">
        <v>42352</v>
      </c>
      <c r="B8792" s="880">
        <v>3299.36</v>
      </c>
    </row>
    <row r="8793" spans="1:2" ht="16.149999999999999" customHeight="1">
      <c r="A8793" s="877">
        <v>42353</v>
      </c>
      <c r="B8793" s="878">
        <v>3356</v>
      </c>
    </row>
    <row r="8794" spans="1:2" ht="16.149999999999999" customHeight="1">
      <c r="A8794" s="877">
        <v>42354</v>
      </c>
      <c r="B8794" s="880">
        <v>3328.08</v>
      </c>
    </row>
    <row r="8795" spans="1:2" ht="16.149999999999999" customHeight="1">
      <c r="A8795" s="877">
        <v>42355</v>
      </c>
      <c r="B8795" s="878">
        <v>3317.72</v>
      </c>
    </row>
    <row r="8796" spans="1:2" ht="16.149999999999999" customHeight="1">
      <c r="A8796" s="877">
        <v>42356</v>
      </c>
      <c r="B8796" s="880">
        <v>3333.37</v>
      </c>
    </row>
    <row r="8797" spans="1:2" ht="16.149999999999999" customHeight="1">
      <c r="A8797" s="877">
        <v>42357</v>
      </c>
      <c r="B8797" s="878">
        <v>3337.68</v>
      </c>
    </row>
    <row r="8798" spans="1:2" ht="16.149999999999999" customHeight="1">
      <c r="A8798" s="877">
        <v>42358</v>
      </c>
      <c r="B8798" s="880">
        <v>3337.68</v>
      </c>
    </row>
    <row r="8799" spans="1:2" ht="16.149999999999999" customHeight="1">
      <c r="A8799" s="877">
        <v>42359</v>
      </c>
      <c r="B8799" s="878">
        <v>3337.68</v>
      </c>
    </row>
    <row r="8800" spans="1:2" ht="16.149999999999999" customHeight="1">
      <c r="A8800" s="877">
        <v>42360</v>
      </c>
      <c r="B8800" s="880">
        <v>3332.7</v>
      </c>
    </row>
    <row r="8801" spans="1:2" ht="16.149999999999999" customHeight="1">
      <c r="A8801" s="877">
        <v>42361</v>
      </c>
      <c r="B8801" s="878">
        <v>3307.24</v>
      </c>
    </row>
    <row r="8802" spans="1:2" ht="16.149999999999999" customHeight="1">
      <c r="A8802" s="877">
        <v>42362</v>
      </c>
      <c r="B8802" s="880">
        <v>3255.19</v>
      </c>
    </row>
    <row r="8803" spans="1:2" ht="16.149999999999999" customHeight="1">
      <c r="A8803" s="877">
        <v>42363</v>
      </c>
      <c r="B8803" s="878">
        <v>3172.03</v>
      </c>
    </row>
    <row r="8804" spans="1:2" ht="16.149999999999999" customHeight="1">
      <c r="A8804" s="877">
        <v>42364</v>
      </c>
      <c r="B8804" s="880">
        <v>3172.03</v>
      </c>
    </row>
    <row r="8805" spans="1:2" ht="16.149999999999999" customHeight="1">
      <c r="A8805" s="877">
        <v>42365</v>
      </c>
      <c r="B8805" s="878">
        <v>3172.03</v>
      </c>
    </row>
    <row r="8806" spans="1:2" ht="16.149999999999999" customHeight="1">
      <c r="A8806" s="877">
        <v>42366</v>
      </c>
      <c r="B8806" s="880">
        <v>3172.03</v>
      </c>
    </row>
    <row r="8807" spans="1:2" ht="16.149999999999999" customHeight="1">
      <c r="A8807" s="877">
        <v>42367</v>
      </c>
      <c r="B8807" s="878">
        <v>3180.87</v>
      </c>
    </row>
    <row r="8808" spans="1:2" ht="16.149999999999999" customHeight="1">
      <c r="A8808" s="877">
        <v>42368</v>
      </c>
      <c r="B8808" s="880">
        <v>3155.22</v>
      </c>
    </row>
    <row r="8809" spans="1:2" ht="16.149999999999999" customHeight="1">
      <c r="A8809" s="877">
        <v>42369</v>
      </c>
      <c r="B8809" s="878">
        <v>3149.47</v>
      </c>
    </row>
    <row r="8810" spans="1:2" ht="16.149999999999999" customHeight="1">
      <c r="A8810" s="877">
        <v>42370</v>
      </c>
      <c r="B8810" s="880">
        <v>3149.47</v>
      </c>
    </row>
    <row r="8811" spans="1:2" ht="16.149999999999999" customHeight="1">
      <c r="A8811" s="877">
        <v>42371</v>
      </c>
      <c r="B8811" s="878">
        <v>3149.47</v>
      </c>
    </row>
    <row r="8812" spans="1:2" ht="16.149999999999999" customHeight="1">
      <c r="A8812" s="877">
        <v>42372</v>
      </c>
      <c r="B8812" s="880">
        <v>3149.47</v>
      </c>
    </row>
    <row r="8813" spans="1:2" ht="16.149999999999999" customHeight="1">
      <c r="A8813" s="877">
        <v>42373</v>
      </c>
      <c r="B8813" s="878">
        <v>3149.47</v>
      </c>
    </row>
    <row r="8814" spans="1:2" ht="16.149999999999999" customHeight="1">
      <c r="A8814" s="877">
        <v>42374</v>
      </c>
      <c r="B8814" s="880">
        <v>3213.24</v>
      </c>
    </row>
    <row r="8815" spans="1:2" ht="16.149999999999999" customHeight="1">
      <c r="A8815" s="877">
        <v>42375</v>
      </c>
      <c r="B8815" s="878">
        <v>3203.86</v>
      </c>
    </row>
    <row r="8816" spans="1:2" ht="16.149999999999999" customHeight="1">
      <c r="A8816" s="877">
        <v>42376</v>
      </c>
      <c r="B8816" s="880">
        <v>3250.69</v>
      </c>
    </row>
    <row r="8817" spans="1:2" ht="16.149999999999999" customHeight="1">
      <c r="A8817" s="877">
        <v>42377</v>
      </c>
      <c r="B8817" s="878">
        <v>3287.28</v>
      </c>
    </row>
    <row r="8818" spans="1:2" ht="16.149999999999999" customHeight="1">
      <c r="A8818" s="877">
        <v>42378</v>
      </c>
      <c r="B8818" s="880">
        <v>3268.37</v>
      </c>
    </row>
    <row r="8819" spans="1:2" ht="16.149999999999999" customHeight="1">
      <c r="A8819" s="877">
        <v>42379</v>
      </c>
      <c r="B8819" s="878">
        <v>3268.37</v>
      </c>
    </row>
    <row r="8820" spans="1:2" ht="16.149999999999999" customHeight="1">
      <c r="A8820" s="877">
        <v>42380</v>
      </c>
      <c r="B8820" s="880">
        <v>3268.37</v>
      </c>
    </row>
    <row r="8821" spans="1:2" ht="16.149999999999999" customHeight="1">
      <c r="A8821" s="877">
        <v>42381</v>
      </c>
      <c r="B8821" s="878">
        <v>3268.37</v>
      </c>
    </row>
    <row r="8822" spans="1:2" ht="16.149999999999999" customHeight="1">
      <c r="A8822" s="877">
        <v>42382</v>
      </c>
      <c r="B8822" s="880">
        <v>3246.51</v>
      </c>
    </row>
    <row r="8823" spans="1:2" ht="16.149999999999999" customHeight="1">
      <c r="A8823" s="877">
        <v>42383</v>
      </c>
      <c r="B8823" s="878">
        <v>3235.45</v>
      </c>
    </row>
    <row r="8824" spans="1:2" ht="16.149999999999999" customHeight="1">
      <c r="A8824" s="877">
        <v>42384</v>
      </c>
      <c r="B8824" s="880">
        <v>3240.71</v>
      </c>
    </row>
    <row r="8825" spans="1:2" ht="16.149999999999999" customHeight="1">
      <c r="A8825" s="877">
        <v>42385</v>
      </c>
      <c r="B8825" s="878">
        <v>3293.94</v>
      </c>
    </row>
    <row r="8826" spans="1:2" ht="16.149999999999999" customHeight="1">
      <c r="A8826" s="877">
        <v>42386</v>
      </c>
      <c r="B8826" s="880">
        <v>3293.94</v>
      </c>
    </row>
    <row r="8827" spans="1:2" ht="16.149999999999999" customHeight="1">
      <c r="A8827" s="877">
        <v>42387</v>
      </c>
      <c r="B8827" s="878">
        <v>3293.94</v>
      </c>
    </row>
    <row r="8828" spans="1:2" ht="16.149999999999999" customHeight="1">
      <c r="A8828" s="877">
        <v>42388</v>
      </c>
      <c r="B8828" s="880">
        <v>3293.94</v>
      </c>
    </row>
    <row r="8829" spans="1:2" ht="16.149999999999999" customHeight="1">
      <c r="A8829" s="877">
        <v>42389</v>
      </c>
      <c r="B8829" s="878">
        <v>3297.46</v>
      </c>
    </row>
    <row r="8830" spans="1:2" ht="16.149999999999999" customHeight="1">
      <c r="A8830" s="877">
        <v>42390</v>
      </c>
      <c r="B8830" s="880">
        <v>3357.67</v>
      </c>
    </row>
    <row r="8831" spans="1:2" ht="16.149999999999999" customHeight="1">
      <c r="A8831" s="877">
        <v>42391</v>
      </c>
      <c r="B8831" s="878">
        <v>3368.49</v>
      </c>
    </row>
    <row r="8832" spans="1:2" ht="16.149999999999999" customHeight="1">
      <c r="A8832" s="877">
        <v>42392</v>
      </c>
      <c r="B8832" s="880">
        <v>3281.74</v>
      </c>
    </row>
    <row r="8833" spans="1:2" ht="16.149999999999999" customHeight="1">
      <c r="A8833" s="877">
        <v>42393</v>
      </c>
      <c r="B8833" s="878">
        <v>3281.74</v>
      </c>
    </row>
    <row r="8834" spans="1:2" ht="16.149999999999999" customHeight="1">
      <c r="A8834" s="877">
        <v>42394</v>
      </c>
      <c r="B8834" s="880">
        <v>3281.74</v>
      </c>
    </row>
    <row r="8835" spans="1:2" ht="16.149999999999999" customHeight="1">
      <c r="A8835" s="877">
        <v>42395</v>
      </c>
      <c r="B8835" s="878">
        <v>3362.38</v>
      </c>
    </row>
    <row r="8836" spans="1:2" ht="16.149999999999999" customHeight="1">
      <c r="A8836" s="877">
        <v>42396</v>
      </c>
      <c r="B8836" s="880">
        <v>3375.8</v>
      </c>
    </row>
    <row r="8837" spans="1:2" ht="16.149999999999999" customHeight="1">
      <c r="A8837" s="877">
        <v>42397</v>
      </c>
      <c r="B8837" s="878">
        <v>3366.63</v>
      </c>
    </row>
    <row r="8838" spans="1:2" ht="16.149999999999999" customHeight="1">
      <c r="A8838" s="877">
        <v>42398</v>
      </c>
      <c r="B8838" s="880">
        <v>3302.92</v>
      </c>
    </row>
    <row r="8839" spans="1:2" ht="16.149999999999999" customHeight="1">
      <c r="A8839" s="877">
        <v>42399</v>
      </c>
      <c r="B8839" s="878">
        <v>3287.31</v>
      </c>
    </row>
    <row r="8840" spans="1:2" ht="16.149999999999999" customHeight="1">
      <c r="A8840" s="877">
        <v>42400</v>
      </c>
      <c r="B8840" s="880">
        <v>3287.31</v>
      </c>
    </row>
    <row r="8841" spans="1:2" ht="16.149999999999999" customHeight="1">
      <c r="A8841" s="877">
        <v>42401</v>
      </c>
      <c r="B8841" s="878">
        <v>3287.31</v>
      </c>
    </row>
    <row r="8842" spans="1:2" ht="16.149999999999999" customHeight="1">
      <c r="A8842" s="877">
        <v>42402</v>
      </c>
      <c r="B8842" s="880">
        <v>3326.82</v>
      </c>
    </row>
    <row r="8843" spans="1:2" ht="16.149999999999999" customHeight="1">
      <c r="A8843" s="877">
        <v>42403</v>
      </c>
      <c r="B8843" s="878">
        <v>3387.69</v>
      </c>
    </row>
    <row r="8844" spans="1:2" ht="16.149999999999999" customHeight="1">
      <c r="A8844" s="877">
        <v>42404</v>
      </c>
      <c r="B8844" s="880">
        <v>3382.2</v>
      </c>
    </row>
    <row r="8845" spans="1:2" ht="16.149999999999999" customHeight="1">
      <c r="A8845" s="877">
        <v>42405</v>
      </c>
      <c r="B8845" s="878">
        <v>3315.75</v>
      </c>
    </row>
    <row r="8846" spans="1:2" ht="16.149999999999999" customHeight="1">
      <c r="A8846" s="877">
        <v>42406</v>
      </c>
      <c r="B8846" s="880">
        <v>3320.49</v>
      </c>
    </row>
    <row r="8847" spans="1:2" ht="16.149999999999999" customHeight="1">
      <c r="A8847" s="877">
        <v>42407</v>
      </c>
      <c r="B8847" s="878">
        <v>3320.49</v>
      </c>
    </row>
    <row r="8848" spans="1:2" ht="16.149999999999999" customHeight="1">
      <c r="A8848" s="877">
        <v>42408</v>
      </c>
      <c r="B8848" s="880">
        <v>3320.49</v>
      </c>
    </row>
    <row r="8849" spans="1:2" ht="16.149999999999999" customHeight="1">
      <c r="A8849" s="877">
        <v>42409</v>
      </c>
      <c r="B8849" s="878">
        <v>3367.02</v>
      </c>
    </row>
    <row r="8850" spans="1:2" ht="16.149999999999999" customHeight="1">
      <c r="A8850" s="877">
        <v>42410</v>
      </c>
      <c r="B8850" s="880">
        <v>3391.93</v>
      </c>
    </row>
    <row r="8851" spans="1:2" ht="16.149999999999999" customHeight="1">
      <c r="A8851" s="877">
        <v>42411</v>
      </c>
      <c r="B8851" s="878">
        <v>3385.65</v>
      </c>
    </row>
    <row r="8852" spans="1:2" ht="16.149999999999999" customHeight="1">
      <c r="A8852" s="877">
        <v>42412</v>
      </c>
      <c r="B8852" s="880">
        <v>3434.89</v>
      </c>
    </row>
    <row r="8853" spans="1:2" ht="16.149999999999999" customHeight="1">
      <c r="A8853" s="877">
        <v>42413</v>
      </c>
      <c r="B8853" s="878">
        <v>3409.82</v>
      </c>
    </row>
    <row r="8854" spans="1:2" ht="16.149999999999999" customHeight="1">
      <c r="A8854" s="877">
        <v>42414</v>
      </c>
      <c r="B8854" s="880">
        <v>3409.82</v>
      </c>
    </row>
    <row r="8855" spans="1:2" ht="16.149999999999999" customHeight="1">
      <c r="A8855" s="877">
        <v>42415</v>
      </c>
      <c r="B8855" s="878">
        <v>3409.82</v>
      </c>
    </row>
    <row r="8856" spans="1:2" ht="16.149999999999999" customHeight="1">
      <c r="A8856" s="877">
        <v>42416</v>
      </c>
      <c r="B8856" s="880">
        <v>3409.82</v>
      </c>
    </row>
    <row r="8857" spans="1:2" ht="16.149999999999999" customHeight="1">
      <c r="A8857" s="877">
        <v>42417</v>
      </c>
      <c r="B8857" s="878">
        <v>3406.87</v>
      </c>
    </row>
    <row r="8858" spans="1:2" ht="16.149999999999999" customHeight="1">
      <c r="A8858" s="877">
        <v>42418</v>
      </c>
      <c r="B8858" s="880">
        <v>3391.87</v>
      </c>
    </row>
    <row r="8859" spans="1:2" ht="16.149999999999999" customHeight="1">
      <c r="A8859" s="877">
        <v>42419</v>
      </c>
      <c r="B8859" s="878">
        <v>3338.03</v>
      </c>
    </row>
    <row r="8860" spans="1:2" ht="16.149999999999999" customHeight="1">
      <c r="A8860" s="877">
        <v>42420</v>
      </c>
      <c r="B8860" s="880">
        <v>3356.78</v>
      </c>
    </row>
    <row r="8861" spans="1:2" ht="16.149999999999999" customHeight="1">
      <c r="A8861" s="877">
        <v>42421</v>
      </c>
      <c r="B8861" s="878">
        <v>3356.78</v>
      </c>
    </row>
    <row r="8862" spans="1:2" ht="16.149999999999999" customHeight="1">
      <c r="A8862" s="877">
        <v>42422</v>
      </c>
      <c r="B8862" s="880">
        <v>3356.78</v>
      </c>
    </row>
    <row r="8863" spans="1:2" ht="16.149999999999999" customHeight="1">
      <c r="A8863" s="877">
        <v>42423</v>
      </c>
      <c r="B8863" s="878">
        <v>3314.24</v>
      </c>
    </row>
    <row r="8864" spans="1:2" ht="16.149999999999999" customHeight="1">
      <c r="A8864" s="877">
        <v>42424</v>
      </c>
      <c r="B8864" s="880">
        <v>3322.54</v>
      </c>
    </row>
    <row r="8865" spans="1:2" ht="16.149999999999999" customHeight="1">
      <c r="A8865" s="877">
        <v>42425</v>
      </c>
      <c r="B8865" s="878">
        <v>3341.69</v>
      </c>
    </row>
    <row r="8866" spans="1:2" ht="16.149999999999999" customHeight="1">
      <c r="A8866" s="877">
        <v>42426</v>
      </c>
      <c r="B8866" s="880">
        <v>3310.16</v>
      </c>
    </row>
    <row r="8867" spans="1:2" ht="16.149999999999999" customHeight="1">
      <c r="A8867" s="877">
        <v>42427</v>
      </c>
      <c r="B8867" s="878">
        <v>3306</v>
      </c>
    </row>
    <row r="8868" spans="1:2" ht="16.149999999999999" customHeight="1">
      <c r="A8868" s="877">
        <v>42428</v>
      </c>
      <c r="B8868" s="880">
        <v>3306</v>
      </c>
    </row>
    <row r="8869" spans="1:2" ht="16.149999999999999" customHeight="1">
      <c r="A8869" s="877">
        <v>42429</v>
      </c>
      <c r="B8869" s="878">
        <v>3306</v>
      </c>
    </row>
    <row r="8870" spans="1:2" ht="16.149999999999999" customHeight="1">
      <c r="A8870" s="877">
        <v>42430</v>
      </c>
      <c r="B8870" s="880">
        <v>3319.8</v>
      </c>
    </row>
    <row r="8871" spans="1:2" ht="16.149999999999999" customHeight="1">
      <c r="A8871" s="877">
        <v>42431</v>
      </c>
      <c r="B8871" s="878">
        <v>3268.86</v>
      </c>
    </row>
    <row r="8872" spans="1:2" ht="16.149999999999999" customHeight="1">
      <c r="A8872" s="877">
        <v>42432</v>
      </c>
      <c r="B8872" s="880">
        <v>3205.6</v>
      </c>
    </row>
    <row r="8873" spans="1:2" ht="16.149999999999999" customHeight="1">
      <c r="A8873" s="877">
        <v>42433</v>
      </c>
      <c r="B8873" s="878">
        <v>3203.03</v>
      </c>
    </row>
    <row r="8874" spans="1:2" ht="16.149999999999999" customHeight="1">
      <c r="A8874" s="877">
        <v>42434</v>
      </c>
      <c r="B8874" s="880">
        <v>3163.25</v>
      </c>
    </row>
    <row r="8875" spans="1:2" ht="16.149999999999999" customHeight="1">
      <c r="A8875" s="877">
        <v>42435</v>
      </c>
      <c r="B8875" s="878">
        <v>3163.25</v>
      </c>
    </row>
    <row r="8876" spans="1:2" ht="16.149999999999999" customHeight="1">
      <c r="A8876" s="877">
        <v>42436</v>
      </c>
      <c r="B8876" s="880">
        <v>3163.25</v>
      </c>
    </row>
    <row r="8877" spans="1:2" ht="16.149999999999999" customHeight="1">
      <c r="A8877" s="877">
        <v>42437</v>
      </c>
      <c r="B8877" s="878">
        <v>3135.28</v>
      </c>
    </row>
    <row r="8878" spans="1:2" ht="16.149999999999999" customHeight="1">
      <c r="A8878" s="877">
        <v>42438</v>
      </c>
      <c r="B8878" s="880">
        <v>3155.9</v>
      </c>
    </row>
    <row r="8879" spans="1:2" ht="16.149999999999999" customHeight="1">
      <c r="A8879" s="877">
        <v>42439</v>
      </c>
      <c r="B8879" s="878">
        <v>3192.49</v>
      </c>
    </row>
    <row r="8880" spans="1:2" ht="16.149999999999999" customHeight="1">
      <c r="A8880" s="877">
        <v>42440</v>
      </c>
      <c r="B8880" s="880">
        <v>3204.27</v>
      </c>
    </row>
    <row r="8881" spans="1:2" ht="16.149999999999999" customHeight="1">
      <c r="A8881" s="877">
        <v>42441</v>
      </c>
      <c r="B8881" s="878">
        <v>3164.12</v>
      </c>
    </row>
    <row r="8882" spans="1:2" ht="16.149999999999999" customHeight="1">
      <c r="A8882" s="877">
        <v>42442</v>
      </c>
      <c r="B8882" s="880">
        <v>3164.12</v>
      </c>
    </row>
    <row r="8883" spans="1:2" ht="16.149999999999999" customHeight="1">
      <c r="A8883" s="877">
        <v>42443</v>
      </c>
      <c r="B8883" s="878">
        <v>3164.12</v>
      </c>
    </row>
    <row r="8884" spans="1:2" ht="16.149999999999999" customHeight="1">
      <c r="A8884" s="877">
        <v>42444</v>
      </c>
      <c r="B8884" s="880">
        <v>3175.95</v>
      </c>
    </row>
    <row r="8885" spans="1:2" ht="16.149999999999999" customHeight="1">
      <c r="A8885" s="877">
        <v>42445</v>
      </c>
      <c r="B8885" s="878">
        <v>3175.88</v>
      </c>
    </row>
    <row r="8886" spans="1:2" ht="16.149999999999999" customHeight="1">
      <c r="A8886" s="877">
        <v>42446</v>
      </c>
      <c r="B8886" s="880">
        <v>3155.9</v>
      </c>
    </row>
    <row r="8887" spans="1:2" ht="16.149999999999999" customHeight="1">
      <c r="A8887" s="877">
        <v>42447</v>
      </c>
      <c r="B8887" s="878">
        <v>3087.39</v>
      </c>
    </row>
    <row r="8888" spans="1:2" ht="16.149999999999999" customHeight="1">
      <c r="A8888" s="877">
        <v>42448</v>
      </c>
      <c r="B8888" s="880">
        <v>3065.79</v>
      </c>
    </row>
    <row r="8889" spans="1:2" ht="16.149999999999999" customHeight="1">
      <c r="A8889" s="877">
        <v>42449</v>
      </c>
      <c r="B8889" s="878">
        <v>3065.79</v>
      </c>
    </row>
    <row r="8890" spans="1:2" ht="16.149999999999999" customHeight="1">
      <c r="A8890" s="877">
        <v>42450</v>
      </c>
      <c r="B8890" s="880">
        <v>3065.79</v>
      </c>
    </row>
    <row r="8891" spans="1:2" ht="16.149999999999999" customHeight="1">
      <c r="A8891" s="877">
        <v>42451</v>
      </c>
      <c r="B8891" s="878">
        <v>3065.79</v>
      </c>
    </row>
    <row r="8892" spans="1:2" ht="16.149999999999999" customHeight="1">
      <c r="A8892" s="877">
        <v>42452</v>
      </c>
      <c r="B8892" s="880">
        <v>3050.31</v>
      </c>
    </row>
    <row r="8893" spans="1:2" ht="16.149999999999999" customHeight="1">
      <c r="A8893" s="877">
        <v>42453</v>
      </c>
      <c r="B8893" s="878">
        <v>3058.8</v>
      </c>
    </row>
    <row r="8894" spans="1:2" ht="16.149999999999999" customHeight="1">
      <c r="A8894" s="877">
        <v>42454</v>
      </c>
      <c r="B8894" s="880">
        <v>3058.8</v>
      </c>
    </row>
    <row r="8895" spans="1:2" ht="16.149999999999999" customHeight="1">
      <c r="A8895" s="877">
        <v>42455</v>
      </c>
      <c r="B8895" s="878">
        <v>3058.8</v>
      </c>
    </row>
    <row r="8896" spans="1:2" ht="16.149999999999999" customHeight="1">
      <c r="A8896" s="877">
        <v>42456</v>
      </c>
      <c r="B8896" s="880">
        <v>3058.8</v>
      </c>
    </row>
    <row r="8897" spans="1:2" ht="16.149999999999999" customHeight="1">
      <c r="A8897" s="877">
        <v>42457</v>
      </c>
      <c r="B8897" s="878">
        <v>3058.8</v>
      </c>
    </row>
    <row r="8898" spans="1:2" ht="16.149999999999999" customHeight="1">
      <c r="A8898" s="877">
        <v>42458</v>
      </c>
      <c r="B8898" s="880">
        <v>3047.85</v>
      </c>
    </row>
    <row r="8899" spans="1:2" ht="16.149999999999999" customHeight="1">
      <c r="A8899" s="877">
        <v>42459</v>
      </c>
      <c r="B8899" s="878">
        <v>3052.33</v>
      </c>
    </row>
    <row r="8900" spans="1:2" ht="16.149999999999999" customHeight="1">
      <c r="A8900" s="877">
        <v>42460</v>
      </c>
      <c r="B8900" s="880">
        <v>3022.35</v>
      </c>
    </row>
    <row r="8901" spans="1:2" ht="16.149999999999999" customHeight="1">
      <c r="A8901" s="877">
        <v>42461</v>
      </c>
      <c r="B8901" s="878">
        <v>3000.63</v>
      </c>
    </row>
    <row r="8902" spans="1:2" ht="16.149999999999999" customHeight="1">
      <c r="A8902" s="877">
        <v>42462</v>
      </c>
      <c r="B8902" s="880">
        <v>3038.48</v>
      </c>
    </row>
    <row r="8903" spans="1:2" ht="16.149999999999999" customHeight="1">
      <c r="A8903" s="877">
        <v>42463</v>
      </c>
      <c r="B8903" s="878">
        <v>3038.48</v>
      </c>
    </row>
    <row r="8904" spans="1:2" ht="16.149999999999999" customHeight="1">
      <c r="A8904" s="877">
        <v>42464</v>
      </c>
      <c r="B8904" s="880">
        <v>3038.48</v>
      </c>
    </row>
    <row r="8905" spans="1:2" ht="16.149999999999999" customHeight="1">
      <c r="A8905" s="877">
        <v>42465</v>
      </c>
      <c r="B8905" s="878">
        <v>3066.94</v>
      </c>
    </row>
    <row r="8906" spans="1:2" ht="16.149999999999999" customHeight="1">
      <c r="A8906" s="877">
        <v>42466</v>
      </c>
      <c r="B8906" s="880">
        <v>3085.82</v>
      </c>
    </row>
    <row r="8907" spans="1:2" ht="16.149999999999999" customHeight="1">
      <c r="A8907" s="877">
        <v>42467</v>
      </c>
      <c r="B8907" s="878">
        <v>3081.39</v>
      </c>
    </row>
    <row r="8908" spans="1:2" ht="16.149999999999999" customHeight="1">
      <c r="A8908" s="877">
        <v>42468</v>
      </c>
      <c r="B8908" s="880">
        <v>3109.6</v>
      </c>
    </row>
    <row r="8909" spans="1:2" ht="16.149999999999999" customHeight="1">
      <c r="A8909" s="877">
        <v>42469</v>
      </c>
      <c r="B8909" s="878">
        <v>3076.29</v>
      </c>
    </row>
    <row r="8910" spans="1:2" ht="16.149999999999999" customHeight="1">
      <c r="A8910" s="877">
        <v>42470</v>
      </c>
      <c r="B8910" s="880">
        <v>3076.29</v>
      </c>
    </row>
    <row r="8911" spans="1:2" ht="16.149999999999999" customHeight="1">
      <c r="A8911" s="877">
        <v>42471</v>
      </c>
      <c r="B8911" s="878">
        <v>3076.29</v>
      </c>
    </row>
    <row r="8912" spans="1:2" ht="16.7" customHeight="1">
      <c r="A8912" s="881">
        <v>42472</v>
      </c>
      <c r="B8912" s="882">
        <v>3057.96</v>
      </c>
    </row>
    <row r="8913" spans="1:4">
      <c r="A8913" s="874" t="s">
        <v>158</v>
      </c>
    </row>
    <row r="8914" spans="1:4">
      <c r="A8914" s="1580" t="s">
        <v>873</v>
      </c>
      <c r="B8914" s="1580"/>
      <c r="C8914" s="1580"/>
      <c r="D8914" s="1580"/>
    </row>
    <row r="8915" spans="1:4">
      <c r="A8915" s="1580" t="s">
        <v>158</v>
      </c>
      <c r="B8915" s="1580"/>
      <c r="C8915" s="1580"/>
      <c r="D8915" s="1580"/>
    </row>
    <row r="8916" spans="1:4">
      <c r="A8916" s="1580" t="s">
        <v>871</v>
      </c>
      <c r="B8916" s="1580"/>
      <c r="C8916" s="1580"/>
      <c r="D8916" s="1580"/>
    </row>
    <row r="8917" spans="1:4">
      <c r="A8917" s="874" t="s">
        <v>158</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08"/>
  <sheetViews>
    <sheetView showGridLines="0" topLeftCell="A506" workbookViewId="0">
      <selection activeCell="B802" sqref="B802"/>
    </sheetView>
  </sheetViews>
  <sheetFormatPr baseColWidth="10" defaultColWidth="8" defaultRowHeight="15"/>
  <cols>
    <col min="1" max="1" width="17.125" style="874" bestFit="1" customWidth="1"/>
    <col min="2" max="2" width="8.5" style="874" bestFit="1" customWidth="1"/>
    <col min="3" max="3" width="9.25" style="874" bestFit="1" customWidth="1"/>
    <col min="4" max="4" width="83.375" style="873" customWidth="1"/>
    <col min="5" max="16384" width="8" style="873"/>
  </cols>
  <sheetData>
    <row r="1" spans="1:4">
      <c r="A1" s="1581" t="s">
        <v>874</v>
      </c>
      <c r="B1" s="1581"/>
      <c r="C1" s="1581"/>
      <c r="D1" s="1581"/>
    </row>
    <row r="2" spans="1:4" ht="15.75" thickBot="1">
      <c r="A2" s="1582" t="s">
        <v>875</v>
      </c>
      <c r="B2" s="1582"/>
      <c r="C2" s="1582"/>
      <c r="D2" s="1582"/>
    </row>
    <row r="3" spans="1:4" ht="15.75" thickTop="1">
      <c r="A3" s="874" t="s">
        <v>158</v>
      </c>
    </row>
    <row r="4" spans="1:4">
      <c r="A4" s="1583" t="s">
        <v>876</v>
      </c>
      <c r="B4" s="1583"/>
      <c r="C4" s="1583"/>
      <c r="D4" s="1583"/>
    </row>
    <row r="5" spans="1:4">
      <c r="A5" s="1583" t="s">
        <v>158</v>
      </c>
      <c r="B5" s="1583"/>
      <c r="C5" s="1583"/>
      <c r="D5" s="1583"/>
    </row>
    <row r="6" spans="1:4">
      <c r="A6" s="1583" t="s">
        <v>877</v>
      </c>
      <c r="B6" s="1583"/>
      <c r="C6" s="1583"/>
      <c r="D6" s="1583"/>
    </row>
    <row r="7" spans="1:4">
      <c r="A7" s="874" t="s">
        <v>158</v>
      </c>
    </row>
    <row r="8" spans="1:4" ht="16.149999999999999" customHeight="1">
      <c r="A8" s="875" t="s">
        <v>878</v>
      </c>
      <c r="B8" s="875" t="s">
        <v>879</v>
      </c>
      <c r="C8" s="876" t="s">
        <v>880</v>
      </c>
    </row>
    <row r="9" spans="1:4" ht="16.149999999999999" customHeight="1">
      <c r="A9" s="883">
        <v>195001</v>
      </c>
      <c r="B9" s="884">
        <v>1.96</v>
      </c>
      <c r="C9" s="880">
        <v>1.96</v>
      </c>
    </row>
    <row r="10" spans="1:4" ht="16.149999999999999" customHeight="1">
      <c r="A10" s="885">
        <v>195002</v>
      </c>
      <c r="B10" s="886">
        <v>1.96</v>
      </c>
      <c r="C10" s="878">
        <v>1.96</v>
      </c>
    </row>
    <row r="11" spans="1:4" ht="16.149999999999999" customHeight="1">
      <c r="A11" s="883">
        <v>195003</v>
      </c>
      <c r="B11" s="884">
        <v>1.96</v>
      </c>
      <c r="C11" s="880">
        <v>1.96</v>
      </c>
    </row>
    <row r="12" spans="1:4" ht="16.149999999999999" customHeight="1">
      <c r="A12" s="885">
        <v>195004</v>
      </c>
      <c r="B12" s="886">
        <v>1.96</v>
      </c>
      <c r="C12" s="878">
        <v>1.96</v>
      </c>
    </row>
    <row r="13" spans="1:4" ht="16.149999999999999" customHeight="1">
      <c r="A13" s="883">
        <v>195005</v>
      </c>
      <c r="B13" s="884">
        <v>1.96</v>
      </c>
      <c r="C13" s="880">
        <v>1.96</v>
      </c>
    </row>
    <row r="14" spans="1:4" ht="16.149999999999999" customHeight="1">
      <c r="A14" s="885">
        <v>195006</v>
      </c>
      <c r="B14" s="886">
        <v>1.96</v>
      </c>
      <c r="C14" s="878">
        <v>1.96</v>
      </c>
    </row>
    <row r="15" spans="1:4" ht="16.149999999999999" customHeight="1">
      <c r="A15" s="883">
        <v>195007</v>
      </c>
      <c r="B15" s="884">
        <v>1.96</v>
      </c>
      <c r="C15" s="880">
        <v>1.96</v>
      </c>
    </row>
    <row r="16" spans="1:4" ht="16.149999999999999" customHeight="1">
      <c r="A16" s="885">
        <v>195008</v>
      </c>
      <c r="B16" s="886">
        <v>1.96</v>
      </c>
      <c r="C16" s="878">
        <v>1.96</v>
      </c>
    </row>
    <row r="17" spans="1:3" ht="16.149999999999999" customHeight="1">
      <c r="A17" s="883">
        <v>195009</v>
      </c>
      <c r="B17" s="884">
        <v>1.96</v>
      </c>
      <c r="C17" s="880">
        <v>1.96</v>
      </c>
    </row>
    <row r="18" spans="1:3" ht="16.149999999999999" customHeight="1">
      <c r="A18" s="885">
        <v>195010</v>
      </c>
      <c r="B18" s="886">
        <v>1.96</v>
      </c>
      <c r="C18" s="878">
        <v>1.96</v>
      </c>
    </row>
    <row r="19" spans="1:3" ht="16.149999999999999" customHeight="1">
      <c r="A19" s="883">
        <v>195011</v>
      </c>
      <c r="B19" s="884">
        <v>1.96</v>
      </c>
      <c r="C19" s="880">
        <v>1.96</v>
      </c>
    </row>
    <row r="20" spans="1:3" ht="16.149999999999999" customHeight="1">
      <c r="A20" s="885">
        <v>195012</v>
      </c>
      <c r="B20" s="886">
        <v>1.96</v>
      </c>
      <c r="C20" s="878">
        <v>1.96</v>
      </c>
    </row>
    <row r="21" spans="1:3" ht="16.149999999999999" customHeight="1">
      <c r="A21" s="883">
        <v>195101</v>
      </c>
      <c r="B21" s="884">
        <v>1.96</v>
      </c>
      <c r="C21" s="880">
        <v>1.96</v>
      </c>
    </row>
    <row r="22" spans="1:3" ht="16.149999999999999" customHeight="1">
      <c r="A22" s="885">
        <v>195102</v>
      </c>
      <c r="B22" s="886">
        <v>1.96</v>
      </c>
      <c r="C22" s="878">
        <v>1.96</v>
      </c>
    </row>
    <row r="23" spans="1:3" ht="16.149999999999999" customHeight="1">
      <c r="A23" s="883">
        <v>195103</v>
      </c>
      <c r="B23" s="884">
        <v>2.15</v>
      </c>
      <c r="C23" s="880">
        <v>2.15</v>
      </c>
    </row>
    <row r="24" spans="1:3" ht="16.149999999999999" customHeight="1">
      <c r="A24" s="885">
        <v>195104</v>
      </c>
      <c r="B24" s="886">
        <v>2.5099999999999998</v>
      </c>
      <c r="C24" s="878">
        <v>2.5099999999999998</v>
      </c>
    </row>
    <row r="25" spans="1:3" ht="16.149999999999999" customHeight="1">
      <c r="A25" s="883">
        <v>195105</v>
      </c>
      <c r="B25" s="884">
        <v>2.5099999999999998</v>
      </c>
      <c r="C25" s="880">
        <v>2.5099999999999998</v>
      </c>
    </row>
    <row r="26" spans="1:3" ht="16.149999999999999" customHeight="1">
      <c r="A26" s="885">
        <v>195106</v>
      </c>
      <c r="B26" s="886">
        <v>2.5099999999999998</v>
      </c>
      <c r="C26" s="878">
        <v>2.5099999999999998</v>
      </c>
    </row>
    <row r="27" spans="1:3" ht="16.149999999999999" customHeight="1">
      <c r="A27" s="883">
        <v>195107</v>
      </c>
      <c r="B27" s="884">
        <v>2.5099999999999998</v>
      </c>
      <c r="C27" s="880">
        <v>2.5099999999999998</v>
      </c>
    </row>
    <row r="28" spans="1:3" ht="16.149999999999999" customHeight="1">
      <c r="A28" s="885">
        <v>195108</v>
      </c>
      <c r="B28" s="886">
        <v>2.5099999999999998</v>
      </c>
      <c r="C28" s="878">
        <v>2.5099999999999998</v>
      </c>
    </row>
    <row r="29" spans="1:3" ht="16.149999999999999" customHeight="1">
      <c r="A29" s="883">
        <v>195109</v>
      </c>
      <c r="B29" s="884">
        <v>2.5099999999999998</v>
      </c>
      <c r="C29" s="880">
        <v>2.5099999999999998</v>
      </c>
    </row>
    <row r="30" spans="1:3" ht="16.149999999999999" customHeight="1">
      <c r="A30" s="885">
        <v>195110</v>
      </c>
      <c r="B30" s="886">
        <v>2.5099999999999998</v>
      </c>
      <c r="C30" s="878">
        <v>2.5099999999999998</v>
      </c>
    </row>
    <row r="31" spans="1:3" ht="16.149999999999999" customHeight="1">
      <c r="A31" s="883">
        <v>195111</v>
      </c>
      <c r="B31" s="884">
        <v>2.5099999999999998</v>
      </c>
      <c r="C31" s="880">
        <v>2.5099999999999998</v>
      </c>
    </row>
    <row r="32" spans="1:3" ht="16.149999999999999" customHeight="1">
      <c r="A32" s="885">
        <v>195112</v>
      </c>
      <c r="B32" s="886">
        <v>2.5099999999999998</v>
      </c>
      <c r="C32" s="878">
        <v>2.5099999999999998</v>
      </c>
    </row>
    <row r="33" spans="1:3" ht="16.149999999999999" customHeight="1">
      <c r="A33" s="883">
        <v>195201</v>
      </c>
      <c r="B33" s="884">
        <v>2.5099999999999998</v>
      </c>
      <c r="C33" s="880">
        <v>2.5099999999999998</v>
      </c>
    </row>
    <row r="34" spans="1:3" ht="16.149999999999999" customHeight="1">
      <c r="A34" s="885">
        <v>195202</v>
      </c>
      <c r="B34" s="886">
        <v>2.5099999999999998</v>
      </c>
      <c r="C34" s="878">
        <v>2.5099999999999998</v>
      </c>
    </row>
    <row r="35" spans="1:3" ht="16.149999999999999" customHeight="1">
      <c r="A35" s="883">
        <v>195203</v>
      </c>
      <c r="B35" s="884">
        <v>2.5099999999999998</v>
      </c>
      <c r="C35" s="880">
        <v>2.5099999999999998</v>
      </c>
    </row>
    <row r="36" spans="1:3" ht="16.149999999999999" customHeight="1">
      <c r="A36" s="885">
        <v>195204</v>
      </c>
      <c r="B36" s="886">
        <v>2.5099999999999998</v>
      </c>
      <c r="C36" s="878">
        <v>2.5099999999999998</v>
      </c>
    </row>
    <row r="37" spans="1:3" ht="16.149999999999999" customHeight="1">
      <c r="A37" s="883">
        <v>195205</v>
      </c>
      <c r="B37" s="884">
        <v>2.5099999999999998</v>
      </c>
      <c r="C37" s="880">
        <v>2.5099999999999998</v>
      </c>
    </row>
    <row r="38" spans="1:3" ht="16.149999999999999" customHeight="1">
      <c r="A38" s="885">
        <v>195206</v>
      </c>
      <c r="B38" s="886">
        <v>2.5099999999999998</v>
      </c>
      <c r="C38" s="878">
        <v>2.5099999999999998</v>
      </c>
    </row>
    <row r="39" spans="1:3" ht="16.149999999999999" customHeight="1">
      <c r="A39" s="883">
        <v>195207</v>
      </c>
      <c r="B39" s="884">
        <v>2.5099999999999998</v>
      </c>
      <c r="C39" s="880">
        <v>2.5099999999999998</v>
      </c>
    </row>
    <row r="40" spans="1:3" ht="16.149999999999999" customHeight="1">
      <c r="A40" s="885">
        <v>195208</v>
      </c>
      <c r="B40" s="886">
        <v>2.5099999999999998</v>
      </c>
      <c r="C40" s="878">
        <v>2.5099999999999998</v>
      </c>
    </row>
    <row r="41" spans="1:3" ht="16.149999999999999" customHeight="1">
      <c r="A41" s="883">
        <v>195209</v>
      </c>
      <c r="B41" s="884">
        <v>2.5099999999999998</v>
      </c>
      <c r="C41" s="880">
        <v>2.5099999999999998</v>
      </c>
    </row>
    <row r="42" spans="1:3" ht="16.149999999999999" customHeight="1">
      <c r="A42" s="885">
        <v>195210</v>
      </c>
      <c r="B42" s="886">
        <v>2.5099999999999998</v>
      </c>
      <c r="C42" s="878">
        <v>2.5099999999999998</v>
      </c>
    </row>
    <row r="43" spans="1:3" ht="16.149999999999999" customHeight="1">
      <c r="A43" s="883">
        <v>195211</v>
      </c>
      <c r="B43" s="884">
        <v>2.5099999999999998</v>
      </c>
      <c r="C43" s="880">
        <v>2.5099999999999998</v>
      </c>
    </row>
    <row r="44" spans="1:3" ht="16.149999999999999" customHeight="1">
      <c r="A44" s="885">
        <v>195212</v>
      </c>
      <c r="B44" s="886">
        <v>2.5099999999999998</v>
      </c>
      <c r="C44" s="878">
        <v>2.5099999999999998</v>
      </c>
    </row>
    <row r="45" spans="1:3" ht="16.149999999999999" customHeight="1">
      <c r="A45" s="883">
        <v>195301</v>
      </c>
      <c r="B45" s="884">
        <v>2.5099999999999998</v>
      </c>
      <c r="C45" s="880">
        <v>2.5099999999999998</v>
      </c>
    </row>
    <row r="46" spans="1:3" ht="16.149999999999999" customHeight="1">
      <c r="A46" s="885">
        <v>195302</v>
      </c>
      <c r="B46" s="886">
        <v>2.5099999999999998</v>
      </c>
      <c r="C46" s="878">
        <v>2.5099999999999998</v>
      </c>
    </row>
    <row r="47" spans="1:3" ht="16.149999999999999" customHeight="1">
      <c r="A47" s="883">
        <v>195303</v>
      </c>
      <c r="B47" s="884">
        <v>2.5099999999999998</v>
      </c>
      <c r="C47" s="880">
        <v>2.5099999999999998</v>
      </c>
    </row>
    <row r="48" spans="1:3" ht="16.149999999999999" customHeight="1">
      <c r="A48" s="885">
        <v>195304</v>
      </c>
      <c r="B48" s="886">
        <v>2.5099999999999998</v>
      </c>
      <c r="C48" s="878">
        <v>2.5099999999999998</v>
      </c>
    </row>
    <row r="49" spans="1:3" ht="16.149999999999999" customHeight="1">
      <c r="A49" s="883">
        <v>195305</v>
      </c>
      <c r="B49" s="884">
        <v>2.5099999999999998</v>
      </c>
      <c r="C49" s="880">
        <v>2.5099999999999998</v>
      </c>
    </row>
    <row r="50" spans="1:3" ht="16.149999999999999" customHeight="1">
      <c r="A50" s="885">
        <v>195306</v>
      </c>
      <c r="B50" s="886">
        <v>2.5099999999999998</v>
      </c>
      <c r="C50" s="878">
        <v>2.5099999999999998</v>
      </c>
    </row>
    <row r="51" spans="1:3" ht="16.149999999999999" customHeight="1">
      <c r="A51" s="883">
        <v>195307</v>
      </c>
      <c r="B51" s="884">
        <v>2.5099999999999998</v>
      </c>
      <c r="C51" s="880">
        <v>2.5099999999999998</v>
      </c>
    </row>
    <row r="52" spans="1:3" ht="16.149999999999999" customHeight="1">
      <c r="A52" s="885">
        <v>195308</v>
      </c>
      <c r="B52" s="886">
        <v>2.5099999999999998</v>
      </c>
      <c r="C52" s="878">
        <v>2.5099999999999998</v>
      </c>
    </row>
    <row r="53" spans="1:3" ht="16.149999999999999" customHeight="1">
      <c r="A53" s="883">
        <v>195309</v>
      </c>
      <c r="B53" s="884">
        <v>2.5099999999999998</v>
      </c>
      <c r="C53" s="880">
        <v>2.5099999999999998</v>
      </c>
    </row>
    <row r="54" spans="1:3" ht="16.149999999999999" customHeight="1">
      <c r="A54" s="885">
        <v>195310</v>
      </c>
      <c r="B54" s="886">
        <v>2.5099999999999998</v>
      </c>
      <c r="C54" s="878">
        <v>2.5099999999999998</v>
      </c>
    </row>
    <row r="55" spans="1:3" ht="16.149999999999999" customHeight="1">
      <c r="A55" s="883">
        <v>195311</v>
      </c>
      <c r="B55" s="884">
        <v>2.5099999999999998</v>
      </c>
      <c r="C55" s="880">
        <v>2.5099999999999998</v>
      </c>
    </row>
    <row r="56" spans="1:3" ht="16.149999999999999" customHeight="1">
      <c r="A56" s="885">
        <v>195312</v>
      </c>
      <c r="B56" s="886">
        <v>2.5099999999999998</v>
      </c>
      <c r="C56" s="878">
        <v>2.5099999999999998</v>
      </c>
    </row>
    <row r="57" spans="1:3" ht="16.149999999999999" customHeight="1">
      <c r="A57" s="883">
        <v>195401</v>
      </c>
      <c r="B57" s="884">
        <v>2.5099999999999998</v>
      </c>
      <c r="C57" s="880">
        <v>2.5099999999999998</v>
      </c>
    </row>
    <row r="58" spans="1:3" ht="16.149999999999999" customHeight="1">
      <c r="A58" s="885">
        <v>195402</v>
      </c>
      <c r="B58" s="886">
        <v>2.5099999999999998</v>
      </c>
      <c r="C58" s="878">
        <v>2.5099999999999998</v>
      </c>
    </row>
    <row r="59" spans="1:3" ht="16.149999999999999" customHeight="1">
      <c r="A59" s="883">
        <v>195403</v>
      </c>
      <c r="B59" s="884">
        <v>2.5099999999999998</v>
      </c>
      <c r="C59" s="880">
        <v>2.5099999999999998</v>
      </c>
    </row>
    <row r="60" spans="1:3" ht="16.149999999999999" customHeight="1">
      <c r="A60" s="885">
        <v>195404</v>
      </c>
      <c r="B60" s="886">
        <v>2.5099999999999998</v>
      </c>
      <c r="C60" s="878">
        <v>2.5099999999999998</v>
      </c>
    </row>
    <row r="61" spans="1:3" ht="16.149999999999999" customHeight="1">
      <c r="A61" s="883">
        <v>195405</v>
      </c>
      <c r="B61" s="884">
        <v>2.5099999999999998</v>
      </c>
      <c r="C61" s="880">
        <v>2.5099999999999998</v>
      </c>
    </row>
    <row r="62" spans="1:3" ht="16.149999999999999" customHeight="1">
      <c r="A62" s="885">
        <v>195406</v>
      </c>
      <c r="B62" s="886">
        <v>2.5099999999999998</v>
      </c>
      <c r="C62" s="878">
        <v>2.5099999999999998</v>
      </c>
    </row>
    <row r="63" spans="1:3" ht="16.149999999999999" customHeight="1">
      <c r="A63" s="883">
        <v>195407</v>
      </c>
      <c r="B63" s="884">
        <v>2.5099999999999998</v>
      </c>
      <c r="C63" s="880">
        <v>2.5099999999999998</v>
      </c>
    </row>
    <row r="64" spans="1:3" ht="16.149999999999999" customHeight="1">
      <c r="A64" s="885">
        <v>195408</v>
      </c>
      <c r="B64" s="886">
        <v>2.5099999999999998</v>
      </c>
      <c r="C64" s="878">
        <v>2.5099999999999998</v>
      </c>
    </row>
    <row r="65" spans="1:3" ht="16.149999999999999" customHeight="1">
      <c r="A65" s="883">
        <v>195409</v>
      </c>
      <c r="B65" s="884">
        <v>2.5099999999999998</v>
      </c>
      <c r="C65" s="880">
        <v>2.5099999999999998</v>
      </c>
    </row>
    <row r="66" spans="1:3" ht="16.149999999999999" customHeight="1">
      <c r="A66" s="885">
        <v>195410</v>
      </c>
      <c r="B66" s="886">
        <v>2.5099999999999998</v>
      </c>
      <c r="C66" s="878">
        <v>2.5099999999999998</v>
      </c>
    </row>
    <row r="67" spans="1:3" ht="16.149999999999999" customHeight="1">
      <c r="A67" s="883">
        <v>195411</v>
      </c>
      <c r="B67" s="884">
        <v>2.5099999999999998</v>
      </c>
      <c r="C67" s="880">
        <v>2.5099999999999998</v>
      </c>
    </row>
    <row r="68" spans="1:3" ht="16.149999999999999" customHeight="1">
      <c r="A68" s="885">
        <v>195412</v>
      </c>
      <c r="B68" s="886">
        <v>2.5099999999999998</v>
      </c>
      <c r="C68" s="878">
        <v>2.5099999999999998</v>
      </c>
    </row>
    <row r="69" spans="1:3" ht="16.149999999999999" customHeight="1">
      <c r="A69" s="883">
        <v>195501</v>
      </c>
      <c r="B69" s="884">
        <v>2.5099999999999998</v>
      </c>
      <c r="C69" s="880">
        <v>2.5099999999999998</v>
      </c>
    </row>
    <row r="70" spans="1:3" ht="16.149999999999999" customHeight="1">
      <c r="A70" s="885">
        <v>195502</v>
      </c>
      <c r="B70" s="886">
        <v>2.5099999999999998</v>
      </c>
      <c r="C70" s="878">
        <v>2.5099999999999998</v>
      </c>
    </row>
    <row r="71" spans="1:3" ht="16.149999999999999" customHeight="1">
      <c r="A71" s="883">
        <v>195503</v>
      </c>
      <c r="B71" s="884">
        <v>2.5099999999999998</v>
      </c>
      <c r="C71" s="880">
        <v>2.5099999999999998</v>
      </c>
    </row>
    <row r="72" spans="1:3" ht="16.149999999999999" customHeight="1">
      <c r="A72" s="885">
        <v>195504</v>
      </c>
      <c r="B72" s="886">
        <v>2.5099999999999998</v>
      </c>
      <c r="C72" s="878">
        <v>2.5099999999999998</v>
      </c>
    </row>
    <row r="73" spans="1:3" ht="16.149999999999999" customHeight="1">
      <c r="A73" s="883">
        <v>195505</v>
      </c>
      <c r="B73" s="884">
        <v>2.5099999999999998</v>
      </c>
      <c r="C73" s="880">
        <v>2.5099999999999998</v>
      </c>
    </row>
    <row r="74" spans="1:3" ht="16.149999999999999" customHeight="1">
      <c r="A74" s="885">
        <v>195506</v>
      </c>
      <c r="B74" s="886">
        <v>2.5099999999999998</v>
      </c>
      <c r="C74" s="878">
        <v>2.5099999999999998</v>
      </c>
    </row>
    <row r="75" spans="1:3" ht="16.149999999999999" customHeight="1">
      <c r="A75" s="883">
        <v>195507</v>
      </c>
      <c r="B75" s="884">
        <v>2.5099999999999998</v>
      </c>
      <c r="C75" s="880">
        <v>2.5099999999999998</v>
      </c>
    </row>
    <row r="76" spans="1:3" ht="16.149999999999999" customHeight="1">
      <c r="A76" s="885">
        <v>195508</v>
      </c>
      <c r="B76" s="886">
        <v>2.5099999999999998</v>
      </c>
      <c r="C76" s="878">
        <v>2.5099999999999998</v>
      </c>
    </row>
    <row r="77" spans="1:3" ht="16.149999999999999" customHeight="1">
      <c r="A77" s="883">
        <v>195509</v>
      </c>
      <c r="B77" s="884">
        <v>2.5099999999999998</v>
      </c>
      <c r="C77" s="880">
        <v>2.5099999999999998</v>
      </c>
    </row>
    <row r="78" spans="1:3" ht="16.149999999999999" customHeight="1">
      <c r="A78" s="885">
        <v>195510</v>
      </c>
      <c r="B78" s="886">
        <v>2.5099999999999998</v>
      </c>
      <c r="C78" s="878">
        <v>2.5099999999999998</v>
      </c>
    </row>
    <row r="79" spans="1:3" ht="16.149999999999999" customHeight="1">
      <c r="A79" s="883">
        <v>195511</v>
      </c>
      <c r="B79" s="884">
        <v>2.5099999999999998</v>
      </c>
      <c r="C79" s="880">
        <v>2.5099999999999998</v>
      </c>
    </row>
    <row r="80" spans="1:3" ht="16.149999999999999" customHeight="1">
      <c r="A80" s="885">
        <v>195512</v>
      </c>
      <c r="B80" s="886">
        <v>2.5099999999999998</v>
      </c>
      <c r="C80" s="878">
        <v>2.5099999999999998</v>
      </c>
    </row>
    <row r="81" spans="1:3" ht="16.149999999999999" customHeight="1">
      <c r="A81" s="883">
        <v>195601</v>
      </c>
      <c r="B81" s="884">
        <v>2.5099999999999998</v>
      </c>
      <c r="C81" s="880">
        <v>2.5099999999999998</v>
      </c>
    </row>
    <row r="82" spans="1:3" ht="16.149999999999999" customHeight="1">
      <c r="A82" s="885">
        <v>195602</v>
      </c>
      <c r="B82" s="886">
        <v>2.5099999999999998</v>
      </c>
      <c r="C82" s="878">
        <v>2.5099999999999998</v>
      </c>
    </row>
    <row r="83" spans="1:3" ht="16.149999999999999" customHeight="1">
      <c r="A83" s="883">
        <v>195603</v>
      </c>
      <c r="B83" s="884">
        <v>2.5099999999999998</v>
      </c>
      <c r="C83" s="880">
        <v>2.5099999999999998</v>
      </c>
    </row>
    <row r="84" spans="1:3" ht="16.149999999999999" customHeight="1">
      <c r="A84" s="885">
        <v>195604</v>
      </c>
      <c r="B84" s="886">
        <v>2.5099999999999998</v>
      </c>
      <c r="C84" s="878">
        <v>2.5099999999999998</v>
      </c>
    </row>
    <row r="85" spans="1:3" ht="16.149999999999999" customHeight="1">
      <c r="A85" s="883">
        <v>195605</v>
      </c>
      <c r="B85" s="884">
        <v>2.5099999999999998</v>
      </c>
      <c r="C85" s="880">
        <v>2.5099999999999998</v>
      </c>
    </row>
    <row r="86" spans="1:3" ht="16.149999999999999" customHeight="1">
      <c r="A86" s="885">
        <v>195606</v>
      </c>
      <c r="B86" s="886">
        <v>2.5099999999999998</v>
      </c>
      <c r="C86" s="878">
        <v>2.5099999999999998</v>
      </c>
    </row>
    <row r="87" spans="1:3" ht="16.149999999999999" customHeight="1">
      <c r="A87" s="883">
        <v>195607</v>
      </c>
      <c r="B87" s="884">
        <v>2.5099999999999998</v>
      </c>
      <c r="C87" s="880">
        <v>2.5099999999999998</v>
      </c>
    </row>
    <row r="88" spans="1:3" ht="16.149999999999999" customHeight="1">
      <c r="A88" s="885">
        <v>195608</v>
      </c>
      <c r="B88" s="886">
        <v>2.5099999999999998</v>
      </c>
      <c r="C88" s="878">
        <v>2.5099999999999998</v>
      </c>
    </row>
    <row r="89" spans="1:3" ht="16.149999999999999" customHeight="1">
      <c r="A89" s="883">
        <v>195609</v>
      </c>
      <c r="B89" s="884">
        <v>2.5099999999999998</v>
      </c>
      <c r="C89" s="880">
        <v>2.5099999999999998</v>
      </c>
    </row>
    <row r="90" spans="1:3" ht="16.149999999999999" customHeight="1">
      <c r="A90" s="885">
        <v>195610</v>
      </c>
      <c r="B90" s="886">
        <v>2.5099999999999998</v>
      </c>
      <c r="C90" s="878">
        <v>2.5099999999999998</v>
      </c>
    </row>
    <row r="91" spans="1:3" ht="16.149999999999999" customHeight="1">
      <c r="A91" s="883">
        <v>195611</v>
      </c>
      <c r="B91" s="884">
        <v>2.5099999999999998</v>
      </c>
      <c r="C91" s="880">
        <v>2.5099999999999998</v>
      </c>
    </row>
    <row r="92" spans="1:3" ht="16.149999999999999" customHeight="1">
      <c r="A92" s="885">
        <v>195612</v>
      </c>
      <c r="B92" s="886">
        <v>2.5099999999999998</v>
      </c>
      <c r="C92" s="878">
        <v>2.5099999999999998</v>
      </c>
    </row>
    <row r="93" spans="1:3" ht="16.149999999999999" customHeight="1">
      <c r="A93" s="883">
        <v>195701</v>
      </c>
      <c r="B93" s="884">
        <v>2.5099999999999998</v>
      </c>
      <c r="C93" s="880">
        <v>2.5099999999999998</v>
      </c>
    </row>
    <row r="94" spans="1:3" ht="16.149999999999999" customHeight="1">
      <c r="A94" s="885">
        <v>195702</v>
      </c>
      <c r="B94" s="886">
        <v>2.5099999999999998</v>
      </c>
      <c r="C94" s="878">
        <v>2.5099999999999998</v>
      </c>
    </row>
    <row r="95" spans="1:3" ht="16.149999999999999" customHeight="1">
      <c r="A95" s="883">
        <v>195703</v>
      </c>
      <c r="B95" s="884">
        <v>2.5099999999999998</v>
      </c>
      <c r="C95" s="880">
        <v>2.5099999999999998</v>
      </c>
    </row>
    <row r="96" spans="1:3" ht="16.149999999999999" customHeight="1">
      <c r="A96" s="885">
        <v>195704</v>
      </c>
      <c r="B96" s="886">
        <v>2.5099999999999998</v>
      </c>
      <c r="C96" s="878">
        <v>2.5099999999999998</v>
      </c>
    </row>
    <row r="97" spans="1:3" ht="16.149999999999999" customHeight="1">
      <c r="A97" s="883">
        <v>195705</v>
      </c>
      <c r="B97" s="884">
        <v>2.5099999999999998</v>
      </c>
      <c r="C97" s="880">
        <v>2.5099999999999998</v>
      </c>
    </row>
    <row r="98" spans="1:3" ht="16.149999999999999" customHeight="1">
      <c r="A98" s="885">
        <v>195706</v>
      </c>
      <c r="B98" s="886">
        <v>2.5099999999999998</v>
      </c>
      <c r="C98" s="878">
        <v>2.5099999999999998</v>
      </c>
    </row>
    <row r="99" spans="1:3" ht="16.149999999999999" customHeight="1">
      <c r="A99" s="883">
        <v>195707</v>
      </c>
      <c r="B99" s="884">
        <v>4.8099999999999996</v>
      </c>
      <c r="C99" s="880">
        <v>4.8</v>
      </c>
    </row>
    <row r="100" spans="1:3" ht="16.149999999999999" customHeight="1">
      <c r="A100" s="885">
        <v>195708</v>
      </c>
      <c r="B100" s="886">
        <v>4.9000000000000004</v>
      </c>
      <c r="C100" s="878">
        <v>4.99</v>
      </c>
    </row>
    <row r="101" spans="1:3" ht="16.149999999999999" customHeight="1">
      <c r="A101" s="883">
        <v>195709</v>
      </c>
      <c r="B101" s="884">
        <v>5.12</v>
      </c>
      <c r="C101" s="880">
        <v>5.04</v>
      </c>
    </row>
    <row r="102" spans="1:3" ht="16.149999999999999" customHeight="1">
      <c r="A102" s="885">
        <v>195710</v>
      </c>
      <c r="B102" s="886">
        <v>5.0999999999999996</v>
      </c>
      <c r="C102" s="878">
        <v>5.0599999999999996</v>
      </c>
    </row>
    <row r="103" spans="1:3" ht="16.149999999999999" customHeight="1">
      <c r="A103" s="883">
        <v>195711</v>
      </c>
      <c r="B103" s="884">
        <v>5.2</v>
      </c>
      <c r="C103" s="880">
        <v>5.3</v>
      </c>
    </row>
    <row r="104" spans="1:3" ht="16.149999999999999" customHeight="1">
      <c r="A104" s="885">
        <v>195712</v>
      </c>
      <c r="B104" s="886">
        <v>5.38</v>
      </c>
      <c r="C104" s="878">
        <v>5.42</v>
      </c>
    </row>
    <row r="105" spans="1:3" ht="16.149999999999999" customHeight="1">
      <c r="A105" s="883">
        <v>195801</v>
      </c>
      <c r="B105" s="884">
        <v>5.61</v>
      </c>
      <c r="C105" s="880">
        <v>5.88</v>
      </c>
    </row>
    <row r="106" spans="1:3" ht="16.149999999999999" customHeight="1">
      <c r="A106" s="885">
        <v>195802</v>
      </c>
      <c r="B106" s="886">
        <v>6.01</v>
      </c>
      <c r="C106" s="878">
        <v>6.16</v>
      </c>
    </row>
    <row r="107" spans="1:3" ht="16.149999999999999" customHeight="1">
      <c r="A107" s="883">
        <v>195803</v>
      </c>
      <c r="B107" s="884">
        <v>6.11</v>
      </c>
      <c r="C107" s="880">
        <v>6.1</v>
      </c>
    </row>
    <row r="108" spans="1:3" ht="16.149999999999999" customHeight="1">
      <c r="A108" s="885">
        <v>195804</v>
      </c>
      <c r="B108" s="886">
        <v>6.64</v>
      </c>
      <c r="C108" s="878">
        <v>6.64</v>
      </c>
    </row>
    <row r="109" spans="1:3" ht="16.149999999999999" customHeight="1">
      <c r="A109" s="883">
        <v>195805</v>
      </c>
      <c r="B109" s="884">
        <v>6.77</v>
      </c>
      <c r="C109" s="880">
        <v>6.72</v>
      </c>
    </row>
    <row r="110" spans="1:3" ht="16.149999999999999" customHeight="1">
      <c r="A110" s="885">
        <v>195806</v>
      </c>
      <c r="B110" s="886">
        <v>6.8</v>
      </c>
      <c r="C110" s="878">
        <v>6.81</v>
      </c>
    </row>
    <row r="111" spans="1:3" ht="16.149999999999999" customHeight="1">
      <c r="A111" s="883">
        <v>195807</v>
      </c>
      <c r="B111" s="884">
        <v>6.74</v>
      </c>
      <c r="C111" s="880">
        <v>6.63</v>
      </c>
    </row>
    <row r="112" spans="1:3" ht="16.149999999999999" customHeight="1">
      <c r="A112" s="885">
        <v>195808</v>
      </c>
      <c r="B112" s="886">
        <v>6.52</v>
      </c>
      <c r="C112" s="878">
        <v>6.51</v>
      </c>
    </row>
    <row r="113" spans="1:3" ht="16.149999999999999" customHeight="1">
      <c r="A113" s="883">
        <v>195809</v>
      </c>
      <c r="B113" s="884">
        <v>6.38</v>
      </c>
      <c r="C113" s="880">
        <v>6.43</v>
      </c>
    </row>
    <row r="114" spans="1:3" ht="16.149999999999999" customHeight="1">
      <c r="A114" s="885">
        <v>195810</v>
      </c>
      <c r="B114" s="886">
        <v>6.4</v>
      </c>
      <c r="C114" s="878">
        <v>6.41</v>
      </c>
    </row>
    <row r="115" spans="1:3" ht="16.149999999999999" customHeight="1">
      <c r="A115" s="883">
        <v>195811</v>
      </c>
      <c r="B115" s="884">
        <v>6.42</v>
      </c>
      <c r="C115" s="880">
        <v>6.39</v>
      </c>
    </row>
    <row r="116" spans="1:3" ht="16.149999999999999" customHeight="1">
      <c r="A116" s="885">
        <v>195812</v>
      </c>
      <c r="B116" s="886">
        <v>6.4</v>
      </c>
      <c r="C116" s="878">
        <v>6.4</v>
      </c>
    </row>
    <row r="117" spans="1:3" ht="16.149999999999999" customHeight="1">
      <c r="A117" s="883">
        <v>195901</v>
      </c>
      <c r="B117" s="884">
        <v>6.4</v>
      </c>
      <c r="C117" s="880">
        <v>6.4</v>
      </c>
    </row>
    <row r="118" spans="1:3" ht="16.149999999999999" customHeight="1">
      <c r="A118" s="885">
        <v>195902</v>
      </c>
      <c r="B118" s="886">
        <v>6.4</v>
      </c>
      <c r="C118" s="878">
        <v>6.4</v>
      </c>
    </row>
    <row r="119" spans="1:3" ht="16.149999999999999" customHeight="1">
      <c r="A119" s="883">
        <v>195903</v>
      </c>
      <c r="B119" s="884">
        <v>6.4</v>
      </c>
      <c r="C119" s="880">
        <v>6.4</v>
      </c>
    </row>
    <row r="120" spans="1:3" ht="16.149999999999999" customHeight="1">
      <c r="A120" s="885">
        <v>195904</v>
      </c>
      <c r="B120" s="886">
        <v>6.4</v>
      </c>
      <c r="C120" s="878">
        <v>6.4</v>
      </c>
    </row>
    <row r="121" spans="1:3" ht="16.149999999999999" customHeight="1">
      <c r="A121" s="883">
        <v>195905</v>
      </c>
      <c r="B121" s="884">
        <v>6.4</v>
      </c>
      <c r="C121" s="880">
        <v>6.4</v>
      </c>
    </row>
    <row r="122" spans="1:3" ht="16.149999999999999" customHeight="1">
      <c r="A122" s="885">
        <v>195906</v>
      </c>
      <c r="B122" s="886">
        <v>6.4</v>
      </c>
      <c r="C122" s="878">
        <v>6.4</v>
      </c>
    </row>
    <row r="123" spans="1:3" ht="16.149999999999999" customHeight="1">
      <c r="A123" s="883">
        <v>195907</v>
      </c>
      <c r="B123" s="884">
        <v>6.4</v>
      </c>
      <c r="C123" s="880">
        <v>6.4</v>
      </c>
    </row>
    <row r="124" spans="1:3" ht="16.149999999999999" customHeight="1">
      <c r="A124" s="885">
        <v>195908</v>
      </c>
      <c r="B124" s="886">
        <v>6.4</v>
      </c>
      <c r="C124" s="878">
        <v>6.4</v>
      </c>
    </row>
    <row r="125" spans="1:3" ht="16.149999999999999" customHeight="1">
      <c r="A125" s="883">
        <v>195909</v>
      </c>
      <c r="B125" s="884">
        <v>6.4</v>
      </c>
      <c r="C125" s="880">
        <v>6.4</v>
      </c>
    </row>
    <row r="126" spans="1:3" ht="16.149999999999999" customHeight="1">
      <c r="A126" s="885">
        <v>195910</v>
      </c>
      <c r="B126" s="886">
        <v>6.4</v>
      </c>
      <c r="C126" s="878">
        <v>6.4</v>
      </c>
    </row>
    <row r="127" spans="1:3" ht="16.149999999999999" customHeight="1">
      <c r="A127" s="883">
        <v>195911</v>
      </c>
      <c r="B127" s="884">
        <v>6.4</v>
      </c>
      <c r="C127" s="880">
        <v>6.4</v>
      </c>
    </row>
    <row r="128" spans="1:3" ht="16.149999999999999" customHeight="1">
      <c r="A128" s="885">
        <v>195912</v>
      </c>
      <c r="B128" s="886">
        <v>6.4</v>
      </c>
      <c r="C128" s="878">
        <v>6.4</v>
      </c>
    </row>
    <row r="129" spans="1:3" ht="16.149999999999999" customHeight="1">
      <c r="A129" s="883">
        <v>196001</v>
      </c>
      <c r="B129" s="884">
        <v>6.4</v>
      </c>
      <c r="C129" s="880">
        <v>6.4</v>
      </c>
    </row>
    <row r="130" spans="1:3" ht="16.149999999999999" customHeight="1">
      <c r="A130" s="885">
        <v>196002</v>
      </c>
      <c r="B130" s="886">
        <v>6.4</v>
      </c>
      <c r="C130" s="878">
        <v>6.4</v>
      </c>
    </row>
    <row r="131" spans="1:3" ht="16.149999999999999" customHeight="1">
      <c r="A131" s="883">
        <v>196003</v>
      </c>
      <c r="B131" s="884">
        <v>6.52</v>
      </c>
      <c r="C131" s="880">
        <v>6.1</v>
      </c>
    </row>
    <row r="132" spans="1:3" ht="16.149999999999999" customHeight="1">
      <c r="A132" s="885">
        <v>196004</v>
      </c>
      <c r="B132" s="886">
        <v>6.7</v>
      </c>
      <c r="C132" s="878">
        <v>6.7</v>
      </c>
    </row>
    <row r="133" spans="1:3" ht="16.149999999999999" customHeight="1">
      <c r="A133" s="883">
        <v>196005</v>
      </c>
      <c r="B133" s="884">
        <v>6.7</v>
      </c>
      <c r="C133" s="880">
        <v>6.7</v>
      </c>
    </row>
    <row r="134" spans="1:3" ht="16.149999999999999" customHeight="1">
      <c r="A134" s="885">
        <v>196006</v>
      </c>
      <c r="B134" s="886">
        <v>6.7</v>
      </c>
      <c r="C134" s="878">
        <v>6.7</v>
      </c>
    </row>
    <row r="135" spans="1:3" ht="16.149999999999999" customHeight="1">
      <c r="A135" s="883">
        <v>196007</v>
      </c>
      <c r="B135" s="884">
        <v>6.7</v>
      </c>
      <c r="C135" s="880">
        <v>6.7</v>
      </c>
    </row>
    <row r="136" spans="1:3" ht="16.149999999999999" customHeight="1">
      <c r="A136" s="885">
        <v>196008</v>
      </c>
      <c r="B136" s="886">
        <v>6.7</v>
      </c>
      <c r="C136" s="878">
        <v>6.7</v>
      </c>
    </row>
    <row r="137" spans="1:3" ht="16.149999999999999" customHeight="1">
      <c r="A137" s="883">
        <v>196009</v>
      </c>
      <c r="B137" s="884">
        <v>6.7</v>
      </c>
      <c r="C137" s="880">
        <v>6.7</v>
      </c>
    </row>
    <row r="138" spans="1:3" ht="16.149999999999999" customHeight="1">
      <c r="A138" s="885">
        <v>196010</v>
      </c>
      <c r="B138" s="886">
        <v>6.7</v>
      </c>
      <c r="C138" s="878">
        <v>6.7</v>
      </c>
    </row>
    <row r="139" spans="1:3" ht="16.149999999999999" customHeight="1">
      <c r="A139" s="883">
        <v>196011</v>
      </c>
      <c r="B139" s="884">
        <v>6.7</v>
      </c>
      <c r="C139" s="880">
        <v>6.7</v>
      </c>
    </row>
    <row r="140" spans="1:3" ht="16.149999999999999" customHeight="1">
      <c r="A140" s="885">
        <v>196012</v>
      </c>
      <c r="B140" s="886">
        <v>6.7</v>
      </c>
      <c r="C140" s="878">
        <v>6.7</v>
      </c>
    </row>
    <row r="141" spans="1:3" ht="16.149999999999999" customHeight="1">
      <c r="A141" s="883">
        <v>196101</v>
      </c>
      <c r="B141" s="884">
        <v>6.7</v>
      </c>
      <c r="C141" s="880">
        <v>6.7</v>
      </c>
    </row>
    <row r="142" spans="1:3" ht="16.149999999999999" customHeight="1">
      <c r="A142" s="885">
        <v>196102</v>
      </c>
      <c r="B142" s="886">
        <v>6.7</v>
      </c>
      <c r="C142" s="878">
        <v>6.7</v>
      </c>
    </row>
    <row r="143" spans="1:3" ht="16.149999999999999" customHeight="1">
      <c r="A143" s="883">
        <v>196103</v>
      </c>
      <c r="B143" s="884">
        <v>6.7</v>
      </c>
      <c r="C143" s="880">
        <v>6.7</v>
      </c>
    </row>
    <row r="144" spans="1:3" ht="16.149999999999999" customHeight="1">
      <c r="A144" s="885">
        <v>196104</v>
      </c>
      <c r="B144" s="886">
        <v>6.7</v>
      </c>
      <c r="C144" s="878">
        <v>6.7</v>
      </c>
    </row>
    <row r="145" spans="1:3" ht="16.149999999999999" customHeight="1">
      <c r="A145" s="883">
        <v>196105</v>
      </c>
      <c r="B145" s="884">
        <v>6.7</v>
      </c>
      <c r="C145" s="880">
        <v>6.7</v>
      </c>
    </row>
    <row r="146" spans="1:3" ht="16.149999999999999" customHeight="1">
      <c r="A146" s="885">
        <v>196106</v>
      </c>
      <c r="B146" s="886">
        <v>6.7</v>
      </c>
      <c r="C146" s="878">
        <v>6.7</v>
      </c>
    </row>
    <row r="147" spans="1:3" ht="16.149999999999999" customHeight="1">
      <c r="A147" s="883">
        <v>196107</v>
      </c>
      <c r="B147" s="884">
        <v>6.7</v>
      </c>
      <c r="C147" s="880">
        <v>6.7</v>
      </c>
    </row>
    <row r="148" spans="1:3" ht="16.149999999999999" customHeight="1">
      <c r="A148" s="885">
        <v>196108</v>
      </c>
      <c r="B148" s="886">
        <v>6.7</v>
      </c>
      <c r="C148" s="878">
        <v>6.7</v>
      </c>
    </row>
    <row r="149" spans="1:3" ht="16.149999999999999" customHeight="1">
      <c r="A149" s="883">
        <v>196109</v>
      </c>
      <c r="B149" s="884">
        <v>6.7</v>
      </c>
      <c r="C149" s="880">
        <v>6.7</v>
      </c>
    </row>
    <row r="150" spans="1:3" ht="16.149999999999999" customHeight="1">
      <c r="A150" s="885">
        <v>196110</v>
      </c>
      <c r="B150" s="886">
        <v>6.7</v>
      </c>
      <c r="C150" s="878">
        <v>6.7</v>
      </c>
    </row>
    <row r="151" spans="1:3" ht="16.149999999999999" customHeight="1">
      <c r="A151" s="883">
        <v>196111</v>
      </c>
      <c r="B151" s="884">
        <v>6.7</v>
      </c>
      <c r="C151" s="880">
        <v>6.7</v>
      </c>
    </row>
    <row r="152" spans="1:3" ht="16.149999999999999" customHeight="1">
      <c r="A152" s="885">
        <v>196112</v>
      </c>
      <c r="B152" s="886">
        <v>6.7</v>
      </c>
      <c r="C152" s="878">
        <v>6.7</v>
      </c>
    </row>
    <row r="153" spans="1:3" ht="16.149999999999999" customHeight="1">
      <c r="A153" s="883">
        <v>196201</v>
      </c>
      <c r="B153" s="884">
        <v>6.7</v>
      </c>
      <c r="C153" s="880">
        <v>6.7</v>
      </c>
    </row>
    <row r="154" spans="1:3" ht="16.149999999999999" customHeight="1">
      <c r="A154" s="885">
        <v>196202</v>
      </c>
      <c r="B154" s="886">
        <v>6.7</v>
      </c>
      <c r="C154" s="878">
        <v>6.7</v>
      </c>
    </row>
    <row r="155" spans="1:3" ht="16.149999999999999" customHeight="1">
      <c r="A155" s="883">
        <v>196203</v>
      </c>
      <c r="B155" s="884">
        <v>6.7</v>
      </c>
      <c r="C155" s="880">
        <v>6.7</v>
      </c>
    </row>
    <row r="156" spans="1:3" ht="16.149999999999999" customHeight="1">
      <c r="A156" s="885">
        <v>196204</v>
      </c>
      <c r="B156" s="886">
        <v>6.7</v>
      </c>
      <c r="C156" s="878">
        <v>6.7</v>
      </c>
    </row>
    <row r="157" spans="1:3" ht="16.149999999999999" customHeight="1">
      <c r="A157" s="883">
        <v>196205</v>
      </c>
      <c r="B157" s="884">
        <v>6.7</v>
      </c>
      <c r="C157" s="880">
        <v>6.7</v>
      </c>
    </row>
    <row r="158" spans="1:3" ht="16.149999999999999" customHeight="1">
      <c r="A158" s="885">
        <v>196206</v>
      </c>
      <c r="B158" s="886">
        <v>6.7</v>
      </c>
      <c r="C158" s="878">
        <v>6.7</v>
      </c>
    </row>
    <row r="159" spans="1:3" ht="16.149999999999999" customHeight="1">
      <c r="A159" s="883">
        <v>196207</v>
      </c>
      <c r="B159" s="884">
        <v>6.7</v>
      </c>
      <c r="C159" s="880">
        <v>6.7</v>
      </c>
    </row>
    <row r="160" spans="1:3" ht="16.149999999999999" customHeight="1">
      <c r="A160" s="885">
        <v>196208</v>
      </c>
      <c r="B160" s="886">
        <v>6.7</v>
      </c>
      <c r="C160" s="878">
        <v>6.7</v>
      </c>
    </row>
    <row r="161" spans="1:3" ht="16.149999999999999" customHeight="1">
      <c r="A161" s="883">
        <v>196209</v>
      </c>
      <c r="B161" s="884">
        <v>6.7</v>
      </c>
      <c r="C161" s="880">
        <v>6.7</v>
      </c>
    </row>
    <row r="162" spans="1:3" ht="16.149999999999999" customHeight="1">
      <c r="A162" s="885">
        <v>196210</v>
      </c>
      <c r="B162" s="886">
        <v>6.7</v>
      </c>
      <c r="C162" s="878">
        <v>6.7</v>
      </c>
    </row>
    <row r="163" spans="1:3" ht="16.149999999999999" customHeight="1">
      <c r="A163" s="883">
        <v>196211</v>
      </c>
      <c r="B163" s="884">
        <v>7.54</v>
      </c>
      <c r="C163" s="880">
        <v>7.54</v>
      </c>
    </row>
    <row r="164" spans="1:3" ht="16.149999999999999" customHeight="1">
      <c r="A164" s="885">
        <v>196212</v>
      </c>
      <c r="B164" s="886">
        <v>9</v>
      </c>
      <c r="C164" s="878">
        <v>9</v>
      </c>
    </row>
    <row r="165" spans="1:3" ht="16.149999999999999" customHeight="1">
      <c r="A165" s="883">
        <v>196301</v>
      </c>
      <c r="B165" s="884">
        <v>9</v>
      </c>
      <c r="C165" s="880">
        <v>9</v>
      </c>
    </row>
    <row r="166" spans="1:3" ht="16.149999999999999" customHeight="1">
      <c r="A166" s="885">
        <v>196302</v>
      </c>
      <c r="B166" s="886">
        <v>9</v>
      </c>
      <c r="C166" s="878">
        <v>9</v>
      </c>
    </row>
    <row r="167" spans="1:3" ht="16.149999999999999" customHeight="1">
      <c r="A167" s="883">
        <v>196303</v>
      </c>
      <c r="B167" s="884">
        <v>9</v>
      </c>
      <c r="C167" s="880">
        <v>9</v>
      </c>
    </row>
    <row r="168" spans="1:3" ht="16.149999999999999" customHeight="1">
      <c r="A168" s="885">
        <v>196304</v>
      </c>
      <c r="B168" s="886">
        <v>9</v>
      </c>
      <c r="C168" s="878">
        <v>9</v>
      </c>
    </row>
    <row r="169" spans="1:3" ht="16.149999999999999" customHeight="1">
      <c r="A169" s="883">
        <v>196305</v>
      </c>
      <c r="B169" s="884">
        <v>9</v>
      </c>
      <c r="C169" s="880">
        <v>9</v>
      </c>
    </row>
    <row r="170" spans="1:3" ht="16.149999999999999" customHeight="1">
      <c r="A170" s="885">
        <v>196306</v>
      </c>
      <c r="B170" s="886">
        <v>9</v>
      </c>
      <c r="C170" s="878">
        <v>9</v>
      </c>
    </row>
    <row r="171" spans="1:3" ht="16.149999999999999" customHeight="1">
      <c r="A171" s="883">
        <v>196307</v>
      </c>
      <c r="B171" s="884">
        <v>9</v>
      </c>
      <c r="C171" s="880">
        <v>9</v>
      </c>
    </row>
    <row r="172" spans="1:3" ht="16.149999999999999" customHeight="1">
      <c r="A172" s="885">
        <v>196308</v>
      </c>
      <c r="B172" s="886">
        <v>9</v>
      </c>
      <c r="C172" s="878">
        <v>9</v>
      </c>
    </row>
    <row r="173" spans="1:3" ht="16.149999999999999" customHeight="1">
      <c r="A173" s="883">
        <v>196309</v>
      </c>
      <c r="B173" s="884">
        <v>9</v>
      </c>
      <c r="C173" s="880">
        <v>9</v>
      </c>
    </row>
    <row r="174" spans="1:3" ht="16.149999999999999" customHeight="1">
      <c r="A174" s="885">
        <v>196310</v>
      </c>
      <c r="B174" s="886">
        <v>9</v>
      </c>
      <c r="C174" s="878">
        <v>9</v>
      </c>
    </row>
    <row r="175" spans="1:3" ht="16.149999999999999" customHeight="1">
      <c r="A175" s="883">
        <v>196311</v>
      </c>
      <c r="B175" s="884">
        <v>9</v>
      </c>
      <c r="C175" s="880">
        <v>9</v>
      </c>
    </row>
    <row r="176" spans="1:3" ht="16.149999999999999" customHeight="1">
      <c r="A176" s="885">
        <v>196312</v>
      </c>
      <c r="B176" s="886">
        <v>9</v>
      </c>
      <c r="C176" s="878">
        <v>9</v>
      </c>
    </row>
    <row r="177" spans="1:3" ht="16.149999999999999" customHeight="1">
      <c r="A177" s="883">
        <v>196401</v>
      </c>
      <c r="B177" s="884">
        <v>9</v>
      </c>
      <c r="C177" s="880">
        <v>9</v>
      </c>
    </row>
    <row r="178" spans="1:3" ht="16.149999999999999" customHeight="1">
      <c r="A178" s="885">
        <v>196402</v>
      </c>
      <c r="B178" s="886">
        <v>9</v>
      </c>
      <c r="C178" s="878">
        <v>9</v>
      </c>
    </row>
    <row r="179" spans="1:3" ht="16.149999999999999" customHeight="1">
      <c r="A179" s="883">
        <v>196403</v>
      </c>
      <c r="B179" s="884">
        <v>9</v>
      </c>
      <c r="C179" s="880">
        <v>9</v>
      </c>
    </row>
    <row r="180" spans="1:3" ht="16.149999999999999" customHeight="1">
      <c r="A180" s="885">
        <v>196404</v>
      </c>
      <c r="B180" s="886">
        <v>9</v>
      </c>
      <c r="C180" s="878">
        <v>9</v>
      </c>
    </row>
    <row r="181" spans="1:3" ht="16.149999999999999" customHeight="1">
      <c r="A181" s="883">
        <v>196405</v>
      </c>
      <c r="B181" s="884">
        <v>9</v>
      </c>
      <c r="C181" s="880">
        <v>9</v>
      </c>
    </row>
    <row r="182" spans="1:3" ht="16.149999999999999" customHeight="1">
      <c r="A182" s="885">
        <v>196406</v>
      </c>
      <c r="B182" s="886">
        <v>9</v>
      </c>
      <c r="C182" s="878">
        <v>9</v>
      </c>
    </row>
    <row r="183" spans="1:3" ht="16.149999999999999" customHeight="1">
      <c r="A183" s="883">
        <v>196407</v>
      </c>
      <c r="B183" s="884">
        <v>9</v>
      </c>
      <c r="C183" s="880">
        <v>9</v>
      </c>
    </row>
    <row r="184" spans="1:3" ht="16.149999999999999" customHeight="1">
      <c r="A184" s="885">
        <v>196408</v>
      </c>
      <c r="B184" s="886">
        <v>9</v>
      </c>
      <c r="C184" s="878">
        <v>9</v>
      </c>
    </row>
    <row r="185" spans="1:3" ht="16.149999999999999" customHeight="1">
      <c r="A185" s="883">
        <v>196409</v>
      </c>
      <c r="B185" s="884">
        <v>9</v>
      </c>
      <c r="C185" s="880">
        <v>9</v>
      </c>
    </row>
    <row r="186" spans="1:3" ht="16.149999999999999" customHeight="1">
      <c r="A186" s="885">
        <v>196410</v>
      </c>
      <c r="B186" s="886">
        <v>9</v>
      </c>
      <c r="C186" s="878">
        <v>9</v>
      </c>
    </row>
    <row r="187" spans="1:3" ht="16.149999999999999" customHeight="1">
      <c r="A187" s="883">
        <v>196411</v>
      </c>
      <c r="B187" s="884">
        <v>9</v>
      </c>
      <c r="C187" s="880">
        <v>9</v>
      </c>
    </row>
    <row r="188" spans="1:3" ht="16.149999999999999" customHeight="1">
      <c r="A188" s="885">
        <v>196412</v>
      </c>
      <c r="B188" s="886">
        <v>9</v>
      </c>
      <c r="C188" s="878">
        <v>9</v>
      </c>
    </row>
    <row r="189" spans="1:3" ht="16.149999999999999" customHeight="1">
      <c r="A189" s="883">
        <v>196501</v>
      </c>
      <c r="B189" s="884">
        <v>9</v>
      </c>
      <c r="C189" s="880">
        <v>9</v>
      </c>
    </row>
    <row r="190" spans="1:3" ht="16.149999999999999" customHeight="1">
      <c r="A190" s="885">
        <v>196502</v>
      </c>
      <c r="B190" s="886">
        <v>9</v>
      </c>
      <c r="C190" s="878">
        <v>9</v>
      </c>
    </row>
    <row r="191" spans="1:3" ht="16.149999999999999" customHeight="1">
      <c r="A191" s="883">
        <v>196503</v>
      </c>
      <c r="B191" s="884">
        <v>9</v>
      </c>
      <c r="C191" s="880">
        <v>9</v>
      </c>
    </row>
    <row r="192" spans="1:3" ht="16.149999999999999" customHeight="1">
      <c r="A192" s="885">
        <v>196504</v>
      </c>
      <c r="B192" s="886">
        <v>9</v>
      </c>
      <c r="C192" s="878">
        <v>9</v>
      </c>
    </row>
    <row r="193" spans="1:3" ht="16.149999999999999" customHeight="1">
      <c r="A193" s="883">
        <v>196505</v>
      </c>
      <c r="B193" s="884">
        <v>9</v>
      </c>
      <c r="C193" s="880">
        <v>9</v>
      </c>
    </row>
    <row r="194" spans="1:3" ht="16.149999999999999" customHeight="1">
      <c r="A194" s="885">
        <v>196506</v>
      </c>
      <c r="B194" s="886">
        <v>9</v>
      </c>
      <c r="C194" s="878">
        <v>9</v>
      </c>
    </row>
    <row r="195" spans="1:3" ht="16.149999999999999" customHeight="1">
      <c r="A195" s="883">
        <v>196507</v>
      </c>
      <c r="B195" s="884">
        <v>9</v>
      </c>
      <c r="C195" s="880">
        <v>9</v>
      </c>
    </row>
    <row r="196" spans="1:3" ht="16.149999999999999" customHeight="1">
      <c r="A196" s="885">
        <v>196508</v>
      </c>
      <c r="B196" s="886">
        <v>9</v>
      </c>
      <c r="C196" s="878">
        <v>9</v>
      </c>
    </row>
    <row r="197" spans="1:3" ht="16.149999999999999" customHeight="1">
      <c r="A197" s="883">
        <v>196509</v>
      </c>
      <c r="B197" s="884">
        <v>13.5</v>
      </c>
      <c r="C197" s="880">
        <v>13.5</v>
      </c>
    </row>
    <row r="198" spans="1:3" ht="16.149999999999999" customHeight="1">
      <c r="A198" s="885">
        <v>196510</v>
      </c>
      <c r="B198" s="886">
        <v>13.5</v>
      </c>
      <c r="C198" s="878">
        <v>13.5</v>
      </c>
    </row>
    <row r="199" spans="1:3" ht="16.149999999999999" customHeight="1">
      <c r="A199" s="883">
        <v>196511</v>
      </c>
      <c r="B199" s="884">
        <v>13.5</v>
      </c>
      <c r="C199" s="880">
        <v>13.5</v>
      </c>
    </row>
    <row r="200" spans="1:3" ht="16.149999999999999" customHeight="1">
      <c r="A200" s="885">
        <v>196512</v>
      </c>
      <c r="B200" s="886">
        <v>13.5</v>
      </c>
      <c r="C200" s="878">
        <v>13.5</v>
      </c>
    </row>
    <row r="201" spans="1:3" ht="16.149999999999999" customHeight="1">
      <c r="A201" s="883">
        <v>196601</v>
      </c>
      <c r="B201" s="884">
        <v>13.5</v>
      </c>
      <c r="C201" s="880">
        <v>13.5</v>
      </c>
    </row>
    <row r="202" spans="1:3" ht="16.149999999999999" customHeight="1">
      <c r="A202" s="885">
        <v>196602</v>
      </c>
      <c r="B202" s="886">
        <v>13.5</v>
      </c>
      <c r="C202" s="878">
        <v>13.5</v>
      </c>
    </row>
    <row r="203" spans="1:3" ht="16.149999999999999" customHeight="1">
      <c r="A203" s="883">
        <v>196603</v>
      </c>
      <c r="B203" s="884">
        <v>13.5</v>
      </c>
      <c r="C203" s="880">
        <v>13.5</v>
      </c>
    </row>
    <row r="204" spans="1:3" ht="16.149999999999999" customHeight="1">
      <c r="A204" s="885">
        <v>196604</v>
      </c>
      <c r="B204" s="886">
        <v>13.5</v>
      </c>
      <c r="C204" s="878">
        <v>13.5</v>
      </c>
    </row>
    <row r="205" spans="1:3" ht="16.149999999999999" customHeight="1">
      <c r="A205" s="883">
        <v>196605</v>
      </c>
      <c r="B205" s="884">
        <v>13.5</v>
      </c>
      <c r="C205" s="880">
        <v>13.5</v>
      </c>
    </row>
    <row r="206" spans="1:3" ht="16.149999999999999" customHeight="1">
      <c r="A206" s="885">
        <v>196606</v>
      </c>
      <c r="B206" s="886">
        <v>13.5</v>
      </c>
      <c r="C206" s="878">
        <v>13.5</v>
      </c>
    </row>
    <row r="207" spans="1:3" ht="16.149999999999999" customHeight="1">
      <c r="A207" s="883">
        <v>196607</v>
      </c>
      <c r="B207" s="884">
        <v>13.5</v>
      </c>
      <c r="C207" s="880">
        <v>13.5</v>
      </c>
    </row>
    <row r="208" spans="1:3" ht="16.149999999999999" customHeight="1">
      <c r="A208" s="885">
        <v>196608</v>
      </c>
      <c r="B208" s="886">
        <v>13.5</v>
      </c>
      <c r="C208" s="878">
        <v>13.5</v>
      </c>
    </row>
    <row r="209" spans="1:3" ht="16.149999999999999" customHeight="1">
      <c r="A209" s="883">
        <v>196609</v>
      </c>
      <c r="B209" s="884">
        <v>13.5</v>
      </c>
      <c r="C209" s="880">
        <v>13.5</v>
      </c>
    </row>
    <row r="210" spans="1:3" ht="16.149999999999999" customHeight="1">
      <c r="A210" s="885">
        <v>196610</v>
      </c>
      <c r="B210" s="886">
        <v>13.5</v>
      </c>
      <c r="C210" s="878">
        <v>13.5</v>
      </c>
    </row>
    <row r="211" spans="1:3" ht="16.149999999999999" customHeight="1">
      <c r="A211" s="883">
        <v>196611</v>
      </c>
      <c r="B211" s="884">
        <v>13.5</v>
      </c>
      <c r="C211" s="880">
        <v>13.5</v>
      </c>
    </row>
    <row r="212" spans="1:3" ht="16.149999999999999" customHeight="1">
      <c r="A212" s="885">
        <v>196612</v>
      </c>
      <c r="B212" s="886">
        <v>13.5</v>
      </c>
      <c r="C212" s="878">
        <v>13.5</v>
      </c>
    </row>
    <row r="213" spans="1:3" ht="16.149999999999999" customHeight="1">
      <c r="A213" s="883">
        <v>196701</v>
      </c>
      <c r="B213" s="884">
        <v>13.5</v>
      </c>
      <c r="C213" s="880">
        <v>13.5</v>
      </c>
    </row>
    <row r="214" spans="1:3" ht="16.149999999999999" customHeight="1">
      <c r="A214" s="885">
        <v>196702</v>
      </c>
      <c r="B214" s="886">
        <v>13.5</v>
      </c>
      <c r="C214" s="878">
        <v>13.5</v>
      </c>
    </row>
    <row r="215" spans="1:3" ht="16.149999999999999" customHeight="1">
      <c r="A215" s="883">
        <v>196703</v>
      </c>
      <c r="B215" s="884">
        <v>13.5</v>
      </c>
      <c r="C215" s="880">
        <v>13.5</v>
      </c>
    </row>
    <row r="216" spans="1:3" ht="16.149999999999999" customHeight="1">
      <c r="A216" s="885">
        <v>196704</v>
      </c>
      <c r="B216" s="886">
        <v>13.79</v>
      </c>
      <c r="C216" s="878">
        <v>13.89</v>
      </c>
    </row>
    <row r="217" spans="1:3" ht="16.149999999999999" customHeight="1">
      <c r="A217" s="883">
        <v>196705</v>
      </c>
      <c r="B217" s="884">
        <v>14.07</v>
      </c>
      <c r="C217" s="880">
        <v>14.18</v>
      </c>
    </row>
    <row r="218" spans="1:3" ht="16.149999999999999" customHeight="1">
      <c r="A218" s="885">
        <v>196706</v>
      </c>
      <c r="B218" s="886">
        <v>14.4</v>
      </c>
      <c r="C218" s="878">
        <v>14.46</v>
      </c>
    </row>
    <row r="219" spans="1:3" ht="16.149999999999999" customHeight="1">
      <c r="A219" s="883">
        <v>196707</v>
      </c>
      <c r="B219" s="884">
        <v>14.59</v>
      </c>
      <c r="C219" s="880">
        <v>14.7</v>
      </c>
    </row>
    <row r="220" spans="1:3" ht="16.149999999999999" customHeight="1">
      <c r="A220" s="885">
        <v>196708</v>
      </c>
      <c r="B220" s="886">
        <v>14.84</v>
      </c>
      <c r="C220" s="878">
        <v>14.98</v>
      </c>
    </row>
    <row r="221" spans="1:3" ht="16.149999999999999" customHeight="1">
      <c r="A221" s="883">
        <v>196709</v>
      </c>
      <c r="B221" s="884">
        <v>15.12</v>
      </c>
      <c r="C221" s="880">
        <v>15.29</v>
      </c>
    </row>
    <row r="222" spans="1:3" ht="16.149999999999999" customHeight="1">
      <c r="A222" s="885">
        <v>196710</v>
      </c>
      <c r="B222" s="886">
        <v>15.4</v>
      </c>
      <c r="C222" s="878">
        <v>15.51</v>
      </c>
    </row>
    <row r="223" spans="1:3" ht="16.149999999999999" customHeight="1">
      <c r="A223" s="883">
        <v>196711</v>
      </c>
      <c r="B223" s="884">
        <v>15.63</v>
      </c>
      <c r="C223" s="880">
        <v>15.69</v>
      </c>
    </row>
    <row r="224" spans="1:3" ht="16.149999999999999" customHeight="1">
      <c r="A224" s="885">
        <v>196712</v>
      </c>
      <c r="B224" s="886">
        <v>15.74</v>
      </c>
      <c r="C224" s="878">
        <v>15.76</v>
      </c>
    </row>
    <row r="225" spans="1:3" ht="16.149999999999999" customHeight="1">
      <c r="A225" s="883">
        <v>196801</v>
      </c>
      <c r="B225" s="884">
        <v>15.77</v>
      </c>
      <c r="C225" s="880">
        <v>15.78</v>
      </c>
    </row>
    <row r="226" spans="1:3" ht="16.149999999999999" customHeight="1">
      <c r="A226" s="885">
        <v>196802</v>
      </c>
      <c r="B226" s="886">
        <v>15.84</v>
      </c>
      <c r="C226" s="878">
        <v>15.88</v>
      </c>
    </row>
    <row r="227" spans="1:3" ht="16.149999999999999" customHeight="1">
      <c r="A227" s="883">
        <v>196803</v>
      </c>
      <c r="B227" s="884">
        <v>15.94</v>
      </c>
      <c r="C227" s="880">
        <v>15.98</v>
      </c>
    </row>
    <row r="228" spans="1:3" ht="16.149999999999999" customHeight="1">
      <c r="A228" s="885">
        <v>196804</v>
      </c>
      <c r="B228" s="886">
        <v>16.059999999999999</v>
      </c>
      <c r="C228" s="878">
        <v>16.12</v>
      </c>
    </row>
    <row r="229" spans="1:3" ht="16.149999999999999" customHeight="1">
      <c r="A229" s="883">
        <v>196805</v>
      </c>
      <c r="B229" s="884">
        <v>16.190000000000001</v>
      </c>
      <c r="C229" s="880">
        <v>16.239999999999998</v>
      </c>
    </row>
    <row r="230" spans="1:3" ht="16.149999999999999" customHeight="1">
      <c r="A230" s="885">
        <v>196806</v>
      </c>
      <c r="B230" s="886">
        <v>16.27</v>
      </c>
      <c r="C230" s="878">
        <v>16.29</v>
      </c>
    </row>
    <row r="231" spans="1:3" ht="16.149999999999999" customHeight="1">
      <c r="A231" s="883">
        <v>196807</v>
      </c>
      <c r="B231" s="884">
        <v>16.309999999999999</v>
      </c>
      <c r="C231" s="880">
        <v>16.350000000000001</v>
      </c>
    </row>
    <row r="232" spans="1:3" ht="16.149999999999999" customHeight="1">
      <c r="A232" s="885">
        <v>196808</v>
      </c>
      <c r="B232" s="886">
        <v>16.39</v>
      </c>
      <c r="C232" s="878">
        <v>16.440000000000001</v>
      </c>
    </row>
    <row r="233" spans="1:3" ht="16.149999999999999" customHeight="1">
      <c r="A233" s="883">
        <v>196809</v>
      </c>
      <c r="B233" s="884">
        <v>16.489999999999998</v>
      </c>
      <c r="C233" s="880">
        <v>16.54</v>
      </c>
    </row>
    <row r="234" spans="1:3" ht="16.149999999999999" customHeight="1">
      <c r="A234" s="885">
        <v>196810</v>
      </c>
      <c r="B234" s="886">
        <v>16.62</v>
      </c>
      <c r="C234" s="878">
        <v>16.68</v>
      </c>
    </row>
    <row r="235" spans="1:3" ht="16.149999999999999" customHeight="1">
      <c r="A235" s="883">
        <v>196811</v>
      </c>
      <c r="B235" s="884">
        <v>16.760000000000002</v>
      </c>
      <c r="C235" s="880">
        <v>16.82</v>
      </c>
    </row>
    <row r="236" spans="1:3" ht="16.149999999999999" customHeight="1">
      <c r="A236" s="885">
        <v>196812</v>
      </c>
      <c r="B236" s="886">
        <v>16.86</v>
      </c>
      <c r="C236" s="878">
        <v>16.88</v>
      </c>
    </row>
    <row r="237" spans="1:3" ht="16.149999999999999" customHeight="1">
      <c r="A237" s="883">
        <v>196901</v>
      </c>
      <c r="B237" s="884">
        <v>16.88</v>
      </c>
      <c r="C237" s="880">
        <v>16.899999999999999</v>
      </c>
    </row>
    <row r="238" spans="1:3" ht="16.149999999999999" customHeight="1">
      <c r="A238" s="885">
        <v>196902</v>
      </c>
      <c r="B238" s="886">
        <v>16.940000000000001</v>
      </c>
      <c r="C238" s="878">
        <v>16.97</v>
      </c>
    </row>
    <row r="239" spans="1:3" ht="16.149999999999999" customHeight="1">
      <c r="A239" s="883">
        <v>196903</v>
      </c>
      <c r="B239" s="884">
        <v>17.04</v>
      </c>
      <c r="C239" s="880">
        <v>17.100000000000001</v>
      </c>
    </row>
    <row r="240" spans="1:3" ht="16.149999999999999" customHeight="1">
      <c r="A240" s="885">
        <v>196904</v>
      </c>
      <c r="B240" s="886">
        <v>17.13</v>
      </c>
      <c r="C240" s="878">
        <v>17.13</v>
      </c>
    </row>
    <row r="241" spans="1:3" ht="16.149999999999999" customHeight="1">
      <c r="A241" s="883">
        <v>196905</v>
      </c>
      <c r="B241" s="884">
        <v>17.170000000000002</v>
      </c>
      <c r="C241" s="880">
        <v>17.21</v>
      </c>
    </row>
    <row r="242" spans="1:3" ht="16.149999999999999" customHeight="1">
      <c r="A242" s="885">
        <v>196906</v>
      </c>
      <c r="B242" s="886">
        <v>17.27</v>
      </c>
      <c r="C242" s="878">
        <v>17.309999999999999</v>
      </c>
    </row>
    <row r="243" spans="1:3" ht="16.149999999999999" customHeight="1">
      <c r="A243" s="883">
        <v>196907</v>
      </c>
      <c r="B243" s="884">
        <v>17.329999999999998</v>
      </c>
      <c r="C243" s="880">
        <v>17.38</v>
      </c>
    </row>
    <row r="244" spans="1:3" ht="16.149999999999999" customHeight="1">
      <c r="A244" s="885">
        <v>196908</v>
      </c>
      <c r="B244" s="886">
        <v>17.440000000000001</v>
      </c>
      <c r="C244" s="878">
        <v>17.5</v>
      </c>
    </row>
    <row r="245" spans="1:3" ht="16.149999999999999" customHeight="1">
      <c r="A245" s="883">
        <v>196909</v>
      </c>
      <c r="B245" s="884">
        <v>17.55</v>
      </c>
      <c r="C245" s="880">
        <v>17.579999999999998</v>
      </c>
    </row>
    <row r="246" spans="1:3" ht="16.149999999999999" customHeight="1">
      <c r="A246" s="885">
        <v>196910</v>
      </c>
      <c r="B246" s="886">
        <v>17.62</v>
      </c>
      <c r="C246" s="878">
        <v>17.63</v>
      </c>
    </row>
    <row r="247" spans="1:3" ht="16.149999999999999" customHeight="1">
      <c r="A247" s="883">
        <v>196911</v>
      </c>
      <c r="B247" s="884">
        <v>17.690000000000001</v>
      </c>
      <c r="C247" s="880">
        <v>17.739999999999998</v>
      </c>
    </row>
    <row r="248" spans="1:3" ht="16.149999999999999" customHeight="1">
      <c r="A248" s="885">
        <v>196912</v>
      </c>
      <c r="B248" s="886">
        <v>17.8</v>
      </c>
      <c r="C248" s="878">
        <v>17.850000000000001</v>
      </c>
    </row>
    <row r="249" spans="1:3" ht="16.149999999999999" customHeight="1">
      <c r="A249" s="883">
        <v>197001</v>
      </c>
      <c r="B249" s="884">
        <v>17.899999999999999</v>
      </c>
      <c r="C249" s="880">
        <v>17.95</v>
      </c>
    </row>
    <row r="250" spans="1:3" ht="16.149999999999999" customHeight="1">
      <c r="A250" s="885">
        <v>197002</v>
      </c>
      <c r="B250" s="886">
        <v>18</v>
      </c>
      <c r="C250" s="878">
        <v>18.04</v>
      </c>
    </row>
    <row r="251" spans="1:3" ht="16.149999999999999" customHeight="1">
      <c r="A251" s="883">
        <v>197003</v>
      </c>
      <c r="B251" s="884">
        <v>18.09</v>
      </c>
      <c r="C251" s="880">
        <v>18.14</v>
      </c>
    </row>
    <row r="252" spans="1:3" ht="16.149999999999999" customHeight="1">
      <c r="A252" s="885">
        <v>197004</v>
      </c>
      <c r="B252" s="886">
        <v>18.2</v>
      </c>
      <c r="C252" s="878">
        <v>18.25</v>
      </c>
    </row>
    <row r="253" spans="1:3" ht="16.149999999999999" customHeight="1">
      <c r="A253" s="883">
        <v>197005</v>
      </c>
      <c r="B253" s="884">
        <v>18.28</v>
      </c>
      <c r="C253" s="880">
        <v>18.32</v>
      </c>
    </row>
    <row r="254" spans="1:3" ht="16.149999999999999" customHeight="1">
      <c r="A254" s="885">
        <v>197006</v>
      </c>
      <c r="B254" s="886">
        <v>18.38</v>
      </c>
      <c r="C254" s="878">
        <v>18.420000000000002</v>
      </c>
    </row>
    <row r="255" spans="1:3" ht="16.149999999999999" customHeight="1">
      <c r="A255" s="883">
        <v>197007</v>
      </c>
      <c r="B255" s="884">
        <v>18.48</v>
      </c>
      <c r="C255" s="880">
        <v>18.510000000000002</v>
      </c>
    </row>
    <row r="256" spans="1:3" ht="16.149999999999999" customHeight="1">
      <c r="A256" s="885">
        <v>197008</v>
      </c>
      <c r="B256" s="886">
        <v>18.55</v>
      </c>
      <c r="C256" s="878">
        <v>18.600000000000001</v>
      </c>
    </row>
    <row r="257" spans="1:3" ht="16.149999999999999" customHeight="1">
      <c r="A257" s="883">
        <v>197009</v>
      </c>
      <c r="B257" s="884">
        <v>18.68</v>
      </c>
      <c r="C257" s="880">
        <v>18.760000000000002</v>
      </c>
    </row>
    <row r="258" spans="1:3" ht="16.149999999999999" customHeight="1">
      <c r="A258" s="885">
        <v>197010</v>
      </c>
      <c r="B258" s="886">
        <v>18.82</v>
      </c>
      <c r="C258" s="878">
        <v>18.87</v>
      </c>
    </row>
    <row r="259" spans="1:3" ht="16.149999999999999" customHeight="1">
      <c r="A259" s="883">
        <v>197011</v>
      </c>
      <c r="B259" s="884">
        <v>18.920000000000002</v>
      </c>
      <c r="C259" s="880">
        <v>18.96</v>
      </c>
    </row>
    <row r="260" spans="1:3" ht="16.149999999999999" customHeight="1">
      <c r="A260" s="885">
        <v>197012</v>
      </c>
      <c r="B260" s="886">
        <v>19.03</v>
      </c>
      <c r="C260" s="878">
        <v>19.09</v>
      </c>
    </row>
    <row r="261" spans="1:3" ht="16.149999999999999" customHeight="1">
      <c r="A261" s="883">
        <v>197101</v>
      </c>
      <c r="B261" s="884">
        <v>19.149999999999999</v>
      </c>
      <c r="C261" s="880">
        <v>19.22</v>
      </c>
    </row>
    <row r="262" spans="1:3" ht="16.149999999999999" customHeight="1">
      <c r="A262" s="885">
        <v>197102</v>
      </c>
      <c r="B262" s="886">
        <v>19.28</v>
      </c>
      <c r="C262" s="878">
        <v>19.329999999999998</v>
      </c>
    </row>
    <row r="263" spans="1:3" ht="16.149999999999999" customHeight="1">
      <c r="A263" s="883">
        <v>197103</v>
      </c>
      <c r="B263" s="884">
        <v>19.41</v>
      </c>
      <c r="C263" s="880">
        <v>19.489999999999998</v>
      </c>
    </row>
    <row r="264" spans="1:3" ht="16.149999999999999" customHeight="1">
      <c r="A264" s="885">
        <v>197104</v>
      </c>
      <c r="B264" s="886">
        <v>19.559999999999999</v>
      </c>
      <c r="C264" s="878">
        <v>19.64</v>
      </c>
    </row>
    <row r="265" spans="1:3" ht="16.149999999999999" customHeight="1">
      <c r="A265" s="883">
        <v>197105</v>
      </c>
      <c r="B265" s="884">
        <v>19.68</v>
      </c>
      <c r="C265" s="880">
        <v>19.72</v>
      </c>
    </row>
    <row r="266" spans="1:3" ht="16.149999999999999" customHeight="1">
      <c r="A266" s="885">
        <v>197106</v>
      </c>
      <c r="B266" s="886">
        <v>19.8</v>
      </c>
      <c r="C266" s="878">
        <v>19.87</v>
      </c>
    </row>
    <row r="267" spans="1:3" ht="16.149999999999999" customHeight="1">
      <c r="A267" s="883">
        <v>197107</v>
      </c>
      <c r="B267" s="884">
        <v>19.97</v>
      </c>
      <c r="C267" s="880">
        <v>20.059999999999999</v>
      </c>
    </row>
    <row r="268" spans="1:3" ht="16.149999999999999" customHeight="1">
      <c r="A268" s="885">
        <v>197108</v>
      </c>
      <c r="B268" s="886">
        <v>20.14</v>
      </c>
      <c r="C268" s="878">
        <v>20.23</v>
      </c>
    </row>
    <row r="269" spans="1:3" ht="16.149999999999999" customHeight="1">
      <c r="A269" s="883">
        <v>197109</v>
      </c>
      <c r="B269" s="884">
        <v>20.309999999999999</v>
      </c>
      <c r="C269" s="880">
        <v>20.38</v>
      </c>
    </row>
    <row r="270" spans="1:3" ht="16.149999999999999" customHeight="1">
      <c r="A270" s="885">
        <v>197110</v>
      </c>
      <c r="B270" s="886">
        <v>20.46</v>
      </c>
      <c r="C270" s="878">
        <v>20.54</v>
      </c>
    </row>
    <row r="271" spans="1:3" ht="16.149999999999999" customHeight="1">
      <c r="A271" s="883">
        <v>197111</v>
      </c>
      <c r="B271" s="884">
        <v>20.63</v>
      </c>
      <c r="C271" s="880">
        <v>20.71</v>
      </c>
    </row>
    <row r="272" spans="1:3" ht="16.149999999999999" customHeight="1">
      <c r="A272" s="885">
        <v>197112</v>
      </c>
      <c r="B272" s="886">
        <v>20.81</v>
      </c>
      <c r="C272" s="878">
        <v>20.91</v>
      </c>
    </row>
    <row r="273" spans="1:3" ht="16.149999999999999" customHeight="1">
      <c r="A273" s="883">
        <v>197201</v>
      </c>
      <c r="B273" s="884">
        <v>20.99</v>
      </c>
      <c r="C273" s="880">
        <v>21.08</v>
      </c>
    </row>
    <row r="274" spans="1:3" ht="16.149999999999999" customHeight="1">
      <c r="A274" s="885">
        <v>197202</v>
      </c>
      <c r="B274" s="886">
        <v>21.17</v>
      </c>
      <c r="C274" s="878">
        <v>21.24</v>
      </c>
    </row>
    <row r="275" spans="1:3" ht="16.149999999999999" customHeight="1">
      <c r="A275" s="883">
        <v>197203</v>
      </c>
      <c r="B275" s="884">
        <v>21.33</v>
      </c>
      <c r="C275" s="880">
        <v>21.42</v>
      </c>
    </row>
    <row r="276" spans="1:3" ht="16.149999999999999" customHeight="1">
      <c r="A276" s="885">
        <v>197204</v>
      </c>
      <c r="B276" s="886">
        <v>21.5</v>
      </c>
      <c r="C276" s="878">
        <v>21.58</v>
      </c>
    </row>
    <row r="277" spans="1:3" ht="16.149999999999999" customHeight="1">
      <c r="A277" s="883">
        <v>197205</v>
      </c>
      <c r="B277" s="884">
        <v>21.67</v>
      </c>
      <c r="C277" s="880">
        <v>21.75</v>
      </c>
    </row>
    <row r="278" spans="1:3" ht="16.149999999999999" customHeight="1">
      <c r="A278" s="885">
        <v>197206</v>
      </c>
      <c r="B278" s="886">
        <v>21.82</v>
      </c>
      <c r="C278" s="878">
        <v>21.9</v>
      </c>
    </row>
    <row r="279" spans="1:3" ht="16.149999999999999" customHeight="1">
      <c r="A279" s="883">
        <v>197207</v>
      </c>
      <c r="B279" s="884">
        <v>21.96</v>
      </c>
      <c r="C279" s="880">
        <v>22.01</v>
      </c>
    </row>
    <row r="280" spans="1:3" ht="16.149999999999999" customHeight="1">
      <c r="A280" s="885">
        <v>197208</v>
      </c>
      <c r="B280" s="886">
        <v>22.09</v>
      </c>
      <c r="C280" s="878">
        <v>22.16</v>
      </c>
    </row>
    <row r="281" spans="1:3" ht="16.149999999999999" customHeight="1">
      <c r="A281" s="883">
        <v>197209</v>
      </c>
      <c r="B281" s="884">
        <v>22.25</v>
      </c>
      <c r="C281" s="880">
        <v>22.33</v>
      </c>
    </row>
    <row r="282" spans="1:3" ht="16.149999999999999" customHeight="1">
      <c r="A282" s="885">
        <v>197210</v>
      </c>
      <c r="B282" s="886">
        <v>22.39</v>
      </c>
      <c r="C282" s="878">
        <v>22.46</v>
      </c>
    </row>
    <row r="283" spans="1:3" ht="16.149999999999999" customHeight="1">
      <c r="A283" s="883">
        <v>197211</v>
      </c>
      <c r="B283" s="884">
        <v>22.53</v>
      </c>
      <c r="C283" s="880">
        <v>22.6</v>
      </c>
    </row>
    <row r="284" spans="1:3" ht="16.149999999999999" customHeight="1">
      <c r="A284" s="885">
        <v>197212</v>
      </c>
      <c r="B284" s="886">
        <v>22.7</v>
      </c>
      <c r="C284" s="878">
        <v>22.79</v>
      </c>
    </row>
    <row r="285" spans="1:3" ht="16.149999999999999" customHeight="1">
      <c r="A285" s="883">
        <v>197301</v>
      </c>
      <c r="B285" s="884">
        <v>22.28</v>
      </c>
      <c r="C285" s="880">
        <v>22.96</v>
      </c>
    </row>
    <row r="286" spans="1:3" ht="16.149999999999999" customHeight="1">
      <c r="A286" s="885">
        <v>197302</v>
      </c>
      <c r="B286" s="886">
        <v>23.02</v>
      </c>
      <c r="C286" s="878">
        <v>23.08</v>
      </c>
    </row>
    <row r="287" spans="1:3" ht="16.149999999999999" customHeight="1">
      <c r="A287" s="883">
        <v>197303</v>
      </c>
      <c r="B287" s="884">
        <v>23.13</v>
      </c>
      <c r="C287" s="880">
        <v>23.2</v>
      </c>
    </row>
    <row r="288" spans="1:3" ht="16.149999999999999" customHeight="1">
      <c r="A288" s="885">
        <v>197304</v>
      </c>
      <c r="B288" s="886">
        <v>23.25</v>
      </c>
      <c r="C288" s="878">
        <v>23.29</v>
      </c>
    </row>
    <row r="289" spans="1:3" ht="16.149999999999999" customHeight="1">
      <c r="A289" s="883">
        <v>197305</v>
      </c>
      <c r="B289" s="884">
        <v>23.36</v>
      </c>
      <c r="C289" s="880">
        <v>23.42</v>
      </c>
    </row>
    <row r="290" spans="1:3" ht="16.149999999999999" customHeight="1">
      <c r="A290" s="885">
        <v>197306</v>
      </c>
      <c r="B290" s="886">
        <v>23.47</v>
      </c>
      <c r="C290" s="878">
        <v>23.52</v>
      </c>
    </row>
    <row r="291" spans="1:3" ht="16.149999999999999" customHeight="1">
      <c r="A291" s="883">
        <v>197307</v>
      </c>
      <c r="B291" s="884">
        <v>23.6</v>
      </c>
      <c r="C291" s="880">
        <v>23.67</v>
      </c>
    </row>
    <row r="292" spans="1:3" ht="16.149999999999999" customHeight="1">
      <c r="A292" s="885">
        <v>197308</v>
      </c>
      <c r="B292" s="886">
        <v>23.76</v>
      </c>
      <c r="C292" s="878">
        <v>23.87</v>
      </c>
    </row>
    <row r="293" spans="1:3" ht="16.149999999999999" customHeight="1">
      <c r="A293" s="883">
        <v>197309</v>
      </c>
      <c r="B293" s="884">
        <v>23.79</v>
      </c>
      <c r="C293" s="880">
        <v>24.07</v>
      </c>
    </row>
    <row r="294" spans="1:3" ht="16.149999999999999" customHeight="1">
      <c r="A294" s="885">
        <v>197310</v>
      </c>
      <c r="B294" s="886">
        <v>24.18</v>
      </c>
      <c r="C294" s="878">
        <v>24.28</v>
      </c>
    </row>
    <row r="295" spans="1:3" ht="16.149999999999999" customHeight="1">
      <c r="A295" s="883">
        <v>197311</v>
      </c>
      <c r="B295" s="884">
        <v>24.37</v>
      </c>
      <c r="C295" s="880">
        <v>24.47</v>
      </c>
    </row>
    <row r="296" spans="1:3" ht="16.149999999999999" customHeight="1">
      <c r="A296" s="885">
        <v>197312</v>
      </c>
      <c r="B296" s="886">
        <v>24.65</v>
      </c>
      <c r="C296" s="878">
        <v>24.79</v>
      </c>
    </row>
    <row r="297" spans="1:3" ht="16.149999999999999" customHeight="1">
      <c r="A297" s="883">
        <v>197401</v>
      </c>
      <c r="B297" s="884">
        <v>24.95</v>
      </c>
      <c r="C297" s="880">
        <v>25.1</v>
      </c>
    </row>
    <row r="298" spans="1:3" ht="16.149999999999999" customHeight="1">
      <c r="A298" s="885">
        <v>197402</v>
      </c>
      <c r="B298" s="886">
        <v>25.22</v>
      </c>
      <c r="C298" s="878">
        <v>25.33</v>
      </c>
    </row>
    <row r="299" spans="1:3" ht="16.149999999999999" customHeight="1">
      <c r="A299" s="883">
        <v>197403</v>
      </c>
      <c r="B299" s="884">
        <v>25.42</v>
      </c>
      <c r="C299" s="880">
        <v>25.47</v>
      </c>
    </row>
    <row r="300" spans="1:3" ht="16.149999999999999" customHeight="1">
      <c r="A300" s="885">
        <v>197404</v>
      </c>
      <c r="B300" s="886">
        <v>25.5</v>
      </c>
      <c r="C300" s="878">
        <v>25.52</v>
      </c>
    </row>
    <row r="301" spans="1:3" ht="16.149999999999999" customHeight="1">
      <c r="A301" s="883">
        <v>197405</v>
      </c>
      <c r="B301" s="884">
        <v>25.54</v>
      </c>
      <c r="C301" s="880">
        <v>25.56</v>
      </c>
    </row>
    <row r="302" spans="1:3" ht="16.149999999999999" customHeight="1">
      <c r="A302" s="885">
        <v>197406</v>
      </c>
      <c r="B302" s="886">
        <v>25.58</v>
      </c>
      <c r="C302" s="878">
        <v>25.61</v>
      </c>
    </row>
    <row r="303" spans="1:3" ht="16.149999999999999" customHeight="1">
      <c r="A303" s="883">
        <v>197407</v>
      </c>
      <c r="B303" s="884">
        <v>25.64</v>
      </c>
      <c r="C303" s="880">
        <v>25.69</v>
      </c>
    </row>
    <row r="304" spans="1:3" ht="16.149999999999999" customHeight="1">
      <c r="A304" s="885">
        <v>197408</v>
      </c>
      <c r="B304" s="886">
        <v>25.81</v>
      </c>
      <c r="C304" s="878">
        <v>26.01</v>
      </c>
    </row>
    <row r="305" spans="1:3" ht="16.149999999999999" customHeight="1">
      <c r="A305" s="883">
        <v>197409</v>
      </c>
      <c r="B305" s="884">
        <v>26.28</v>
      </c>
      <c r="C305" s="880">
        <v>26.57</v>
      </c>
    </row>
    <row r="306" spans="1:3" ht="16.149999999999999" customHeight="1">
      <c r="A306" s="885">
        <v>197410</v>
      </c>
      <c r="B306" s="886">
        <v>27.01</v>
      </c>
      <c r="C306" s="878">
        <v>27.3</v>
      </c>
    </row>
    <row r="307" spans="1:3" ht="16.149999999999999" customHeight="1">
      <c r="A307" s="883">
        <v>197411</v>
      </c>
      <c r="B307" s="884">
        <v>27.56</v>
      </c>
      <c r="C307" s="880">
        <v>27.88</v>
      </c>
    </row>
    <row r="308" spans="1:3" ht="16.149999999999999" customHeight="1">
      <c r="A308" s="885">
        <v>197412</v>
      </c>
      <c r="B308" s="886">
        <v>28.23</v>
      </c>
      <c r="C308" s="878">
        <v>28.63</v>
      </c>
    </row>
    <row r="309" spans="1:3" ht="16.149999999999999" customHeight="1">
      <c r="A309" s="883">
        <v>197501</v>
      </c>
      <c r="B309" s="884">
        <v>28.87</v>
      </c>
      <c r="C309" s="880">
        <v>29.07</v>
      </c>
    </row>
    <row r="310" spans="1:3" ht="16.149999999999999" customHeight="1">
      <c r="A310" s="885">
        <v>197502</v>
      </c>
      <c r="B310" s="886">
        <v>29.24</v>
      </c>
      <c r="C310" s="878">
        <v>29.47</v>
      </c>
    </row>
    <row r="311" spans="1:3" ht="16.149999999999999" customHeight="1">
      <c r="A311" s="883">
        <v>197503</v>
      </c>
      <c r="B311" s="884">
        <v>29.66</v>
      </c>
      <c r="C311" s="880">
        <v>29.86</v>
      </c>
    </row>
    <row r="312" spans="1:3" ht="16.149999999999999" customHeight="1">
      <c r="A312" s="885">
        <v>197504</v>
      </c>
      <c r="B312" s="886">
        <v>30.05</v>
      </c>
      <c r="C312" s="878">
        <v>30.24</v>
      </c>
    </row>
    <row r="313" spans="1:3" ht="16.149999999999999" customHeight="1">
      <c r="A313" s="883">
        <v>197505</v>
      </c>
      <c r="B313" s="884">
        <v>30.42</v>
      </c>
      <c r="C313" s="880">
        <v>30.64</v>
      </c>
    </row>
    <row r="314" spans="1:3" ht="16.149999999999999" customHeight="1">
      <c r="A314" s="885">
        <v>197506</v>
      </c>
      <c r="B314" s="886">
        <v>30.82</v>
      </c>
      <c r="C314" s="878">
        <v>31</v>
      </c>
    </row>
    <row r="315" spans="1:3" ht="16.149999999999999" customHeight="1">
      <c r="A315" s="883">
        <v>197507</v>
      </c>
      <c r="B315" s="884">
        <v>31.18</v>
      </c>
      <c r="C315" s="880">
        <v>31.36</v>
      </c>
    </row>
    <row r="316" spans="1:3" ht="16.149999999999999" customHeight="1">
      <c r="A316" s="885">
        <v>197508</v>
      </c>
      <c r="B316" s="886">
        <v>31.52</v>
      </c>
      <c r="C316" s="878">
        <v>31.7</v>
      </c>
    </row>
    <row r="317" spans="1:3" ht="16.149999999999999" customHeight="1">
      <c r="A317" s="883">
        <v>197509</v>
      </c>
      <c r="B317" s="884">
        <v>31.85</v>
      </c>
      <c r="C317" s="880">
        <v>32.020000000000003</v>
      </c>
    </row>
    <row r="318" spans="1:3" ht="16.149999999999999" customHeight="1">
      <c r="A318" s="885">
        <v>197510</v>
      </c>
      <c r="B318" s="886">
        <v>32.17</v>
      </c>
      <c r="C318" s="878">
        <v>32.36</v>
      </c>
    </row>
    <row r="319" spans="1:3" ht="16.149999999999999" customHeight="1">
      <c r="A319" s="883">
        <v>197511</v>
      </c>
      <c r="B319" s="884">
        <v>32.51</v>
      </c>
      <c r="C319" s="880">
        <v>32.68</v>
      </c>
    </row>
    <row r="320" spans="1:3" ht="16.149999999999999" customHeight="1">
      <c r="A320" s="885">
        <v>197512</v>
      </c>
      <c r="B320" s="886">
        <v>32.840000000000003</v>
      </c>
      <c r="C320" s="878">
        <v>32.96</v>
      </c>
    </row>
    <row r="321" spans="1:3" ht="16.149999999999999" customHeight="1">
      <c r="A321" s="883">
        <v>197601</v>
      </c>
      <c r="B321" s="884">
        <v>33.1</v>
      </c>
      <c r="C321" s="880">
        <v>33.32</v>
      </c>
    </row>
    <row r="322" spans="1:3" ht="16.149999999999999" customHeight="1">
      <c r="A322" s="885">
        <v>197602</v>
      </c>
      <c r="B322" s="886">
        <v>33.49</v>
      </c>
      <c r="C322" s="878">
        <v>33.630000000000003</v>
      </c>
    </row>
    <row r="323" spans="1:3" ht="16.149999999999999" customHeight="1">
      <c r="A323" s="883">
        <v>197603</v>
      </c>
      <c r="B323" s="884">
        <v>33.79</v>
      </c>
      <c r="C323" s="880">
        <v>33.950000000000003</v>
      </c>
    </row>
    <row r="324" spans="1:3" ht="16.149999999999999" customHeight="1">
      <c r="A324" s="885">
        <v>197604</v>
      </c>
      <c r="B324" s="886">
        <v>34.1</v>
      </c>
      <c r="C324" s="878">
        <v>34.29</v>
      </c>
    </row>
    <row r="325" spans="1:3" ht="16.149999999999999" customHeight="1">
      <c r="A325" s="883">
        <v>197605</v>
      </c>
      <c r="B325" s="884">
        <v>34.450000000000003</v>
      </c>
      <c r="C325" s="880">
        <v>34.58</v>
      </c>
    </row>
    <row r="326" spans="1:3" ht="16.149999999999999" customHeight="1">
      <c r="A326" s="885">
        <v>197606</v>
      </c>
      <c r="B326" s="886">
        <v>34.65</v>
      </c>
      <c r="C326" s="878">
        <v>34.700000000000003</v>
      </c>
    </row>
    <row r="327" spans="1:3" ht="16.149999999999999" customHeight="1">
      <c r="A327" s="883">
        <v>197607</v>
      </c>
      <c r="B327" s="884">
        <v>34.89</v>
      </c>
      <c r="C327" s="880">
        <v>35.119999999999997</v>
      </c>
    </row>
    <row r="328" spans="1:3" ht="16.149999999999999" customHeight="1">
      <c r="A328" s="885">
        <v>197608</v>
      </c>
      <c r="B328" s="886">
        <v>35.200000000000003</v>
      </c>
      <c r="C328" s="878">
        <v>35.22</v>
      </c>
    </row>
    <row r="329" spans="1:3" ht="16.149999999999999" customHeight="1">
      <c r="A329" s="883">
        <v>197609</v>
      </c>
      <c r="B329" s="884">
        <v>35.25</v>
      </c>
      <c r="C329" s="880">
        <v>35.29</v>
      </c>
    </row>
    <row r="330" spans="1:3" ht="16.149999999999999" customHeight="1">
      <c r="A330" s="885">
        <v>197610</v>
      </c>
      <c r="B330" s="886">
        <v>35.409999999999997</v>
      </c>
      <c r="C330" s="878">
        <v>35.58</v>
      </c>
    </row>
    <row r="331" spans="1:3" ht="16.149999999999999" customHeight="1">
      <c r="A331" s="883">
        <v>197611</v>
      </c>
      <c r="B331" s="884">
        <v>35.81</v>
      </c>
      <c r="C331" s="880">
        <v>36.04</v>
      </c>
    </row>
    <row r="332" spans="1:3" ht="16.149999999999999" customHeight="1">
      <c r="A332" s="885">
        <v>197612</v>
      </c>
      <c r="B332" s="886">
        <v>36.200000000000003</v>
      </c>
      <c r="C332" s="878">
        <v>36.32</v>
      </c>
    </row>
    <row r="333" spans="1:3" ht="16.149999999999999" customHeight="1">
      <c r="A333" s="883">
        <v>197701</v>
      </c>
      <c r="B333" s="884">
        <v>36.369999999999997</v>
      </c>
      <c r="C333" s="880">
        <v>36.380000000000003</v>
      </c>
    </row>
    <row r="334" spans="1:3" ht="16.149999999999999" customHeight="1">
      <c r="A334" s="885">
        <v>197702</v>
      </c>
      <c r="B334" s="886">
        <v>36.380000000000003</v>
      </c>
      <c r="C334" s="878">
        <v>36.380000000000003</v>
      </c>
    </row>
    <row r="335" spans="1:3" ht="16.149999999999999" customHeight="1">
      <c r="A335" s="883">
        <v>197703</v>
      </c>
      <c r="B335" s="884">
        <v>36.46</v>
      </c>
      <c r="C335" s="880">
        <v>36.590000000000003</v>
      </c>
    </row>
    <row r="336" spans="1:3" ht="16.149999999999999" customHeight="1">
      <c r="A336" s="885">
        <v>197704</v>
      </c>
      <c r="B336" s="886">
        <v>36.54</v>
      </c>
      <c r="C336" s="878">
        <v>36.5</v>
      </c>
    </row>
    <row r="337" spans="1:3" ht="16.149999999999999" customHeight="1">
      <c r="A337" s="883">
        <v>197705</v>
      </c>
      <c r="B337" s="884">
        <v>36.5</v>
      </c>
      <c r="C337" s="880">
        <v>36.5</v>
      </c>
    </row>
    <row r="338" spans="1:3" ht="16.149999999999999" customHeight="1">
      <c r="A338" s="885">
        <v>197706</v>
      </c>
      <c r="B338" s="886">
        <v>36.5</v>
      </c>
      <c r="C338" s="878">
        <v>36.5</v>
      </c>
    </row>
    <row r="339" spans="1:3" ht="16.149999999999999" customHeight="1">
      <c r="A339" s="883">
        <v>197707</v>
      </c>
      <c r="B339" s="884">
        <v>36.51</v>
      </c>
      <c r="C339" s="880">
        <v>36.54</v>
      </c>
    </row>
    <row r="340" spans="1:3" ht="16.149999999999999" customHeight="1">
      <c r="A340" s="885">
        <v>197708</v>
      </c>
      <c r="B340" s="886">
        <v>36.67</v>
      </c>
      <c r="C340" s="878">
        <v>36.82</v>
      </c>
    </row>
    <row r="341" spans="1:3" ht="16.149999999999999" customHeight="1">
      <c r="A341" s="883">
        <v>197709</v>
      </c>
      <c r="B341" s="884">
        <v>36.97</v>
      </c>
      <c r="C341" s="880">
        <v>37.14</v>
      </c>
    </row>
    <row r="342" spans="1:3" ht="16.149999999999999" customHeight="1">
      <c r="A342" s="885">
        <v>197710</v>
      </c>
      <c r="B342" s="886">
        <v>37.229999999999997</v>
      </c>
      <c r="C342" s="878">
        <v>37.35</v>
      </c>
    </row>
    <row r="343" spans="1:3" ht="16.149999999999999" customHeight="1">
      <c r="A343" s="883">
        <v>197711</v>
      </c>
      <c r="B343" s="884">
        <v>37.450000000000003</v>
      </c>
      <c r="C343" s="880">
        <v>37.549999999999997</v>
      </c>
    </row>
    <row r="344" spans="1:3" ht="16.149999999999999" customHeight="1">
      <c r="A344" s="885">
        <v>197712</v>
      </c>
      <c r="B344" s="886">
        <v>37.71</v>
      </c>
      <c r="C344" s="878">
        <v>37.96</v>
      </c>
    </row>
    <row r="345" spans="1:3" ht="16.149999999999999" customHeight="1">
      <c r="A345" s="883">
        <v>197801</v>
      </c>
      <c r="B345" s="884">
        <v>38.03</v>
      </c>
      <c r="C345" s="880">
        <v>38.08</v>
      </c>
    </row>
    <row r="346" spans="1:3" ht="16.149999999999999" customHeight="1">
      <c r="A346" s="885">
        <v>197802</v>
      </c>
      <c r="B346" s="886">
        <v>38.14</v>
      </c>
      <c r="C346" s="878">
        <v>38.22</v>
      </c>
    </row>
    <row r="347" spans="1:3" ht="16.149999999999999" customHeight="1">
      <c r="A347" s="883">
        <v>197803</v>
      </c>
      <c r="B347" s="884">
        <v>38.33</v>
      </c>
      <c r="C347" s="880">
        <v>38.42</v>
      </c>
    </row>
    <row r="348" spans="1:3" ht="16.149999999999999" customHeight="1">
      <c r="A348" s="885">
        <v>197804</v>
      </c>
      <c r="B348" s="886">
        <v>38.49</v>
      </c>
      <c r="C348" s="878">
        <v>38.58</v>
      </c>
    </row>
    <row r="349" spans="1:3" ht="16.149999999999999" customHeight="1">
      <c r="A349" s="883">
        <v>197805</v>
      </c>
      <c r="B349" s="884">
        <v>38.659999999999997</v>
      </c>
      <c r="C349" s="880">
        <v>38.75</v>
      </c>
    </row>
    <row r="350" spans="1:3" ht="16.149999999999999" customHeight="1">
      <c r="A350" s="885">
        <v>197806</v>
      </c>
      <c r="B350" s="886">
        <v>38.81</v>
      </c>
      <c r="C350" s="878">
        <v>38.869999999999997</v>
      </c>
    </row>
    <row r="351" spans="1:3" ht="16.149999999999999" customHeight="1">
      <c r="A351" s="883">
        <v>197807</v>
      </c>
      <c r="B351" s="884">
        <v>38.950000000000003</v>
      </c>
      <c r="C351" s="880">
        <v>38.99</v>
      </c>
    </row>
    <row r="352" spans="1:3" ht="16.149999999999999" customHeight="1">
      <c r="A352" s="885">
        <v>197808</v>
      </c>
      <c r="B352" s="886">
        <v>39.11</v>
      </c>
      <c r="C352" s="878">
        <v>39.229999999999997</v>
      </c>
    </row>
    <row r="353" spans="1:3" ht="16.149999999999999" customHeight="1">
      <c r="A353" s="883">
        <v>197809</v>
      </c>
      <c r="B353" s="884">
        <v>39.450000000000003</v>
      </c>
      <c r="C353" s="880">
        <v>39.75</v>
      </c>
    </row>
    <row r="354" spans="1:3" ht="16.149999999999999" customHeight="1">
      <c r="A354" s="885">
        <v>197810</v>
      </c>
      <c r="B354" s="886">
        <v>39.979999999999997</v>
      </c>
      <c r="C354" s="878">
        <v>40.200000000000003</v>
      </c>
    </row>
    <row r="355" spans="1:3" ht="16.149999999999999" customHeight="1">
      <c r="A355" s="883">
        <v>197811</v>
      </c>
      <c r="B355" s="884">
        <v>40.4</v>
      </c>
      <c r="C355" s="880">
        <v>40.6</v>
      </c>
    </row>
    <row r="356" spans="1:3" ht="16.149999999999999" customHeight="1">
      <c r="A356" s="885">
        <v>197812</v>
      </c>
      <c r="B356" s="886">
        <v>40.79</v>
      </c>
      <c r="C356" s="878">
        <v>41</v>
      </c>
    </row>
    <row r="357" spans="1:3" ht="16.149999999999999" customHeight="1">
      <c r="A357" s="883">
        <v>197901</v>
      </c>
      <c r="B357" s="884">
        <v>41.15</v>
      </c>
      <c r="C357" s="880">
        <v>41.3</v>
      </c>
    </row>
    <row r="358" spans="1:3" ht="16.149999999999999" customHeight="1">
      <c r="A358" s="885">
        <v>197902</v>
      </c>
      <c r="B358" s="886">
        <v>41.44</v>
      </c>
      <c r="C358" s="878">
        <v>41.58</v>
      </c>
    </row>
    <row r="359" spans="1:3" ht="16.149999999999999" customHeight="1">
      <c r="A359" s="883">
        <v>197903</v>
      </c>
      <c r="B359" s="884">
        <v>41.79</v>
      </c>
      <c r="C359" s="880">
        <v>42.02</v>
      </c>
    </row>
    <row r="360" spans="1:3" ht="16.149999999999999" customHeight="1">
      <c r="A360" s="885">
        <v>197904</v>
      </c>
      <c r="B360" s="886">
        <v>42.21</v>
      </c>
      <c r="C360" s="878">
        <v>42.43</v>
      </c>
    </row>
    <row r="361" spans="1:3" ht="16.149999999999999" customHeight="1">
      <c r="A361" s="883">
        <v>197905</v>
      </c>
      <c r="B361" s="884">
        <v>42.56</v>
      </c>
      <c r="C361" s="880">
        <v>42.69</v>
      </c>
    </row>
    <row r="362" spans="1:3" ht="16.149999999999999" customHeight="1">
      <c r="A362" s="885">
        <v>197906</v>
      </c>
      <c r="B362" s="886">
        <v>42.69</v>
      </c>
      <c r="C362" s="878">
        <v>42.71</v>
      </c>
    </row>
    <row r="363" spans="1:3" ht="16.149999999999999" customHeight="1">
      <c r="A363" s="883">
        <v>197907</v>
      </c>
      <c r="B363" s="884">
        <v>42.74</v>
      </c>
      <c r="C363" s="880">
        <v>42.76</v>
      </c>
    </row>
    <row r="364" spans="1:3" ht="16.149999999999999" customHeight="1">
      <c r="A364" s="885">
        <v>197908</v>
      </c>
      <c r="B364" s="886">
        <v>42.8</v>
      </c>
      <c r="C364" s="878">
        <v>42.88</v>
      </c>
    </row>
    <row r="365" spans="1:3" ht="16.149999999999999" customHeight="1">
      <c r="A365" s="883">
        <v>197909</v>
      </c>
      <c r="B365" s="884">
        <v>42.89</v>
      </c>
      <c r="C365" s="880">
        <v>43</v>
      </c>
    </row>
    <row r="366" spans="1:3" ht="16.149999999999999" customHeight="1">
      <c r="A366" s="885">
        <v>197910</v>
      </c>
      <c r="B366" s="886">
        <v>43.14</v>
      </c>
      <c r="C366" s="878">
        <v>43.23</v>
      </c>
    </row>
    <row r="367" spans="1:3" ht="16.149999999999999" customHeight="1">
      <c r="A367" s="883">
        <v>197911</v>
      </c>
      <c r="B367" s="884">
        <v>43.38</v>
      </c>
      <c r="C367" s="880">
        <v>43.53</v>
      </c>
    </row>
    <row r="368" spans="1:3" ht="16.149999999999999" customHeight="1">
      <c r="A368" s="885">
        <v>197912</v>
      </c>
      <c r="B368" s="886">
        <v>43.79</v>
      </c>
      <c r="C368" s="878">
        <v>44</v>
      </c>
    </row>
    <row r="369" spans="1:3" ht="16.149999999999999" customHeight="1">
      <c r="A369" s="883">
        <v>198001</v>
      </c>
      <c r="B369" s="884">
        <v>44.16</v>
      </c>
      <c r="C369" s="880">
        <v>44.41</v>
      </c>
    </row>
    <row r="370" spans="1:3" ht="16.149999999999999" customHeight="1">
      <c r="A370" s="885">
        <v>198002</v>
      </c>
      <c r="B370" s="886">
        <v>44.68</v>
      </c>
      <c r="C370" s="878">
        <v>44.94</v>
      </c>
    </row>
    <row r="371" spans="1:3" ht="16.149999999999999" customHeight="1">
      <c r="A371" s="883">
        <v>198003</v>
      </c>
      <c r="B371" s="884">
        <v>45.32</v>
      </c>
      <c r="C371" s="880">
        <v>45.62</v>
      </c>
    </row>
    <row r="372" spans="1:3" ht="16.149999999999999" customHeight="1">
      <c r="A372" s="885">
        <v>198004</v>
      </c>
      <c r="B372" s="886">
        <v>45.82</v>
      </c>
      <c r="C372" s="878">
        <v>46.05</v>
      </c>
    </row>
    <row r="373" spans="1:3" ht="16.149999999999999" customHeight="1">
      <c r="A373" s="883">
        <v>198005</v>
      </c>
      <c r="B373" s="884">
        <v>46.44</v>
      </c>
      <c r="C373" s="880">
        <v>46.78</v>
      </c>
    </row>
    <row r="374" spans="1:3" ht="16.149999999999999" customHeight="1">
      <c r="A374" s="885">
        <v>198006</v>
      </c>
      <c r="B374" s="886">
        <v>47.1</v>
      </c>
      <c r="C374" s="878">
        <v>47.32</v>
      </c>
    </row>
    <row r="375" spans="1:3" ht="16.149999999999999" customHeight="1">
      <c r="A375" s="883">
        <v>198007</v>
      </c>
      <c r="B375" s="884">
        <v>47.52</v>
      </c>
      <c r="C375" s="880">
        <v>47.79</v>
      </c>
    </row>
    <row r="376" spans="1:3" ht="16.149999999999999" customHeight="1">
      <c r="A376" s="885">
        <v>198008</v>
      </c>
      <c r="B376" s="886">
        <v>48.02</v>
      </c>
      <c r="C376" s="878">
        <v>48.24</v>
      </c>
    </row>
    <row r="377" spans="1:3" ht="16.149999999999999" customHeight="1">
      <c r="A377" s="883">
        <v>198009</v>
      </c>
      <c r="B377" s="884">
        <v>48.56</v>
      </c>
      <c r="C377" s="880">
        <v>48.92</v>
      </c>
    </row>
    <row r="378" spans="1:3" ht="16.149999999999999" customHeight="1">
      <c r="A378" s="885">
        <v>198010</v>
      </c>
      <c r="B378" s="886">
        <v>49.23</v>
      </c>
      <c r="C378" s="878">
        <v>49.6</v>
      </c>
    </row>
    <row r="379" spans="1:3" ht="16.149999999999999" customHeight="1">
      <c r="A379" s="883">
        <v>198011</v>
      </c>
      <c r="B379" s="884">
        <v>49.93</v>
      </c>
      <c r="C379" s="880">
        <v>50.27</v>
      </c>
    </row>
    <row r="380" spans="1:3" ht="16.149999999999999" customHeight="1">
      <c r="A380" s="885">
        <v>198012</v>
      </c>
      <c r="B380" s="886">
        <v>50.56</v>
      </c>
      <c r="C380" s="878">
        <v>50.92</v>
      </c>
    </row>
    <row r="381" spans="1:3" ht="16.149999999999999" customHeight="1">
      <c r="A381" s="883">
        <v>198101</v>
      </c>
      <c r="B381" s="884">
        <v>51.08</v>
      </c>
      <c r="C381" s="880">
        <v>51.45</v>
      </c>
    </row>
    <row r="382" spans="1:3" ht="16.149999999999999" customHeight="1">
      <c r="A382" s="885">
        <v>198102</v>
      </c>
      <c r="B382" s="886">
        <v>51.71</v>
      </c>
      <c r="C382" s="878">
        <v>51.96</v>
      </c>
    </row>
    <row r="383" spans="1:3" ht="16.149999999999999" customHeight="1">
      <c r="A383" s="883">
        <v>198103</v>
      </c>
      <c r="B383" s="884">
        <v>52.24</v>
      </c>
      <c r="C383" s="880">
        <v>52.49</v>
      </c>
    </row>
    <row r="384" spans="1:3" ht="16.149999999999999" customHeight="1">
      <c r="A384" s="885">
        <v>198104</v>
      </c>
      <c r="B384" s="886">
        <v>52.71</v>
      </c>
      <c r="C384" s="878">
        <v>52.94</v>
      </c>
    </row>
    <row r="385" spans="1:3" ht="16.149999999999999" customHeight="1">
      <c r="A385" s="883">
        <v>198105</v>
      </c>
      <c r="B385" s="884">
        <v>53.24</v>
      </c>
      <c r="C385" s="880">
        <v>53.57</v>
      </c>
    </row>
    <row r="386" spans="1:3" ht="16.149999999999999" customHeight="1">
      <c r="A386" s="885">
        <v>198106</v>
      </c>
      <c r="B386" s="886">
        <v>53.9</v>
      </c>
      <c r="C386" s="878">
        <v>54.18</v>
      </c>
    </row>
    <row r="387" spans="1:3" ht="16.149999999999999" customHeight="1">
      <c r="A387" s="883">
        <v>198107</v>
      </c>
      <c r="B387" s="884">
        <v>54.57</v>
      </c>
      <c r="C387" s="880">
        <v>54.93</v>
      </c>
    </row>
    <row r="388" spans="1:3" ht="16.149999999999999" customHeight="1">
      <c r="A388" s="885">
        <v>198108</v>
      </c>
      <c r="B388" s="886">
        <v>55.3</v>
      </c>
      <c r="C388" s="878">
        <v>55.68</v>
      </c>
    </row>
    <row r="389" spans="1:3" ht="16.149999999999999" customHeight="1">
      <c r="A389" s="883">
        <v>198109</v>
      </c>
      <c r="B389" s="884">
        <v>56.03</v>
      </c>
      <c r="C389" s="880">
        <v>56.39</v>
      </c>
    </row>
    <row r="390" spans="1:3" ht="16.149999999999999" customHeight="1">
      <c r="A390" s="885">
        <v>198110</v>
      </c>
      <c r="B390" s="886">
        <v>56.79</v>
      </c>
      <c r="C390" s="878">
        <v>57.22</v>
      </c>
    </row>
    <row r="391" spans="1:3" ht="16.149999999999999" customHeight="1">
      <c r="A391" s="883">
        <v>198111</v>
      </c>
      <c r="B391" s="884">
        <v>57.66</v>
      </c>
      <c r="C391" s="880">
        <v>58.09</v>
      </c>
    </row>
    <row r="392" spans="1:3" ht="16.149999999999999" customHeight="1">
      <c r="A392" s="885">
        <v>198112</v>
      </c>
      <c r="B392" s="886">
        <v>58.64</v>
      </c>
      <c r="C392" s="878">
        <v>59.07</v>
      </c>
    </row>
    <row r="393" spans="1:3" ht="16.149999999999999" customHeight="1">
      <c r="A393" s="883">
        <v>198201</v>
      </c>
      <c r="B393" s="884">
        <v>59.5</v>
      </c>
      <c r="C393" s="880">
        <v>59.84</v>
      </c>
    </row>
    <row r="394" spans="1:3" ht="16.149999999999999" customHeight="1">
      <c r="A394" s="885">
        <v>198202</v>
      </c>
      <c r="B394" s="886">
        <v>60.24</v>
      </c>
      <c r="C394" s="878">
        <v>60.63</v>
      </c>
    </row>
    <row r="395" spans="1:3" ht="16.149999999999999" customHeight="1">
      <c r="A395" s="883">
        <v>198203</v>
      </c>
      <c r="B395" s="884">
        <v>60.99</v>
      </c>
      <c r="C395" s="880">
        <v>61.4</v>
      </c>
    </row>
    <row r="396" spans="1:3" ht="16.149999999999999" customHeight="1">
      <c r="A396" s="885">
        <v>198204</v>
      </c>
      <c r="B396" s="886">
        <v>61.82</v>
      </c>
      <c r="C396" s="878">
        <v>62.21</v>
      </c>
    </row>
    <row r="397" spans="1:3" ht="16.149999999999999" customHeight="1">
      <c r="A397" s="883">
        <v>198205</v>
      </c>
      <c r="B397" s="884">
        <v>62.63</v>
      </c>
      <c r="C397" s="880">
        <v>63.02</v>
      </c>
    </row>
    <row r="398" spans="1:3" ht="16.149999999999999" customHeight="1">
      <c r="A398" s="885">
        <v>198206</v>
      </c>
      <c r="B398" s="886">
        <v>63.52</v>
      </c>
      <c r="C398" s="878">
        <v>63.84</v>
      </c>
    </row>
    <row r="399" spans="1:3" ht="16.149999999999999" customHeight="1">
      <c r="A399" s="883">
        <v>198207</v>
      </c>
      <c r="B399" s="884">
        <v>64.25</v>
      </c>
      <c r="C399" s="880">
        <v>64.69</v>
      </c>
    </row>
    <row r="400" spans="1:3" ht="16.149999999999999" customHeight="1">
      <c r="A400" s="885">
        <v>198208</v>
      </c>
      <c r="B400" s="886">
        <v>65.180000000000007</v>
      </c>
      <c r="C400" s="878">
        <v>65.55</v>
      </c>
    </row>
    <row r="401" spans="1:3" ht="16.149999999999999" customHeight="1">
      <c r="A401" s="883">
        <v>198209</v>
      </c>
      <c r="B401" s="884">
        <v>65.98</v>
      </c>
      <c r="C401" s="880">
        <v>66.42</v>
      </c>
    </row>
    <row r="402" spans="1:3" ht="16.149999999999999" customHeight="1">
      <c r="A402" s="885">
        <v>198210</v>
      </c>
      <c r="B402" s="886">
        <v>66.989999999999995</v>
      </c>
      <c r="C402" s="878">
        <v>67.680000000000007</v>
      </c>
    </row>
    <row r="403" spans="1:3" ht="16.149999999999999" customHeight="1">
      <c r="A403" s="883">
        <v>198211</v>
      </c>
      <c r="B403" s="884">
        <v>68.34</v>
      </c>
      <c r="C403" s="880">
        <v>68.97</v>
      </c>
    </row>
    <row r="404" spans="1:3" ht="16.149999999999999" customHeight="1">
      <c r="A404" s="885">
        <v>198212</v>
      </c>
      <c r="B404" s="886">
        <v>69.59</v>
      </c>
      <c r="C404" s="878">
        <v>70.290000000000006</v>
      </c>
    </row>
    <row r="405" spans="1:3" ht="16.149999999999999" customHeight="1">
      <c r="A405" s="883">
        <v>198301</v>
      </c>
      <c r="B405" s="884">
        <v>70.900000000000006</v>
      </c>
      <c r="C405" s="880">
        <v>71.45</v>
      </c>
    </row>
    <row r="406" spans="1:3" ht="16.149999999999999" customHeight="1">
      <c r="A406" s="885">
        <v>198302</v>
      </c>
      <c r="B406" s="886">
        <v>72.06</v>
      </c>
      <c r="C406" s="878">
        <v>72.81</v>
      </c>
    </row>
    <row r="407" spans="1:3" ht="16.149999999999999" customHeight="1">
      <c r="A407" s="883">
        <v>198303</v>
      </c>
      <c r="B407" s="884">
        <v>73.48</v>
      </c>
      <c r="C407" s="880">
        <v>74.19</v>
      </c>
    </row>
    <row r="408" spans="1:3" ht="16.149999999999999" customHeight="1">
      <c r="A408" s="885">
        <v>198304</v>
      </c>
      <c r="B408" s="886">
        <v>74.89</v>
      </c>
      <c r="C408" s="878">
        <v>75.599999999999994</v>
      </c>
    </row>
    <row r="409" spans="1:3" ht="16.149999999999999" customHeight="1">
      <c r="A409" s="883">
        <v>198305</v>
      </c>
      <c r="B409" s="884">
        <v>76.36</v>
      </c>
      <c r="C409" s="880">
        <v>77.040000000000006</v>
      </c>
    </row>
    <row r="410" spans="1:3" ht="16.149999999999999" customHeight="1">
      <c r="A410" s="885">
        <v>198306</v>
      </c>
      <c r="B410" s="886">
        <v>77.78</v>
      </c>
      <c r="C410" s="878">
        <v>78.510000000000005</v>
      </c>
    </row>
    <row r="411" spans="1:3" ht="16.149999999999999" customHeight="1">
      <c r="A411" s="883">
        <v>198307</v>
      </c>
      <c r="B411" s="884">
        <v>79.22</v>
      </c>
      <c r="C411" s="880">
        <v>80</v>
      </c>
    </row>
    <row r="412" spans="1:3" ht="16.149999999999999" customHeight="1">
      <c r="A412" s="885">
        <v>198308</v>
      </c>
      <c r="B412" s="886">
        <v>80.88</v>
      </c>
      <c r="C412" s="878">
        <v>81.680000000000007</v>
      </c>
    </row>
    <row r="413" spans="1:3" ht="16.149999999999999" customHeight="1">
      <c r="A413" s="883">
        <v>198309</v>
      </c>
      <c r="B413" s="884">
        <v>82.52</v>
      </c>
      <c r="C413" s="880">
        <v>83.4</v>
      </c>
    </row>
    <row r="414" spans="1:3" ht="16.149999999999999" customHeight="1">
      <c r="A414" s="885">
        <v>198310</v>
      </c>
      <c r="B414" s="886">
        <v>84.26</v>
      </c>
      <c r="C414" s="878">
        <v>85.15</v>
      </c>
    </row>
    <row r="415" spans="1:3" ht="16.149999999999999" customHeight="1">
      <c r="A415" s="883">
        <v>198311</v>
      </c>
      <c r="B415" s="884">
        <v>86.11</v>
      </c>
      <c r="C415" s="880">
        <v>86.94</v>
      </c>
    </row>
    <row r="416" spans="1:3" ht="16.149999999999999" customHeight="1">
      <c r="A416" s="885">
        <v>198312</v>
      </c>
      <c r="B416" s="886">
        <v>87.83</v>
      </c>
      <c r="C416" s="878">
        <v>88.77</v>
      </c>
    </row>
    <row r="417" spans="1:3" ht="16.149999999999999" customHeight="1">
      <c r="A417" s="883">
        <v>198401</v>
      </c>
      <c r="B417" s="884">
        <v>89.79</v>
      </c>
      <c r="C417" s="880">
        <v>90.63</v>
      </c>
    </row>
    <row r="418" spans="1:3" ht="16.149999999999999" customHeight="1">
      <c r="A418" s="885">
        <v>198402</v>
      </c>
      <c r="B418" s="886">
        <v>91.57</v>
      </c>
      <c r="C418" s="878">
        <v>92.53</v>
      </c>
    </row>
    <row r="419" spans="1:3" ht="16.149999999999999" customHeight="1">
      <c r="A419" s="883">
        <v>198403</v>
      </c>
      <c r="B419" s="884">
        <v>93.46</v>
      </c>
      <c r="C419" s="880">
        <v>94.47</v>
      </c>
    </row>
    <row r="420" spans="1:3" ht="16.149999999999999" customHeight="1">
      <c r="A420" s="885">
        <v>198404</v>
      </c>
      <c r="B420" s="886">
        <v>95.42</v>
      </c>
      <c r="C420" s="878">
        <v>96.45</v>
      </c>
    </row>
    <row r="421" spans="1:3" ht="16.149999999999999" customHeight="1">
      <c r="A421" s="883">
        <v>198405</v>
      </c>
      <c r="B421" s="884">
        <v>97.46</v>
      </c>
      <c r="C421" s="880">
        <v>98.47</v>
      </c>
    </row>
    <row r="422" spans="1:3" ht="16.149999999999999" customHeight="1">
      <c r="A422" s="885">
        <v>198406</v>
      </c>
      <c r="B422" s="886">
        <v>99.4</v>
      </c>
      <c r="C422" s="878">
        <v>100.4</v>
      </c>
    </row>
    <row r="423" spans="1:3" ht="16.149999999999999" customHeight="1">
      <c r="A423" s="883">
        <v>198407</v>
      </c>
      <c r="B423" s="884">
        <v>101.73</v>
      </c>
      <c r="C423" s="880">
        <v>102.65</v>
      </c>
    </row>
    <row r="424" spans="1:3" ht="16.149999999999999" customHeight="1">
      <c r="A424" s="885">
        <v>198408</v>
      </c>
      <c r="B424" s="886">
        <v>103.73</v>
      </c>
      <c r="C424" s="878">
        <v>104.81</v>
      </c>
    </row>
    <row r="425" spans="1:3" ht="16.149999999999999" customHeight="1">
      <c r="A425" s="883">
        <v>198409</v>
      </c>
      <c r="B425" s="884">
        <v>105.93</v>
      </c>
      <c r="C425" s="880">
        <v>107.01</v>
      </c>
    </row>
    <row r="426" spans="1:3" ht="16.149999999999999" customHeight="1">
      <c r="A426" s="885">
        <v>198410</v>
      </c>
      <c r="B426" s="886">
        <v>108.13</v>
      </c>
      <c r="C426" s="878">
        <v>109.26</v>
      </c>
    </row>
    <row r="427" spans="1:3" ht="16.149999999999999" customHeight="1">
      <c r="A427" s="883">
        <v>198411</v>
      </c>
      <c r="B427" s="884">
        <v>110.43</v>
      </c>
      <c r="C427" s="880">
        <v>111.55</v>
      </c>
    </row>
    <row r="428" spans="1:3" ht="16.149999999999999" customHeight="1">
      <c r="A428" s="885">
        <v>198412</v>
      </c>
      <c r="B428" s="886">
        <v>112.76</v>
      </c>
      <c r="C428" s="878">
        <v>113.89</v>
      </c>
    </row>
    <row r="429" spans="1:3" ht="16.149999999999999" customHeight="1">
      <c r="A429" s="883">
        <v>198501</v>
      </c>
      <c r="B429" s="884">
        <v>115.17</v>
      </c>
      <c r="C429" s="880">
        <v>116.6</v>
      </c>
    </row>
    <row r="430" spans="1:3" ht="16.149999999999999" customHeight="1">
      <c r="A430" s="885">
        <v>198502</v>
      </c>
      <c r="B430" s="886">
        <v>118.25</v>
      </c>
      <c r="C430" s="878">
        <v>120.1</v>
      </c>
    </row>
    <row r="431" spans="1:3" ht="16.149999999999999" customHeight="1">
      <c r="A431" s="883">
        <v>198503</v>
      </c>
      <c r="B431" s="884">
        <v>123.15</v>
      </c>
      <c r="C431" s="880">
        <v>126.27</v>
      </c>
    </row>
    <row r="432" spans="1:3" ht="16.149999999999999" customHeight="1">
      <c r="A432" s="885">
        <v>198504</v>
      </c>
      <c r="B432" s="886">
        <v>129.62</v>
      </c>
      <c r="C432" s="878">
        <v>132.58000000000001</v>
      </c>
    </row>
    <row r="433" spans="1:3" ht="16.149999999999999" customHeight="1">
      <c r="A433" s="883">
        <v>198505</v>
      </c>
      <c r="B433" s="884">
        <v>135.94999999999999</v>
      </c>
      <c r="C433" s="880">
        <v>138.69999999999999</v>
      </c>
    </row>
    <row r="434" spans="1:3" ht="16.149999999999999" customHeight="1">
      <c r="A434" s="885">
        <v>198506</v>
      </c>
      <c r="B434" s="886">
        <v>140.72999999999999</v>
      </c>
      <c r="C434" s="878">
        <v>142.9</v>
      </c>
    </row>
    <row r="435" spans="1:3" ht="16.149999999999999" customHeight="1">
      <c r="A435" s="883">
        <v>198507</v>
      </c>
      <c r="B435" s="884">
        <v>145.51</v>
      </c>
      <c r="C435" s="880">
        <v>147.79</v>
      </c>
    </row>
    <row r="436" spans="1:3" ht="16.149999999999999" customHeight="1">
      <c r="A436" s="885">
        <v>198508</v>
      </c>
      <c r="B436" s="886">
        <v>150.03</v>
      </c>
      <c r="C436" s="878">
        <v>152.06</v>
      </c>
    </row>
    <row r="437" spans="1:3" ht="16.149999999999999" customHeight="1">
      <c r="A437" s="883">
        <v>198509</v>
      </c>
      <c r="B437" s="884">
        <v>155.30000000000001</v>
      </c>
      <c r="C437" s="880">
        <v>157.9</v>
      </c>
    </row>
    <row r="438" spans="1:3" ht="16.149999999999999" customHeight="1">
      <c r="A438" s="885">
        <v>198510</v>
      </c>
      <c r="B438" s="886">
        <v>160.26</v>
      </c>
      <c r="C438" s="878">
        <v>162.43</v>
      </c>
    </row>
    <row r="439" spans="1:3" ht="16.149999999999999" customHeight="1">
      <c r="A439" s="883">
        <v>198511</v>
      </c>
      <c r="B439" s="884">
        <v>164.58</v>
      </c>
      <c r="C439" s="880">
        <v>166.64</v>
      </c>
    </row>
    <row r="440" spans="1:3" ht="16.149999999999999" customHeight="1">
      <c r="A440" s="885">
        <v>198512</v>
      </c>
      <c r="B440" s="886">
        <v>169.19</v>
      </c>
      <c r="C440" s="878">
        <v>172.2</v>
      </c>
    </row>
    <row r="441" spans="1:3" ht="16.149999999999999" customHeight="1">
      <c r="A441" s="883">
        <v>198601</v>
      </c>
      <c r="B441" s="884">
        <v>173.7</v>
      </c>
      <c r="C441" s="880">
        <v>175</v>
      </c>
    </row>
    <row r="442" spans="1:3" ht="16.149999999999999" customHeight="1">
      <c r="A442" s="885">
        <v>198602</v>
      </c>
      <c r="B442" s="886">
        <v>176.59</v>
      </c>
      <c r="C442" s="878">
        <v>178.1</v>
      </c>
    </row>
    <row r="443" spans="1:3" ht="16.149999999999999" customHeight="1">
      <c r="A443" s="883">
        <v>198603</v>
      </c>
      <c r="B443" s="884">
        <v>179.74</v>
      </c>
      <c r="C443" s="880">
        <v>181.53</v>
      </c>
    </row>
    <row r="444" spans="1:3" ht="16.149999999999999" customHeight="1">
      <c r="A444" s="885">
        <v>198604</v>
      </c>
      <c r="B444" s="886">
        <v>184.43</v>
      </c>
      <c r="C444" s="878">
        <v>186.56</v>
      </c>
    </row>
    <row r="445" spans="1:3" ht="16.149999999999999" customHeight="1">
      <c r="A445" s="883">
        <v>198605</v>
      </c>
      <c r="B445" s="884">
        <v>188.53</v>
      </c>
      <c r="C445" s="880">
        <v>190.46</v>
      </c>
    </row>
    <row r="446" spans="1:3" ht="16.149999999999999" customHeight="1">
      <c r="A446" s="885">
        <v>198606</v>
      </c>
      <c r="B446" s="886">
        <v>192.35</v>
      </c>
      <c r="C446" s="878">
        <v>193.76</v>
      </c>
    </row>
    <row r="447" spans="1:3" ht="16.149999999999999" customHeight="1">
      <c r="A447" s="883">
        <v>198607</v>
      </c>
      <c r="B447" s="884">
        <v>195.8</v>
      </c>
      <c r="C447" s="880">
        <v>197.59</v>
      </c>
    </row>
    <row r="448" spans="1:3" ht="16.149999999999999" customHeight="1">
      <c r="A448" s="885">
        <v>198608</v>
      </c>
      <c r="B448" s="886">
        <v>199.17</v>
      </c>
      <c r="C448" s="878">
        <v>200.72</v>
      </c>
    </row>
    <row r="449" spans="1:3" ht="16.149999999999999" customHeight="1">
      <c r="A449" s="883">
        <v>198609</v>
      </c>
      <c r="B449" s="884">
        <v>203.24</v>
      </c>
      <c r="C449" s="880">
        <v>205.56</v>
      </c>
    </row>
    <row r="450" spans="1:3" ht="16.149999999999999" customHeight="1">
      <c r="A450" s="885">
        <v>198610</v>
      </c>
      <c r="B450" s="886">
        <v>208.05</v>
      </c>
      <c r="C450" s="878">
        <v>210.3</v>
      </c>
    </row>
    <row r="451" spans="1:3" ht="16.149999999999999" customHeight="1">
      <c r="A451" s="883">
        <v>198611</v>
      </c>
      <c r="B451" s="884">
        <v>212.56</v>
      </c>
      <c r="C451" s="880">
        <v>214.64</v>
      </c>
    </row>
    <row r="452" spans="1:3" ht="16.149999999999999" customHeight="1">
      <c r="A452" s="885">
        <v>198612</v>
      </c>
      <c r="B452" s="886">
        <v>216.97</v>
      </c>
      <c r="C452" s="878">
        <v>219</v>
      </c>
    </row>
    <row r="453" spans="1:3" ht="16.149999999999999" customHeight="1">
      <c r="A453" s="883">
        <v>198701</v>
      </c>
      <c r="B453" s="884">
        <v>221.03</v>
      </c>
      <c r="C453" s="880">
        <v>222.79</v>
      </c>
    </row>
    <row r="454" spans="1:3" ht="16.149999999999999" customHeight="1">
      <c r="A454" s="885">
        <v>198702</v>
      </c>
      <c r="B454" s="886">
        <v>224.82</v>
      </c>
      <c r="C454" s="878">
        <v>226.73</v>
      </c>
    </row>
    <row r="455" spans="1:3" ht="16.149999999999999" customHeight="1">
      <c r="A455" s="883">
        <v>198703</v>
      </c>
      <c r="B455" s="884">
        <v>229.02</v>
      </c>
      <c r="C455" s="880">
        <v>231.08</v>
      </c>
    </row>
    <row r="456" spans="1:3" ht="16.149999999999999" customHeight="1">
      <c r="A456" s="885">
        <v>198704</v>
      </c>
      <c r="B456" s="886">
        <v>233.17</v>
      </c>
      <c r="C456" s="878">
        <v>235.13</v>
      </c>
    </row>
    <row r="457" spans="1:3" ht="16.149999999999999" customHeight="1">
      <c r="A457" s="883">
        <v>198705</v>
      </c>
      <c r="B457" s="884">
        <v>237.44</v>
      </c>
      <c r="C457" s="880">
        <v>239.41</v>
      </c>
    </row>
    <row r="458" spans="1:3" ht="16.149999999999999" customHeight="1">
      <c r="A458" s="885">
        <v>198706</v>
      </c>
      <c r="B458" s="886">
        <v>241.39</v>
      </c>
      <c r="C458" s="878">
        <v>243.32</v>
      </c>
    </row>
    <row r="459" spans="1:3" ht="16.149999999999999" customHeight="1">
      <c r="A459" s="883">
        <v>198707</v>
      </c>
      <c r="B459" s="884">
        <v>245.55</v>
      </c>
      <c r="C459" s="880">
        <v>247.56</v>
      </c>
    </row>
    <row r="460" spans="1:3" ht="16.149999999999999" customHeight="1">
      <c r="A460" s="885">
        <v>198708</v>
      </c>
      <c r="B460" s="886">
        <v>249.35</v>
      </c>
      <c r="C460" s="878">
        <v>250.95</v>
      </c>
    </row>
    <row r="461" spans="1:3" ht="16.149999999999999" customHeight="1">
      <c r="A461" s="883">
        <v>198709</v>
      </c>
      <c r="B461" s="884">
        <v>252.84</v>
      </c>
      <c r="C461" s="880">
        <v>254.39</v>
      </c>
    </row>
    <row r="462" spans="1:3" ht="16.149999999999999" customHeight="1">
      <c r="A462" s="885">
        <v>198710</v>
      </c>
      <c r="B462" s="886">
        <v>255.85</v>
      </c>
      <c r="C462" s="878">
        <v>257.17</v>
      </c>
    </row>
    <row r="463" spans="1:3" ht="16.149999999999999" customHeight="1">
      <c r="A463" s="883">
        <v>198711</v>
      </c>
      <c r="B463" s="884">
        <v>258.74</v>
      </c>
      <c r="C463" s="880">
        <v>260.3</v>
      </c>
    </row>
    <row r="464" spans="1:3" ht="16.149999999999999" customHeight="1">
      <c r="A464" s="885">
        <v>198712</v>
      </c>
      <c r="B464" s="886">
        <v>262.08</v>
      </c>
      <c r="C464" s="878">
        <v>263.7</v>
      </c>
    </row>
    <row r="465" spans="1:3" ht="16.149999999999999" customHeight="1">
      <c r="A465" s="883">
        <v>198801</v>
      </c>
      <c r="B465" s="884">
        <v>265.82</v>
      </c>
      <c r="C465" s="880">
        <v>267.98</v>
      </c>
    </row>
    <row r="466" spans="1:3" ht="16.149999999999999" customHeight="1">
      <c r="A466" s="885">
        <v>198802</v>
      </c>
      <c r="B466" s="886">
        <v>270.91000000000003</v>
      </c>
      <c r="C466" s="878">
        <v>273.64</v>
      </c>
    </row>
    <row r="467" spans="1:3" ht="16.149999999999999" customHeight="1">
      <c r="A467" s="883">
        <v>198803</v>
      </c>
      <c r="B467" s="884">
        <v>276.92</v>
      </c>
      <c r="C467" s="880">
        <v>280.08999999999997</v>
      </c>
    </row>
    <row r="468" spans="1:3" ht="16.149999999999999" customHeight="1">
      <c r="A468" s="885">
        <v>198804</v>
      </c>
      <c r="B468" s="886">
        <v>283.45</v>
      </c>
      <c r="C468" s="878">
        <v>286.45999999999998</v>
      </c>
    </row>
    <row r="469" spans="1:3" ht="16.149999999999999" customHeight="1">
      <c r="A469" s="883">
        <v>198805</v>
      </c>
      <c r="B469" s="884">
        <v>289.95999999999998</v>
      </c>
      <c r="C469" s="880">
        <v>293.16000000000003</v>
      </c>
    </row>
    <row r="470" spans="1:3" ht="16.149999999999999" customHeight="1">
      <c r="A470" s="885">
        <v>198806</v>
      </c>
      <c r="B470" s="886">
        <v>296.36</v>
      </c>
      <c r="C470" s="878">
        <v>299.27999999999997</v>
      </c>
    </row>
    <row r="471" spans="1:3" ht="16.149999999999999" customHeight="1">
      <c r="A471" s="883">
        <v>198807</v>
      </c>
      <c r="B471" s="884">
        <v>302.36</v>
      </c>
      <c r="C471" s="880">
        <v>305.02999999999997</v>
      </c>
    </row>
    <row r="472" spans="1:3" ht="16.149999999999999" customHeight="1">
      <c r="A472" s="885">
        <v>198808</v>
      </c>
      <c r="B472" s="886">
        <v>308.39999999999998</v>
      </c>
      <c r="C472" s="878">
        <v>311.44</v>
      </c>
    </row>
    <row r="473" spans="1:3" ht="16.149999999999999" customHeight="1">
      <c r="A473" s="883">
        <v>198809</v>
      </c>
      <c r="B473" s="884">
        <v>314.85000000000002</v>
      </c>
      <c r="C473" s="880">
        <v>317.95999999999998</v>
      </c>
    </row>
    <row r="474" spans="1:3" ht="16.149999999999999" customHeight="1">
      <c r="A474" s="885">
        <v>198810</v>
      </c>
      <c r="B474" s="886">
        <v>321.07</v>
      </c>
      <c r="C474" s="878">
        <v>323.88</v>
      </c>
    </row>
    <row r="475" spans="1:3" ht="16.149999999999999" customHeight="1">
      <c r="A475" s="883">
        <v>198811</v>
      </c>
      <c r="B475" s="884">
        <v>327.01</v>
      </c>
      <c r="C475" s="880">
        <v>329.88</v>
      </c>
    </row>
    <row r="476" spans="1:3" ht="16.149999999999999" customHeight="1">
      <c r="A476" s="885">
        <v>198812</v>
      </c>
      <c r="B476" s="886">
        <v>332.97</v>
      </c>
      <c r="C476" s="878">
        <v>335.86</v>
      </c>
    </row>
    <row r="477" spans="1:3" ht="16.149999999999999" customHeight="1">
      <c r="A477" s="883">
        <v>198901</v>
      </c>
      <c r="B477" s="884">
        <v>339.62</v>
      </c>
      <c r="C477" s="880">
        <v>343.12</v>
      </c>
    </row>
    <row r="478" spans="1:3" ht="16.149999999999999" customHeight="1">
      <c r="A478" s="885">
        <v>198902</v>
      </c>
      <c r="B478" s="886">
        <v>346.83</v>
      </c>
      <c r="C478" s="878">
        <v>350.22</v>
      </c>
    </row>
    <row r="479" spans="1:3" ht="16.149999999999999" customHeight="1">
      <c r="A479" s="883">
        <v>198903</v>
      </c>
      <c r="B479" s="884">
        <v>354.12</v>
      </c>
      <c r="C479" s="880">
        <v>357.72</v>
      </c>
    </row>
    <row r="480" spans="1:3" ht="16.149999999999999" customHeight="1">
      <c r="A480" s="885">
        <v>198904</v>
      </c>
      <c r="B480" s="886">
        <v>361.83</v>
      </c>
      <c r="C480" s="878">
        <v>365.61</v>
      </c>
    </row>
    <row r="481" spans="1:3" ht="16.149999999999999" customHeight="1">
      <c r="A481" s="883">
        <v>198905</v>
      </c>
      <c r="B481" s="884">
        <v>369.93</v>
      </c>
      <c r="C481" s="880">
        <v>373.7</v>
      </c>
    </row>
    <row r="482" spans="1:3" ht="16.149999999999999" customHeight="1">
      <c r="A482" s="885">
        <v>198906</v>
      </c>
      <c r="B482" s="886">
        <v>377.92</v>
      </c>
      <c r="C482" s="878">
        <v>381.79</v>
      </c>
    </row>
    <row r="483" spans="1:3" ht="16.149999999999999" customHeight="1">
      <c r="A483" s="883">
        <v>198907</v>
      </c>
      <c r="B483" s="884">
        <v>385.71</v>
      </c>
      <c r="C483" s="880">
        <v>389.2</v>
      </c>
    </row>
    <row r="484" spans="1:3" ht="16.149999999999999" customHeight="1">
      <c r="A484" s="885">
        <v>198908</v>
      </c>
      <c r="B484" s="886">
        <v>393.43</v>
      </c>
      <c r="C484" s="878">
        <v>397.33</v>
      </c>
    </row>
    <row r="485" spans="1:3" ht="16.149999999999999" customHeight="1">
      <c r="A485" s="883">
        <v>198909</v>
      </c>
      <c r="B485" s="884">
        <v>401.8</v>
      </c>
      <c r="C485" s="880">
        <v>405.84</v>
      </c>
    </row>
    <row r="486" spans="1:3" ht="16.149999999999999" customHeight="1">
      <c r="A486" s="885">
        <v>198910</v>
      </c>
      <c r="B486" s="886">
        <v>410.55</v>
      </c>
      <c r="C486" s="878">
        <v>414.87</v>
      </c>
    </row>
    <row r="487" spans="1:3" ht="16.149999999999999" customHeight="1">
      <c r="A487" s="883">
        <v>198911</v>
      </c>
      <c r="B487" s="884">
        <v>419.76</v>
      </c>
      <c r="C487" s="880">
        <v>424.16</v>
      </c>
    </row>
    <row r="488" spans="1:3" ht="16.149999999999999" customHeight="1">
      <c r="A488" s="885">
        <v>198912</v>
      </c>
      <c r="B488" s="886">
        <v>429.3</v>
      </c>
      <c r="C488" s="878">
        <v>433.92</v>
      </c>
    </row>
    <row r="489" spans="1:3" ht="16.149999999999999" customHeight="1">
      <c r="A489" s="883">
        <v>199001</v>
      </c>
      <c r="B489" s="884">
        <v>440.08</v>
      </c>
      <c r="C489" s="880">
        <v>445.69</v>
      </c>
    </row>
    <row r="490" spans="1:3" ht="16.149999999999999" customHeight="1">
      <c r="A490" s="885">
        <v>199002</v>
      </c>
      <c r="B490" s="886">
        <v>451.72</v>
      </c>
      <c r="C490" s="878">
        <v>457.17</v>
      </c>
    </row>
    <row r="491" spans="1:3" ht="16.149999999999999" customHeight="1">
      <c r="A491" s="883">
        <v>199003</v>
      </c>
      <c r="B491" s="884">
        <v>463.4</v>
      </c>
      <c r="C491" s="880">
        <v>468.96</v>
      </c>
    </row>
    <row r="492" spans="1:3" ht="16.149999999999999" customHeight="1">
      <c r="A492" s="885">
        <v>199004</v>
      </c>
      <c r="B492" s="886">
        <v>474.62</v>
      </c>
      <c r="C492" s="878">
        <v>479.75</v>
      </c>
    </row>
    <row r="493" spans="1:3" ht="16.149999999999999" customHeight="1">
      <c r="A493" s="883">
        <v>199005</v>
      </c>
      <c r="B493" s="884">
        <v>485.99</v>
      </c>
      <c r="C493" s="880">
        <v>491.64</v>
      </c>
    </row>
    <row r="494" spans="1:3" ht="16.149999999999999" customHeight="1">
      <c r="A494" s="885">
        <v>199006</v>
      </c>
      <c r="B494" s="886">
        <v>497.31</v>
      </c>
      <c r="C494" s="878">
        <v>502.39</v>
      </c>
    </row>
    <row r="495" spans="1:3" ht="16.149999999999999" customHeight="1">
      <c r="A495" s="883">
        <v>199007</v>
      </c>
      <c r="B495" s="884">
        <v>508.35</v>
      </c>
      <c r="C495" s="880">
        <v>513.71</v>
      </c>
    </row>
    <row r="496" spans="1:3" ht="16.149999999999999" customHeight="1">
      <c r="A496" s="885">
        <v>199008</v>
      </c>
      <c r="B496" s="886">
        <v>519.94000000000005</v>
      </c>
      <c r="C496" s="878">
        <v>525.6</v>
      </c>
    </row>
    <row r="497" spans="1:3" ht="16.149999999999999" customHeight="1">
      <c r="A497" s="883">
        <v>199009</v>
      </c>
      <c r="B497" s="884">
        <v>530.54</v>
      </c>
      <c r="C497" s="880">
        <v>534.9</v>
      </c>
    </row>
    <row r="498" spans="1:3" ht="16.149999999999999" customHeight="1">
      <c r="A498" s="885">
        <v>199010</v>
      </c>
      <c r="B498" s="886">
        <v>540.46</v>
      </c>
      <c r="C498" s="878">
        <v>545.61</v>
      </c>
    </row>
    <row r="499" spans="1:3" ht="16.149999999999999" customHeight="1">
      <c r="A499" s="883">
        <v>199011</v>
      </c>
      <c r="B499" s="884">
        <v>551.33000000000004</v>
      </c>
      <c r="C499" s="880">
        <v>556.63</v>
      </c>
    </row>
    <row r="500" spans="1:3" ht="16.149999999999999" customHeight="1">
      <c r="A500" s="885">
        <v>199012</v>
      </c>
      <c r="B500" s="886">
        <v>563.38</v>
      </c>
      <c r="C500" s="878">
        <v>568.73</v>
      </c>
    </row>
    <row r="501" spans="1:3" ht="16.149999999999999" customHeight="1">
      <c r="A501" s="883">
        <v>199101</v>
      </c>
      <c r="B501" s="884">
        <v>574.09</v>
      </c>
      <c r="C501" s="880">
        <v>578.96</v>
      </c>
    </row>
    <row r="502" spans="1:3" ht="16.149999999999999" customHeight="1">
      <c r="A502" s="885">
        <v>199102</v>
      </c>
      <c r="B502" s="886">
        <v>584.07000000000005</v>
      </c>
      <c r="C502" s="878">
        <v>588.63</v>
      </c>
    </row>
    <row r="503" spans="1:3" ht="16.149999999999999" customHeight="1">
      <c r="A503" s="883">
        <v>199103</v>
      </c>
      <c r="B503" s="884">
        <v>593.75</v>
      </c>
      <c r="C503" s="880">
        <v>598.46</v>
      </c>
    </row>
    <row r="504" spans="1:3" ht="16.149999999999999" customHeight="1">
      <c r="A504" s="885">
        <v>199104</v>
      </c>
      <c r="B504" s="886">
        <v>603.72</v>
      </c>
      <c r="C504" s="878">
        <v>608.45000000000005</v>
      </c>
    </row>
    <row r="505" spans="1:3" ht="16.149999999999999" customHeight="1">
      <c r="A505" s="883">
        <v>199105</v>
      </c>
      <c r="B505" s="884">
        <v>613.76</v>
      </c>
      <c r="C505" s="880">
        <v>618.61</v>
      </c>
    </row>
    <row r="506" spans="1:3" ht="16.149999999999999" customHeight="1">
      <c r="A506" s="885">
        <v>199106</v>
      </c>
      <c r="B506" s="886">
        <v>624.15</v>
      </c>
      <c r="C506" s="878">
        <v>628.82000000000005</v>
      </c>
    </row>
    <row r="507" spans="1:3" ht="16.149999999999999" customHeight="1">
      <c r="A507" s="883">
        <v>199107</v>
      </c>
      <c r="B507" s="884">
        <v>634.4</v>
      </c>
      <c r="C507" s="880">
        <v>639.37</v>
      </c>
    </row>
    <row r="508" spans="1:3" ht="16.149999999999999" customHeight="1">
      <c r="A508" s="885">
        <v>199108</v>
      </c>
      <c r="B508" s="886">
        <v>645.55999999999995</v>
      </c>
      <c r="C508" s="878">
        <v>652.11</v>
      </c>
    </row>
    <row r="509" spans="1:3" ht="16.149999999999999" customHeight="1">
      <c r="A509" s="883">
        <v>199109</v>
      </c>
      <c r="B509" s="884">
        <v>660.52</v>
      </c>
      <c r="C509" s="880">
        <v>667.18</v>
      </c>
    </row>
    <row r="510" spans="1:3" ht="16.149999999999999" customHeight="1">
      <c r="A510" s="885">
        <v>199110</v>
      </c>
      <c r="B510" s="886">
        <v>673.84</v>
      </c>
      <c r="C510" s="878">
        <v>679.3</v>
      </c>
    </row>
    <row r="511" spans="1:3" ht="16.149999999999999" customHeight="1">
      <c r="A511" s="883">
        <v>199111</v>
      </c>
      <c r="B511" s="884">
        <v>687.59</v>
      </c>
      <c r="C511" s="880">
        <v>694.7</v>
      </c>
    </row>
    <row r="512" spans="1:3" ht="16.149999999999999" customHeight="1">
      <c r="A512" s="885">
        <v>199112</v>
      </c>
      <c r="B512" s="886">
        <v>630.38</v>
      </c>
      <c r="C512" s="878">
        <v>638.61</v>
      </c>
    </row>
    <row r="513" spans="1:3" ht="16.149999999999999" customHeight="1">
      <c r="A513" s="883">
        <v>199201</v>
      </c>
      <c r="B513" s="884">
        <v>645.17999999999995</v>
      </c>
      <c r="C513" s="880">
        <v>644.27</v>
      </c>
    </row>
    <row r="514" spans="1:3" ht="16.149999999999999" customHeight="1">
      <c r="A514" s="885">
        <v>199202</v>
      </c>
      <c r="B514" s="886">
        <v>635.53</v>
      </c>
      <c r="C514" s="878">
        <v>636.54</v>
      </c>
    </row>
    <row r="515" spans="1:3" ht="16.149999999999999" customHeight="1">
      <c r="A515" s="883">
        <v>199203</v>
      </c>
      <c r="B515" s="884">
        <v>640.33000000000004</v>
      </c>
      <c r="C515" s="880">
        <v>641.59</v>
      </c>
    </row>
    <row r="516" spans="1:3" ht="16.149999999999999" customHeight="1">
      <c r="A516" s="885">
        <v>199204</v>
      </c>
      <c r="B516" s="886">
        <v>649.16</v>
      </c>
      <c r="C516" s="878">
        <v>653.83000000000004</v>
      </c>
    </row>
    <row r="517" spans="1:3" ht="16.149999999999999" customHeight="1">
      <c r="A517" s="883">
        <v>199205</v>
      </c>
      <c r="B517" s="884">
        <v>659.81</v>
      </c>
      <c r="C517" s="880">
        <v>664.37</v>
      </c>
    </row>
    <row r="518" spans="1:3" ht="16.149999999999999" customHeight="1">
      <c r="A518" s="885">
        <v>199206</v>
      </c>
      <c r="B518" s="886">
        <v>675.79</v>
      </c>
      <c r="C518" s="878">
        <v>697.57</v>
      </c>
    </row>
    <row r="519" spans="1:3" ht="16.149999999999999" customHeight="1">
      <c r="A519" s="883">
        <v>199207</v>
      </c>
      <c r="B519" s="884">
        <v>704.5</v>
      </c>
      <c r="C519" s="880">
        <v>705.14</v>
      </c>
    </row>
    <row r="520" spans="1:3" ht="16.149999999999999" customHeight="1">
      <c r="A520" s="885">
        <v>199208</v>
      </c>
      <c r="B520" s="886">
        <v>693.72</v>
      </c>
      <c r="C520" s="878">
        <v>691.68</v>
      </c>
    </row>
    <row r="521" spans="1:3" ht="16.149999999999999" customHeight="1">
      <c r="A521" s="883">
        <v>199209</v>
      </c>
      <c r="B521" s="884">
        <v>697.11</v>
      </c>
      <c r="C521" s="880">
        <v>702.81</v>
      </c>
    </row>
    <row r="522" spans="1:3" ht="16.149999999999999" customHeight="1">
      <c r="A522" s="885">
        <v>199210</v>
      </c>
      <c r="B522" s="886">
        <v>707.65</v>
      </c>
      <c r="C522" s="878">
        <v>716.88</v>
      </c>
    </row>
    <row r="523" spans="1:3" ht="16.149999999999999" customHeight="1">
      <c r="A523" s="883">
        <v>199211</v>
      </c>
      <c r="B523" s="884">
        <v>722.43</v>
      </c>
      <c r="C523" s="880">
        <v>725.45</v>
      </c>
    </row>
    <row r="524" spans="1:3" ht="16.149999999999999" customHeight="1">
      <c r="A524" s="885">
        <v>199212</v>
      </c>
      <c r="B524" s="886">
        <v>733.42</v>
      </c>
      <c r="C524" s="878">
        <v>737.98</v>
      </c>
    </row>
    <row r="525" spans="1:3" ht="16.149999999999999" customHeight="1">
      <c r="A525" s="883">
        <v>199301</v>
      </c>
      <c r="B525" s="884">
        <v>745.52</v>
      </c>
      <c r="C525" s="880">
        <v>746.05</v>
      </c>
    </row>
    <row r="526" spans="1:3" ht="16.149999999999999" customHeight="1">
      <c r="A526" s="885">
        <v>199302</v>
      </c>
      <c r="B526" s="886">
        <v>749.08</v>
      </c>
      <c r="C526" s="878">
        <v>758.03</v>
      </c>
    </row>
    <row r="527" spans="1:3" ht="16.149999999999999" customHeight="1">
      <c r="A527" s="883">
        <v>199303</v>
      </c>
      <c r="B527" s="884">
        <v>764.38</v>
      </c>
      <c r="C527" s="880">
        <v>766.41</v>
      </c>
    </row>
    <row r="528" spans="1:3" ht="16.149999999999999" customHeight="1">
      <c r="A528" s="885">
        <v>199304</v>
      </c>
      <c r="B528" s="886">
        <v>771.79</v>
      </c>
      <c r="C528" s="878">
        <v>774.94</v>
      </c>
    </row>
    <row r="529" spans="1:3" ht="16.149999999999999" customHeight="1">
      <c r="A529" s="883">
        <v>199305</v>
      </c>
      <c r="B529" s="884">
        <v>779.71</v>
      </c>
      <c r="C529" s="880">
        <v>779.56</v>
      </c>
    </row>
    <row r="530" spans="1:3" ht="16.149999999999999" customHeight="1">
      <c r="A530" s="885">
        <v>199306</v>
      </c>
      <c r="B530" s="886">
        <v>784.24</v>
      </c>
      <c r="C530" s="878">
        <v>787.12</v>
      </c>
    </row>
    <row r="531" spans="1:3" ht="16.149999999999999" customHeight="1">
      <c r="A531" s="883">
        <v>199307</v>
      </c>
      <c r="B531" s="884">
        <v>795.08</v>
      </c>
      <c r="C531" s="880">
        <v>801.35</v>
      </c>
    </row>
    <row r="532" spans="1:3" ht="16.149999999999999" customHeight="1">
      <c r="A532" s="885">
        <v>199308</v>
      </c>
      <c r="B532" s="886">
        <v>804.61</v>
      </c>
      <c r="C532" s="878">
        <v>806.86</v>
      </c>
    </row>
    <row r="533" spans="1:3" ht="16.149999999999999" customHeight="1">
      <c r="A533" s="883">
        <v>199309</v>
      </c>
      <c r="B533" s="884">
        <v>809.66</v>
      </c>
      <c r="C533" s="880">
        <v>810.84</v>
      </c>
    </row>
    <row r="534" spans="1:3" ht="16.149999999999999" customHeight="1">
      <c r="A534" s="885">
        <v>199310</v>
      </c>
      <c r="B534" s="886">
        <v>814.45</v>
      </c>
      <c r="C534" s="878">
        <v>817.03</v>
      </c>
    </row>
    <row r="535" spans="1:3" ht="16.149999999999999" customHeight="1">
      <c r="A535" s="883">
        <v>199311</v>
      </c>
      <c r="B535" s="884">
        <v>814.08</v>
      </c>
      <c r="C535" s="880">
        <v>811.73</v>
      </c>
    </row>
    <row r="536" spans="1:3" ht="16.149999999999999" customHeight="1">
      <c r="A536" s="885">
        <v>199312</v>
      </c>
      <c r="B536" s="886">
        <v>803.56</v>
      </c>
      <c r="C536" s="878">
        <v>804.33</v>
      </c>
    </row>
    <row r="537" spans="1:3" ht="16.149999999999999" customHeight="1">
      <c r="A537" s="883">
        <v>199401</v>
      </c>
      <c r="B537" s="884">
        <v>816.15</v>
      </c>
      <c r="C537" s="880">
        <v>818.38</v>
      </c>
    </row>
    <row r="538" spans="1:3" ht="16.149999999999999" customHeight="1">
      <c r="A538" s="885">
        <v>199402</v>
      </c>
      <c r="B538" s="886">
        <v>817.67</v>
      </c>
      <c r="C538" s="878">
        <v>819.7</v>
      </c>
    </row>
    <row r="539" spans="1:3" ht="16.149999999999999" customHeight="1">
      <c r="A539" s="883">
        <v>199403</v>
      </c>
      <c r="B539" s="884">
        <v>819.76</v>
      </c>
      <c r="C539" s="880">
        <v>819.51</v>
      </c>
    </row>
    <row r="540" spans="1:3" ht="16.149999999999999" customHeight="1">
      <c r="A540" s="885">
        <v>199404</v>
      </c>
      <c r="B540" s="886">
        <v>829.87</v>
      </c>
      <c r="C540" s="878">
        <v>836.86</v>
      </c>
    </row>
    <row r="541" spans="1:3" ht="16.149999999999999" customHeight="1">
      <c r="A541" s="883">
        <v>199405</v>
      </c>
      <c r="B541" s="884">
        <v>841.43</v>
      </c>
      <c r="C541" s="880">
        <v>841.12</v>
      </c>
    </row>
    <row r="542" spans="1:3" ht="16.149999999999999" customHeight="1">
      <c r="A542" s="885">
        <v>199406</v>
      </c>
      <c r="B542" s="886">
        <v>830.94</v>
      </c>
      <c r="C542" s="878">
        <v>819.64</v>
      </c>
    </row>
    <row r="543" spans="1:3" ht="16.149999999999999" customHeight="1">
      <c r="A543" s="883">
        <v>199407</v>
      </c>
      <c r="B543" s="884">
        <v>819.06</v>
      </c>
      <c r="C543" s="880">
        <v>815.62</v>
      </c>
    </row>
    <row r="544" spans="1:3" ht="16.149999999999999" customHeight="1">
      <c r="A544" s="885">
        <v>199408</v>
      </c>
      <c r="B544" s="886">
        <v>814.82</v>
      </c>
      <c r="C544" s="878">
        <v>816.3</v>
      </c>
    </row>
    <row r="545" spans="1:3" ht="16.149999999999999" customHeight="1">
      <c r="A545" s="883">
        <v>199409</v>
      </c>
      <c r="B545" s="884">
        <v>830.06</v>
      </c>
      <c r="C545" s="880">
        <v>842</v>
      </c>
    </row>
    <row r="546" spans="1:3" ht="16.149999999999999" customHeight="1">
      <c r="A546" s="885">
        <v>199410</v>
      </c>
      <c r="B546" s="886">
        <v>839.32</v>
      </c>
      <c r="C546" s="878">
        <v>838.55</v>
      </c>
    </row>
    <row r="547" spans="1:3" ht="16.149999999999999" customHeight="1">
      <c r="A547" s="883">
        <v>199411</v>
      </c>
      <c r="B547" s="884">
        <v>830.03</v>
      </c>
      <c r="C547" s="880">
        <v>829.03</v>
      </c>
    </row>
    <row r="548" spans="1:3" ht="16.149999999999999" customHeight="1">
      <c r="A548" s="885">
        <v>199412</v>
      </c>
      <c r="B548" s="886">
        <v>829.37</v>
      </c>
      <c r="C548" s="878">
        <v>831.27</v>
      </c>
    </row>
    <row r="549" spans="1:3" ht="16.149999999999999" customHeight="1">
      <c r="A549" s="883">
        <v>199501</v>
      </c>
      <c r="B549" s="884">
        <v>846.63</v>
      </c>
      <c r="C549" s="880">
        <v>856.41</v>
      </c>
    </row>
    <row r="550" spans="1:3" ht="16.149999999999999" customHeight="1">
      <c r="A550" s="885">
        <v>199502</v>
      </c>
      <c r="B550" s="886">
        <v>850.9</v>
      </c>
      <c r="C550" s="878">
        <v>856.99</v>
      </c>
    </row>
    <row r="551" spans="1:3" ht="16.149999999999999" customHeight="1">
      <c r="A551" s="883">
        <v>199503</v>
      </c>
      <c r="B551" s="884">
        <v>865.83</v>
      </c>
      <c r="C551" s="880">
        <v>880.23</v>
      </c>
    </row>
    <row r="552" spans="1:3" ht="16.149999999999999" customHeight="1">
      <c r="A552" s="885">
        <v>199504</v>
      </c>
      <c r="B552" s="886">
        <v>873.39</v>
      </c>
      <c r="C552" s="878">
        <v>877.9</v>
      </c>
    </row>
    <row r="553" spans="1:3" ht="16.149999999999999" customHeight="1">
      <c r="A553" s="883">
        <v>199505</v>
      </c>
      <c r="B553" s="884">
        <v>876.95</v>
      </c>
      <c r="C553" s="880">
        <v>876.36</v>
      </c>
    </row>
    <row r="554" spans="1:3" ht="16.149999999999999" customHeight="1">
      <c r="A554" s="885">
        <v>199506</v>
      </c>
      <c r="B554" s="886">
        <v>874.86</v>
      </c>
      <c r="C554" s="878">
        <v>881.23</v>
      </c>
    </row>
    <row r="555" spans="1:3" ht="16.149999999999999" customHeight="1">
      <c r="A555" s="883">
        <v>199507</v>
      </c>
      <c r="B555" s="884">
        <v>893.22</v>
      </c>
      <c r="C555" s="880">
        <v>897.63</v>
      </c>
    </row>
    <row r="556" spans="1:3" ht="16.149999999999999" customHeight="1">
      <c r="A556" s="885">
        <v>199508</v>
      </c>
      <c r="B556" s="886">
        <v>935.1</v>
      </c>
      <c r="C556" s="878">
        <v>960.19</v>
      </c>
    </row>
    <row r="557" spans="1:3" ht="16.149999999999999" customHeight="1">
      <c r="A557" s="883">
        <v>199509</v>
      </c>
      <c r="B557" s="884">
        <v>964.17</v>
      </c>
      <c r="C557" s="880">
        <v>966.78</v>
      </c>
    </row>
    <row r="558" spans="1:3" ht="16.149999999999999" customHeight="1">
      <c r="A558" s="885">
        <v>199510</v>
      </c>
      <c r="B558" s="886">
        <v>984.96</v>
      </c>
      <c r="C558" s="878">
        <v>994.5</v>
      </c>
    </row>
    <row r="559" spans="1:3" ht="16.149999999999999" customHeight="1">
      <c r="A559" s="883">
        <v>199511</v>
      </c>
      <c r="B559" s="884">
        <v>1000.58</v>
      </c>
      <c r="C559" s="880">
        <v>998.16</v>
      </c>
    </row>
    <row r="560" spans="1:3" ht="16.149999999999999" customHeight="1">
      <c r="A560" s="885">
        <v>199512</v>
      </c>
      <c r="B560" s="886">
        <v>988.15</v>
      </c>
      <c r="C560" s="878">
        <v>987.65</v>
      </c>
    </row>
    <row r="561" spans="1:3" ht="16.149999999999999" customHeight="1">
      <c r="A561" s="883">
        <v>199601</v>
      </c>
      <c r="B561" s="884">
        <v>1011.19</v>
      </c>
      <c r="C561" s="880">
        <v>1028.1400000000001</v>
      </c>
    </row>
    <row r="562" spans="1:3" ht="16.149999999999999" customHeight="1">
      <c r="A562" s="885">
        <v>199602</v>
      </c>
      <c r="B562" s="886">
        <v>1029.6400000000001</v>
      </c>
      <c r="C562" s="878">
        <v>1039.81</v>
      </c>
    </row>
    <row r="563" spans="1:3" ht="16.149999999999999" customHeight="1">
      <c r="A563" s="883">
        <v>199603</v>
      </c>
      <c r="B563" s="884">
        <v>1044.98</v>
      </c>
      <c r="C563" s="880">
        <v>1046</v>
      </c>
    </row>
    <row r="564" spans="1:3" ht="16.149999999999999" customHeight="1">
      <c r="A564" s="885">
        <v>199604</v>
      </c>
      <c r="B564" s="886">
        <v>1050.93</v>
      </c>
      <c r="C564" s="878">
        <v>1058.9000000000001</v>
      </c>
    </row>
    <row r="565" spans="1:3" ht="16.149999999999999" customHeight="1">
      <c r="A565" s="883">
        <v>199605</v>
      </c>
      <c r="B565" s="884">
        <v>1066.24</v>
      </c>
      <c r="C565" s="880">
        <v>1073.06</v>
      </c>
    </row>
    <row r="566" spans="1:3" ht="16.149999999999999" customHeight="1">
      <c r="A566" s="885">
        <v>199606</v>
      </c>
      <c r="B566" s="886">
        <v>1071.96</v>
      </c>
      <c r="C566" s="878">
        <v>1069.1099999999999</v>
      </c>
    </row>
    <row r="567" spans="1:3" ht="16.149999999999999" customHeight="1">
      <c r="A567" s="883">
        <v>199607</v>
      </c>
      <c r="B567" s="884">
        <v>1064.0999999999999</v>
      </c>
      <c r="C567" s="880">
        <v>1056.74</v>
      </c>
    </row>
    <row r="568" spans="1:3" ht="16.149999999999999" customHeight="1">
      <c r="A568" s="885">
        <v>199608</v>
      </c>
      <c r="B568" s="886">
        <v>1044.8399999999999</v>
      </c>
      <c r="C568" s="878">
        <v>1042.32</v>
      </c>
    </row>
    <row r="569" spans="1:3" ht="16.149999999999999" customHeight="1">
      <c r="A569" s="883">
        <v>199609</v>
      </c>
      <c r="B569" s="884">
        <v>1040.8399999999999</v>
      </c>
      <c r="C569" s="880">
        <v>1025.06</v>
      </c>
    </row>
    <row r="570" spans="1:3" ht="16.149999999999999" customHeight="1">
      <c r="A570" s="885">
        <v>199610</v>
      </c>
      <c r="B570" s="886">
        <v>1015.78</v>
      </c>
      <c r="C570" s="878">
        <v>1005.83</v>
      </c>
    </row>
    <row r="571" spans="1:3" ht="16.149999999999999" customHeight="1">
      <c r="A571" s="883">
        <v>199611</v>
      </c>
      <c r="B571" s="884">
        <v>998.18</v>
      </c>
      <c r="C571" s="880">
        <v>1002.28</v>
      </c>
    </row>
    <row r="572" spans="1:3" ht="16.149999999999999" customHeight="1">
      <c r="A572" s="885">
        <v>199612</v>
      </c>
      <c r="B572" s="886">
        <v>1000.79</v>
      </c>
      <c r="C572" s="878">
        <v>1005.33</v>
      </c>
    </row>
    <row r="573" spans="1:3" ht="16.149999999999999" customHeight="1">
      <c r="A573" s="883">
        <v>199701</v>
      </c>
      <c r="B573" s="884">
        <v>1027.06</v>
      </c>
      <c r="C573" s="880">
        <v>1070.97</v>
      </c>
    </row>
    <row r="574" spans="1:3" ht="16.149999999999999" customHeight="1">
      <c r="A574" s="885">
        <v>199702</v>
      </c>
      <c r="B574" s="886">
        <v>1074.24</v>
      </c>
      <c r="C574" s="878">
        <v>1080.51</v>
      </c>
    </row>
    <row r="575" spans="1:3" ht="16.149999999999999" customHeight="1">
      <c r="A575" s="883">
        <v>199703</v>
      </c>
      <c r="B575" s="884">
        <v>1062.1600000000001</v>
      </c>
      <c r="C575" s="880">
        <v>1059.8800000000001</v>
      </c>
    </row>
    <row r="576" spans="1:3" ht="16.149999999999999" customHeight="1">
      <c r="A576" s="885">
        <v>199704</v>
      </c>
      <c r="B576" s="886">
        <v>1060.6500000000001</v>
      </c>
      <c r="C576" s="878">
        <v>1063.1099999999999</v>
      </c>
    </row>
    <row r="577" spans="1:3" ht="16.149999999999999" customHeight="1">
      <c r="A577" s="883">
        <v>199705</v>
      </c>
      <c r="B577" s="884">
        <v>1075.18</v>
      </c>
      <c r="C577" s="880">
        <v>1077.0899999999999</v>
      </c>
    </row>
    <row r="578" spans="1:3" ht="16.149999999999999" customHeight="1">
      <c r="A578" s="885">
        <v>199706</v>
      </c>
      <c r="B578" s="886">
        <v>1082.3699999999999</v>
      </c>
      <c r="C578" s="878">
        <v>1089.01</v>
      </c>
    </row>
    <row r="579" spans="1:3" ht="16.149999999999999" customHeight="1">
      <c r="A579" s="883">
        <v>199707</v>
      </c>
      <c r="B579" s="884">
        <v>1102.4000000000001</v>
      </c>
      <c r="C579" s="880">
        <v>1109.6500000000001</v>
      </c>
    </row>
    <row r="580" spans="1:3" ht="16.149999999999999" customHeight="1">
      <c r="A580" s="885">
        <v>199708</v>
      </c>
      <c r="B580" s="886">
        <v>1132.7</v>
      </c>
      <c r="C580" s="878">
        <v>1172.28</v>
      </c>
    </row>
    <row r="581" spans="1:3" ht="16.149999999999999" customHeight="1">
      <c r="A581" s="883">
        <v>199709</v>
      </c>
      <c r="B581" s="884">
        <v>1222.49</v>
      </c>
      <c r="C581" s="880">
        <v>1246.27</v>
      </c>
    </row>
    <row r="582" spans="1:3" ht="16.149999999999999" customHeight="1">
      <c r="A582" s="885">
        <v>199710</v>
      </c>
      <c r="B582" s="886">
        <v>1262.8900000000001</v>
      </c>
      <c r="C582" s="878">
        <v>1281.2</v>
      </c>
    </row>
    <row r="583" spans="1:3" ht="16.149999999999999" customHeight="1">
      <c r="A583" s="883">
        <v>199711</v>
      </c>
      <c r="B583" s="884">
        <v>1294.56</v>
      </c>
      <c r="C583" s="880">
        <v>1305.6600000000001</v>
      </c>
    </row>
    <row r="584" spans="1:3" ht="16.149999999999999" customHeight="1">
      <c r="A584" s="885">
        <v>199712</v>
      </c>
      <c r="B584" s="886">
        <v>1296.7</v>
      </c>
      <c r="C584" s="878">
        <v>1293.58</v>
      </c>
    </row>
    <row r="585" spans="1:3" ht="16.149999999999999" customHeight="1">
      <c r="A585" s="883">
        <v>199801</v>
      </c>
      <c r="B585" s="884">
        <v>1323.16</v>
      </c>
      <c r="C585" s="880">
        <v>1342</v>
      </c>
    </row>
    <row r="586" spans="1:3" ht="16.149999999999999" customHeight="1">
      <c r="A586" s="885">
        <v>199802</v>
      </c>
      <c r="B586" s="886">
        <v>1346.12</v>
      </c>
      <c r="C586" s="878">
        <v>1343.85</v>
      </c>
    </row>
    <row r="587" spans="1:3" ht="16.149999999999999" customHeight="1">
      <c r="A587" s="883">
        <v>199803</v>
      </c>
      <c r="B587" s="884">
        <v>1357.1</v>
      </c>
      <c r="C587" s="880">
        <v>1358.03</v>
      </c>
    </row>
    <row r="588" spans="1:3" ht="16.149999999999999" customHeight="1">
      <c r="A588" s="885">
        <v>199804</v>
      </c>
      <c r="B588" s="886">
        <v>1360.65</v>
      </c>
      <c r="C588" s="878">
        <v>1365.72</v>
      </c>
    </row>
    <row r="589" spans="1:3" ht="16.149999999999999" customHeight="1">
      <c r="A589" s="883">
        <v>199805</v>
      </c>
      <c r="B589" s="884">
        <v>1386.28</v>
      </c>
      <c r="C589" s="880">
        <v>1397.07</v>
      </c>
    </row>
    <row r="590" spans="1:3" ht="16.149999999999999" customHeight="1">
      <c r="A590" s="885">
        <v>199806</v>
      </c>
      <c r="B590" s="886">
        <v>1386.61</v>
      </c>
      <c r="C590" s="878">
        <v>1363.04</v>
      </c>
    </row>
    <row r="591" spans="1:3" ht="16.149999999999999" customHeight="1">
      <c r="A591" s="883">
        <v>199807</v>
      </c>
      <c r="B591" s="884">
        <v>1371.54</v>
      </c>
      <c r="C591" s="880">
        <v>1370.65</v>
      </c>
    </row>
    <row r="592" spans="1:3" ht="16.149999999999999" customHeight="1">
      <c r="A592" s="885">
        <v>199808</v>
      </c>
      <c r="B592" s="886">
        <v>1390.46</v>
      </c>
      <c r="C592" s="878">
        <v>1440.87</v>
      </c>
    </row>
    <row r="593" spans="1:3" ht="16.149999999999999" customHeight="1">
      <c r="A593" s="883">
        <v>199809</v>
      </c>
      <c r="B593" s="884">
        <v>1520.52</v>
      </c>
      <c r="C593" s="880">
        <v>1556.15</v>
      </c>
    </row>
    <row r="594" spans="1:3" ht="16.149999999999999" customHeight="1">
      <c r="A594" s="885">
        <v>199810</v>
      </c>
      <c r="B594" s="886">
        <v>1587.38</v>
      </c>
      <c r="C594" s="878">
        <v>1575.08</v>
      </c>
    </row>
    <row r="595" spans="1:3" ht="16.149999999999999" customHeight="1">
      <c r="A595" s="883">
        <v>199811</v>
      </c>
      <c r="B595" s="884">
        <v>1562.71</v>
      </c>
      <c r="C595" s="880">
        <v>1547.11</v>
      </c>
    </row>
    <row r="596" spans="1:3" ht="16.149999999999999" customHeight="1">
      <c r="A596" s="885">
        <v>199812</v>
      </c>
      <c r="B596" s="886">
        <v>1524.56</v>
      </c>
      <c r="C596" s="878">
        <v>1542.11</v>
      </c>
    </row>
    <row r="597" spans="1:3" ht="16.149999999999999" customHeight="1">
      <c r="A597" s="883">
        <v>199901</v>
      </c>
      <c r="B597" s="884">
        <v>1570.01</v>
      </c>
      <c r="C597" s="880">
        <v>1582.9</v>
      </c>
    </row>
    <row r="598" spans="1:3" ht="16.149999999999999" customHeight="1">
      <c r="A598" s="885">
        <v>199902</v>
      </c>
      <c r="B598" s="886">
        <v>1567.07</v>
      </c>
      <c r="C598" s="878">
        <v>1568.3</v>
      </c>
    </row>
    <row r="599" spans="1:3" ht="16.149999999999999" customHeight="1">
      <c r="A599" s="883">
        <v>199903</v>
      </c>
      <c r="B599" s="884">
        <v>1550.15</v>
      </c>
      <c r="C599" s="880">
        <v>1533.51</v>
      </c>
    </row>
    <row r="600" spans="1:3" ht="16.149999999999999" customHeight="1">
      <c r="A600" s="885">
        <v>199904</v>
      </c>
      <c r="B600" s="886">
        <v>1574.67</v>
      </c>
      <c r="C600" s="878">
        <v>1604.44</v>
      </c>
    </row>
    <row r="601" spans="1:3" ht="16.149999999999999" customHeight="1">
      <c r="A601" s="883">
        <v>199905</v>
      </c>
      <c r="B601" s="884">
        <v>1641.33</v>
      </c>
      <c r="C601" s="880">
        <v>1671.67</v>
      </c>
    </row>
    <row r="602" spans="1:3" ht="16.149999999999999" customHeight="1">
      <c r="A602" s="885">
        <v>199906</v>
      </c>
      <c r="B602" s="886">
        <v>1693.99</v>
      </c>
      <c r="C602" s="878">
        <v>1732.1</v>
      </c>
    </row>
    <row r="603" spans="1:3" ht="16.149999999999999" customHeight="1">
      <c r="A603" s="883">
        <v>199907</v>
      </c>
      <c r="B603" s="884">
        <v>1818.63</v>
      </c>
      <c r="C603" s="880">
        <v>1809.5</v>
      </c>
    </row>
    <row r="604" spans="1:3" ht="16.149999999999999" customHeight="1">
      <c r="A604" s="885">
        <v>199908</v>
      </c>
      <c r="B604" s="886">
        <v>1876.93</v>
      </c>
      <c r="C604" s="878">
        <v>1954.72</v>
      </c>
    </row>
    <row r="605" spans="1:3" ht="16.149999999999999" customHeight="1">
      <c r="A605" s="883">
        <v>199909</v>
      </c>
      <c r="B605" s="884">
        <v>1975.64</v>
      </c>
      <c r="C605" s="880">
        <v>2017.27</v>
      </c>
    </row>
    <row r="606" spans="1:3" ht="16.149999999999999" customHeight="1">
      <c r="A606" s="885">
        <v>199910</v>
      </c>
      <c r="B606" s="886">
        <v>1978.71</v>
      </c>
      <c r="C606" s="878">
        <v>1971.59</v>
      </c>
    </row>
    <row r="607" spans="1:3" ht="16.149999999999999" customHeight="1">
      <c r="A607" s="883">
        <v>199911</v>
      </c>
      <c r="B607" s="884">
        <v>1944.64</v>
      </c>
      <c r="C607" s="880">
        <v>1923.77</v>
      </c>
    </row>
    <row r="608" spans="1:3" ht="16.149999999999999" customHeight="1">
      <c r="A608" s="885">
        <v>199912</v>
      </c>
      <c r="B608" s="886">
        <v>1888.46</v>
      </c>
      <c r="C608" s="878">
        <v>1873.77</v>
      </c>
    </row>
    <row r="609" spans="1:3" ht="16.149999999999999" customHeight="1">
      <c r="A609" s="883">
        <v>200001</v>
      </c>
      <c r="B609" s="884">
        <v>1923.57</v>
      </c>
      <c r="C609" s="880">
        <v>1976.72</v>
      </c>
    </row>
    <row r="610" spans="1:3" ht="16.149999999999999" customHeight="1">
      <c r="A610" s="885">
        <v>200002</v>
      </c>
      <c r="B610" s="886">
        <v>1950.64</v>
      </c>
      <c r="C610" s="878">
        <v>1946.17</v>
      </c>
    </row>
    <row r="611" spans="1:3" ht="16.149999999999999" customHeight="1">
      <c r="A611" s="883">
        <v>200003</v>
      </c>
      <c r="B611" s="884">
        <v>1956.25</v>
      </c>
      <c r="C611" s="880">
        <v>1951.56</v>
      </c>
    </row>
    <row r="612" spans="1:3" ht="16.149999999999999" customHeight="1">
      <c r="A612" s="885">
        <v>200004</v>
      </c>
      <c r="B612" s="886">
        <v>1986.77</v>
      </c>
      <c r="C612" s="878">
        <v>2004.47</v>
      </c>
    </row>
    <row r="613" spans="1:3" ht="16.149999999999999" customHeight="1">
      <c r="A613" s="883">
        <v>200005</v>
      </c>
      <c r="B613" s="884">
        <v>2055.69</v>
      </c>
      <c r="C613" s="880">
        <v>2084.92</v>
      </c>
    </row>
    <row r="614" spans="1:3" ht="16.149999999999999" customHeight="1">
      <c r="A614" s="885">
        <v>200006</v>
      </c>
      <c r="B614" s="886">
        <v>2120.17</v>
      </c>
      <c r="C614" s="878">
        <v>2139.11</v>
      </c>
    </row>
    <row r="615" spans="1:3" ht="16.149999999999999" customHeight="1">
      <c r="A615" s="883">
        <v>200007</v>
      </c>
      <c r="B615" s="884">
        <v>2161.34</v>
      </c>
      <c r="C615" s="880">
        <v>2172.79</v>
      </c>
    </row>
    <row r="616" spans="1:3" ht="16.149999999999999" customHeight="1">
      <c r="A616" s="885">
        <v>200008</v>
      </c>
      <c r="B616" s="886">
        <v>2187.38</v>
      </c>
      <c r="C616" s="878">
        <v>2208.21</v>
      </c>
    </row>
    <row r="617" spans="1:3" ht="16.149999999999999" customHeight="1">
      <c r="A617" s="883">
        <v>200009</v>
      </c>
      <c r="B617" s="884">
        <v>2213.7600000000002</v>
      </c>
      <c r="C617" s="880">
        <v>2212.2600000000002</v>
      </c>
    </row>
    <row r="618" spans="1:3" ht="16.149999999999999" customHeight="1">
      <c r="A618" s="885">
        <v>200010</v>
      </c>
      <c r="B618" s="886">
        <v>2176.61</v>
      </c>
      <c r="C618" s="878">
        <v>2158.36</v>
      </c>
    </row>
    <row r="619" spans="1:3" ht="16.149999999999999" customHeight="1">
      <c r="A619" s="883">
        <v>200011</v>
      </c>
      <c r="B619" s="884">
        <v>2136.63</v>
      </c>
      <c r="C619" s="880">
        <v>2172.84</v>
      </c>
    </row>
    <row r="620" spans="1:3" ht="16.149999999999999" customHeight="1">
      <c r="A620" s="885">
        <v>200012</v>
      </c>
      <c r="B620" s="886">
        <v>2186.21</v>
      </c>
      <c r="C620" s="878">
        <v>2229.1799999999998</v>
      </c>
    </row>
    <row r="621" spans="1:3" ht="16.149999999999999" customHeight="1">
      <c r="A621" s="883">
        <v>200101</v>
      </c>
      <c r="B621" s="884">
        <v>2241.4</v>
      </c>
      <c r="C621" s="880">
        <v>2240.8000000000002</v>
      </c>
    </row>
    <row r="622" spans="1:3" ht="16.149999999999999" customHeight="1">
      <c r="A622" s="885">
        <v>200102</v>
      </c>
      <c r="B622" s="886">
        <v>2243.42</v>
      </c>
      <c r="C622" s="878">
        <v>2257.4499999999998</v>
      </c>
    </row>
    <row r="623" spans="1:3" ht="16.149999999999999" customHeight="1">
      <c r="A623" s="883">
        <v>200103</v>
      </c>
      <c r="B623" s="884">
        <v>2278.7800000000002</v>
      </c>
      <c r="C623" s="880">
        <v>2310.5700000000002</v>
      </c>
    </row>
    <row r="624" spans="1:3" ht="16.149999999999999" customHeight="1">
      <c r="A624" s="885">
        <v>200104</v>
      </c>
      <c r="B624" s="886">
        <v>2323.1</v>
      </c>
      <c r="C624" s="878">
        <v>2346.73</v>
      </c>
    </row>
    <row r="625" spans="1:3" ht="16.149999999999999" customHeight="1">
      <c r="A625" s="883">
        <v>200105</v>
      </c>
      <c r="B625" s="884">
        <v>2346.9299999999998</v>
      </c>
      <c r="C625" s="880">
        <v>2324.98</v>
      </c>
    </row>
    <row r="626" spans="1:3" ht="16.149999999999999" customHeight="1">
      <c r="A626" s="885">
        <v>200106</v>
      </c>
      <c r="B626" s="886">
        <v>2305.66</v>
      </c>
      <c r="C626" s="878">
        <v>2298.85</v>
      </c>
    </row>
    <row r="627" spans="1:3" ht="16.149999999999999" customHeight="1">
      <c r="A627" s="883">
        <v>200107</v>
      </c>
      <c r="B627" s="884">
        <v>2304.2800000000002</v>
      </c>
      <c r="C627" s="880">
        <v>2298.27</v>
      </c>
    </row>
    <row r="628" spans="1:3" ht="16.149999999999999" customHeight="1">
      <c r="A628" s="885">
        <v>200108</v>
      </c>
      <c r="B628" s="886">
        <v>2288.9</v>
      </c>
      <c r="C628" s="878">
        <v>2301.23</v>
      </c>
    </row>
    <row r="629" spans="1:3" ht="16.149999999999999" customHeight="1">
      <c r="A629" s="883">
        <v>200109</v>
      </c>
      <c r="B629" s="884">
        <v>2328.23</v>
      </c>
      <c r="C629" s="880">
        <v>2332.19</v>
      </c>
    </row>
    <row r="630" spans="1:3" ht="16.149999999999999" customHeight="1">
      <c r="A630" s="885">
        <v>200110</v>
      </c>
      <c r="B630" s="886">
        <v>2320.65</v>
      </c>
      <c r="C630" s="878">
        <v>2310.02</v>
      </c>
    </row>
    <row r="631" spans="1:3" ht="16.149999999999999" customHeight="1">
      <c r="A631" s="883">
        <v>200111</v>
      </c>
      <c r="B631" s="884">
        <v>2310.4699999999998</v>
      </c>
      <c r="C631" s="880">
        <v>2308.59</v>
      </c>
    </row>
    <row r="632" spans="1:3" ht="16.149999999999999" customHeight="1">
      <c r="A632" s="885">
        <v>200112</v>
      </c>
      <c r="B632" s="886">
        <v>2306.9</v>
      </c>
      <c r="C632" s="878">
        <v>2291.1799999999998</v>
      </c>
    </row>
    <row r="633" spans="1:3" ht="16.149999999999999" customHeight="1">
      <c r="A633" s="883">
        <v>200201</v>
      </c>
      <c r="B633" s="884">
        <v>2274.96</v>
      </c>
      <c r="C633" s="880">
        <v>2264.8200000000002</v>
      </c>
    </row>
    <row r="634" spans="1:3" ht="16.149999999999999" customHeight="1">
      <c r="A634" s="885">
        <v>200202</v>
      </c>
      <c r="B634" s="886">
        <v>2286.6999999999998</v>
      </c>
      <c r="C634" s="878">
        <v>2309.8200000000002</v>
      </c>
    </row>
    <row r="635" spans="1:3" ht="16.149999999999999" customHeight="1">
      <c r="A635" s="883">
        <v>200203</v>
      </c>
      <c r="B635" s="884">
        <v>2282.33</v>
      </c>
      <c r="C635" s="880">
        <v>2261.23</v>
      </c>
    </row>
    <row r="636" spans="1:3" ht="16.149999999999999" customHeight="1">
      <c r="A636" s="885">
        <v>200204</v>
      </c>
      <c r="B636" s="886">
        <v>2263.11</v>
      </c>
      <c r="C636" s="878">
        <v>2275.35</v>
      </c>
    </row>
    <row r="637" spans="1:3" ht="16.149999999999999" customHeight="1">
      <c r="A637" s="883">
        <v>200205</v>
      </c>
      <c r="B637" s="884">
        <v>2310.2399999999998</v>
      </c>
      <c r="C637" s="880">
        <v>2321.16</v>
      </c>
    </row>
    <row r="638" spans="1:3" ht="16.149999999999999" customHeight="1">
      <c r="A638" s="885">
        <v>200206</v>
      </c>
      <c r="B638" s="886">
        <v>2364.25</v>
      </c>
      <c r="C638" s="878">
        <v>2398.8200000000002</v>
      </c>
    </row>
    <row r="639" spans="1:3" ht="16.149999999999999" customHeight="1">
      <c r="A639" s="883">
        <v>200207</v>
      </c>
      <c r="B639" s="884">
        <v>2506.7199999999998</v>
      </c>
      <c r="C639" s="880">
        <v>2625.06</v>
      </c>
    </row>
    <row r="640" spans="1:3" ht="16.149999999999999" customHeight="1">
      <c r="A640" s="885">
        <v>200208</v>
      </c>
      <c r="B640" s="886">
        <v>2647.22</v>
      </c>
      <c r="C640" s="878">
        <v>2703.55</v>
      </c>
    </row>
    <row r="641" spans="1:3" ht="16.149999999999999" customHeight="1">
      <c r="A641" s="883">
        <v>200209</v>
      </c>
      <c r="B641" s="884">
        <v>2751.23</v>
      </c>
      <c r="C641" s="880">
        <v>2828.08</v>
      </c>
    </row>
    <row r="642" spans="1:3" ht="16.149999999999999" customHeight="1">
      <c r="A642" s="885">
        <v>200210</v>
      </c>
      <c r="B642" s="886">
        <v>2827.86</v>
      </c>
      <c r="C642" s="878">
        <v>2773.73</v>
      </c>
    </row>
    <row r="643" spans="1:3" ht="16.149999999999999" customHeight="1">
      <c r="A643" s="883">
        <v>200211</v>
      </c>
      <c r="B643" s="884">
        <v>2726.66</v>
      </c>
      <c r="C643" s="880">
        <v>2784.21</v>
      </c>
    </row>
    <row r="644" spans="1:3" ht="16.149999999999999" customHeight="1">
      <c r="A644" s="885">
        <v>200212</v>
      </c>
      <c r="B644" s="886">
        <v>2814.89</v>
      </c>
      <c r="C644" s="878">
        <v>2864.79</v>
      </c>
    </row>
    <row r="645" spans="1:3" ht="16.149999999999999" customHeight="1">
      <c r="A645" s="883">
        <v>200301</v>
      </c>
      <c r="B645" s="884">
        <v>2913</v>
      </c>
      <c r="C645" s="880">
        <v>2926.46</v>
      </c>
    </row>
    <row r="646" spans="1:3" ht="16.149999999999999" customHeight="1">
      <c r="A646" s="885">
        <v>200302</v>
      </c>
      <c r="B646" s="886">
        <v>2951.86</v>
      </c>
      <c r="C646" s="878">
        <v>2956.31</v>
      </c>
    </row>
    <row r="647" spans="1:3" ht="16.149999999999999" customHeight="1">
      <c r="A647" s="883">
        <v>200303</v>
      </c>
      <c r="B647" s="884">
        <v>2959.01</v>
      </c>
      <c r="C647" s="880">
        <v>2958.25</v>
      </c>
    </row>
    <row r="648" spans="1:3" ht="16.149999999999999" customHeight="1">
      <c r="A648" s="885">
        <v>200304</v>
      </c>
      <c r="B648" s="886">
        <v>2926.62</v>
      </c>
      <c r="C648" s="878">
        <v>2887.82</v>
      </c>
    </row>
    <row r="649" spans="1:3" ht="16.149999999999999" customHeight="1">
      <c r="A649" s="883">
        <v>200305</v>
      </c>
      <c r="B649" s="884">
        <v>2858.94</v>
      </c>
      <c r="C649" s="880">
        <v>2853.33</v>
      </c>
    </row>
    <row r="650" spans="1:3" ht="16.149999999999999" customHeight="1">
      <c r="A650" s="885">
        <v>200306</v>
      </c>
      <c r="B650" s="886">
        <v>2826.95</v>
      </c>
      <c r="C650" s="878">
        <v>2817.32</v>
      </c>
    </row>
    <row r="651" spans="1:3" ht="16.149999999999999" customHeight="1">
      <c r="A651" s="883">
        <v>200307</v>
      </c>
      <c r="B651" s="884">
        <v>2858.82</v>
      </c>
      <c r="C651" s="880">
        <v>2880.4</v>
      </c>
    </row>
    <row r="652" spans="1:3" ht="16.149999999999999" customHeight="1">
      <c r="A652" s="885">
        <v>200308</v>
      </c>
      <c r="B652" s="886">
        <v>2867.29</v>
      </c>
      <c r="C652" s="878">
        <v>2832.94</v>
      </c>
    </row>
    <row r="653" spans="1:3" ht="16.149999999999999" customHeight="1">
      <c r="A653" s="883">
        <v>200309</v>
      </c>
      <c r="B653" s="884">
        <v>2840.08</v>
      </c>
      <c r="C653" s="880">
        <v>2889.39</v>
      </c>
    </row>
    <row r="654" spans="1:3" ht="16.149999999999999" customHeight="1">
      <c r="A654" s="885">
        <v>200310</v>
      </c>
      <c r="B654" s="886">
        <v>2876.2</v>
      </c>
      <c r="C654" s="878">
        <v>2884.17</v>
      </c>
    </row>
    <row r="655" spans="1:3" ht="16.149999999999999" customHeight="1">
      <c r="A655" s="883">
        <v>200311</v>
      </c>
      <c r="B655" s="884">
        <v>2844.55</v>
      </c>
      <c r="C655" s="880">
        <v>2836.05</v>
      </c>
    </row>
    <row r="656" spans="1:3" ht="16.149999999999999" customHeight="1">
      <c r="A656" s="885">
        <v>200312</v>
      </c>
      <c r="B656" s="886">
        <v>2807.2</v>
      </c>
      <c r="C656" s="878">
        <v>2778.21</v>
      </c>
    </row>
    <row r="657" spans="1:3" ht="16.149999999999999" customHeight="1">
      <c r="A657" s="883">
        <v>200401</v>
      </c>
      <c r="B657" s="884">
        <v>2749.14</v>
      </c>
      <c r="C657" s="880">
        <v>2742.47</v>
      </c>
    </row>
    <row r="658" spans="1:3" ht="16.149999999999999" customHeight="1">
      <c r="A658" s="885">
        <v>200402</v>
      </c>
      <c r="B658" s="886">
        <v>2717.94</v>
      </c>
      <c r="C658" s="878">
        <v>2682.34</v>
      </c>
    </row>
    <row r="659" spans="1:3" ht="16.149999999999999" customHeight="1">
      <c r="A659" s="883">
        <v>200403</v>
      </c>
      <c r="B659" s="884">
        <v>2670.8</v>
      </c>
      <c r="C659" s="880">
        <v>2678.16</v>
      </c>
    </row>
    <row r="660" spans="1:3" ht="16.149999999999999" customHeight="1">
      <c r="A660" s="885">
        <v>200404</v>
      </c>
      <c r="B660" s="886">
        <v>2639.6</v>
      </c>
      <c r="C660" s="878">
        <v>2646.99</v>
      </c>
    </row>
    <row r="661" spans="1:3" ht="16.149999999999999" customHeight="1">
      <c r="A661" s="883">
        <v>200405</v>
      </c>
      <c r="B661" s="884">
        <v>2719.43</v>
      </c>
      <c r="C661" s="880">
        <v>2724.92</v>
      </c>
    </row>
    <row r="662" spans="1:3" ht="16.149999999999999" customHeight="1">
      <c r="A662" s="885">
        <v>200406</v>
      </c>
      <c r="B662" s="886">
        <v>2716.56</v>
      </c>
      <c r="C662" s="878">
        <v>2699.58</v>
      </c>
    </row>
    <row r="663" spans="1:3" ht="16.149999999999999" customHeight="1">
      <c r="A663" s="883">
        <v>200407</v>
      </c>
      <c r="B663" s="884">
        <v>2653.32</v>
      </c>
      <c r="C663" s="880">
        <v>2612.44</v>
      </c>
    </row>
    <row r="664" spans="1:3" ht="16.149999999999999" customHeight="1">
      <c r="A664" s="885">
        <v>200408</v>
      </c>
      <c r="B664" s="886">
        <v>2598.59</v>
      </c>
      <c r="C664" s="878">
        <v>2551.4299999999998</v>
      </c>
    </row>
    <row r="665" spans="1:3" ht="16.149999999999999" customHeight="1">
      <c r="A665" s="883">
        <v>200409</v>
      </c>
      <c r="B665" s="884">
        <v>2552.7800000000002</v>
      </c>
      <c r="C665" s="880">
        <v>2595.17</v>
      </c>
    </row>
    <row r="666" spans="1:3" ht="16.149999999999999" customHeight="1">
      <c r="A666" s="885">
        <v>200410</v>
      </c>
      <c r="B666" s="886">
        <v>2580.6999999999998</v>
      </c>
      <c r="C666" s="878">
        <v>2575.19</v>
      </c>
    </row>
    <row r="667" spans="1:3" ht="16.149999999999999" customHeight="1">
      <c r="A667" s="883">
        <v>200411</v>
      </c>
      <c r="B667" s="884">
        <v>2530.19</v>
      </c>
      <c r="C667" s="880">
        <v>2479.1</v>
      </c>
    </row>
    <row r="668" spans="1:3" ht="16.149999999999999" customHeight="1">
      <c r="A668" s="885">
        <v>200412</v>
      </c>
      <c r="B668" s="886">
        <v>2411.37</v>
      </c>
      <c r="C668" s="878">
        <v>2389.75</v>
      </c>
    </row>
    <row r="669" spans="1:3" ht="16.149999999999999" customHeight="1">
      <c r="A669" s="883">
        <v>200501</v>
      </c>
      <c r="B669" s="884">
        <v>2362.96</v>
      </c>
      <c r="C669" s="880">
        <v>2367.7600000000002</v>
      </c>
    </row>
    <row r="670" spans="1:3" ht="16.149999999999999" customHeight="1">
      <c r="A670" s="885">
        <v>200502</v>
      </c>
      <c r="B670" s="886">
        <v>2340.4899999999998</v>
      </c>
      <c r="C670" s="878">
        <v>2323.77</v>
      </c>
    </row>
    <row r="671" spans="1:3" ht="16.149999999999999" customHeight="1">
      <c r="A671" s="883">
        <v>200503</v>
      </c>
      <c r="B671" s="884">
        <v>2353.71</v>
      </c>
      <c r="C671" s="880">
        <v>2376.48</v>
      </c>
    </row>
    <row r="672" spans="1:3" ht="16.149999999999999" customHeight="1">
      <c r="A672" s="885">
        <v>200504</v>
      </c>
      <c r="B672" s="886">
        <v>2350.0100000000002</v>
      </c>
      <c r="C672" s="878">
        <v>2348.3200000000002</v>
      </c>
    </row>
    <row r="673" spans="1:3" ht="16.149999999999999" customHeight="1">
      <c r="A673" s="883">
        <v>200505</v>
      </c>
      <c r="B673" s="884">
        <v>2339.2199999999998</v>
      </c>
      <c r="C673" s="880">
        <v>2332.79</v>
      </c>
    </row>
    <row r="674" spans="1:3" ht="16.149999999999999" customHeight="1">
      <c r="A674" s="885">
        <v>200506</v>
      </c>
      <c r="B674" s="886">
        <v>2331.79</v>
      </c>
      <c r="C674" s="878">
        <v>2331.81</v>
      </c>
    </row>
    <row r="675" spans="1:3" ht="16.149999999999999" customHeight="1">
      <c r="A675" s="883">
        <v>200507</v>
      </c>
      <c r="B675" s="884">
        <v>2323.38</v>
      </c>
      <c r="C675" s="880">
        <v>2308.4899999999998</v>
      </c>
    </row>
    <row r="676" spans="1:3" ht="16.149999999999999" customHeight="1">
      <c r="A676" s="885">
        <v>200508</v>
      </c>
      <c r="B676" s="886">
        <v>2306.19</v>
      </c>
      <c r="C676" s="878">
        <v>2304.3000000000002</v>
      </c>
    </row>
    <row r="677" spans="1:3" ht="16.149999999999999" customHeight="1">
      <c r="A677" s="883">
        <v>200509</v>
      </c>
      <c r="B677" s="884">
        <v>2294.52</v>
      </c>
      <c r="C677" s="880">
        <v>2289.61</v>
      </c>
    </row>
    <row r="678" spans="1:3" ht="16.149999999999999" customHeight="1">
      <c r="A678" s="885">
        <v>200510</v>
      </c>
      <c r="B678" s="886">
        <v>2292.5500000000002</v>
      </c>
      <c r="C678" s="878">
        <v>2289.5700000000002</v>
      </c>
    </row>
    <row r="679" spans="1:3" ht="16.149999999999999" customHeight="1">
      <c r="A679" s="883">
        <v>200511</v>
      </c>
      <c r="B679" s="884">
        <v>2279.85</v>
      </c>
      <c r="C679" s="880">
        <v>2274.04</v>
      </c>
    </row>
    <row r="680" spans="1:3" ht="16.149999999999999" customHeight="1">
      <c r="A680" s="885">
        <v>200512</v>
      </c>
      <c r="B680" s="886">
        <v>2278.91</v>
      </c>
      <c r="C680" s="878">
        <v>2284.2199999999998</v>
      </c>
    </row>
    <row r="681" spans="1:3" ht="16.149999999999999" customHeight="1">
      <c r="A681" s="883">
        <v>200601</v>
      </c>
      <c r="B681" s="884">
        <v>2273.66</v>
      </c>
      <c r="C681" s="880">
        <v>2265.65</v>
      </c>
    </row>
    <row r="682" spans="1:3" ht="16.149999999999999" customHeight="1">
      <c r="A682" s="885">
        <v>200602</v>
      </c>
      <c r="B682" s="886">
        <v>2256.2399999999998</v>
      </c>
      <c r="C682" s="878">
        <v>2247.3200000000002</v>
      </c>
    </row>
    <row r="683" spans="1:3" ht="16.149999999999999" customHeight="1">
      <c r="A683" s="883">
        <v>200603</v>
      </c>
      <c r="B683" s="884">
        <v>2262.36</v>
      </c>
      <c r="C683" s="880">
        <v>2289.98</v>
      </c>
    </row>
    <row r="684" spans="1:3" ht="16.149999999999999" customHeight="1">
      <c r="A684" s="885">
        <v>200604</v>
      </c>
      <c r="B684" s="886">
        <v>2334.29</v>
      </c>
      <c r="C684" s="878">
        <v>2375.0300000000002</v>
      </c>
    </row>
    <row r="685" spans="1:3" ht="16.149999999999999" customHeight="1">
      <c r="A685" s="883">
        <v>200605</v>
      </c>
      <c r="B685" s="884">
        <v>2417.9899999999998</v>
      </c>
      <c r="C685" s="880">
        <v>2482.41</v>
      </c>
    </row>
    <row r="686" spans="1:3" ht="16.149999999999999" customHeight="1">
      <c r="A686" s="885">
        <v>200606</v>
      </c>
      <c r="B686" s="886">
        <v>2542.2399999999998</v>
      </c>
      <c r="C686" s="878">
        <v>2633.12</v>
      </c>
    </row>
    <row r="687" spans="1:3" ht="16.149999999999999" customHeight="1">
      <c r="A687" s="883">
        <v>200607</v>
      </c>
      <c r="B687" s="884">
        <v>2511.7399999999998</v>
      </c>
      <c r="C687" s="880">
        <v>2426</v>
      </c>
    </row>
    <row r="688" spans="1:3" ht="16.149999999999999" customHeight="1">
      <c r="A688" s="885">
        <v>200608</v>
      </c>
      <c r="B688" s="886">
        <v>2389.65</v>
      </c>
      <c r="C688" s="878">
        <v>2396.63</v>
      </c>
    </row>
    <row r="689" spans="1:3" ht="16.149999999999999" customHeight="1">
      <c r="A689" s="883">
        <v>200609</v>
      </c>
      <c r="B689" s="884">
        <v>2398.88</v>
      </c>
      <c r="C689" s="880">
        <v>2394.31</v>
      </c>
    </row>
    <row r="690" spans="1:3" ht="16.149999999999999" customHeight="1">
      <c r="A690" s="885">
        <v>200610</v>
      </c>
      <c r="B690" s="886">
        <v>2364.29</v>
      </c>
      <c r="C690" s="878">
        <v>2315.38</v>
      </c>
    </row>
    <row r="691" spans="1:3" ht="16.149999999999999" customHeight="1">
      <c r="A691" s="883">
        <v>200611</v>
      </c>
      <c r="B691" s="884">
        <v>2290.46</v>
      </c>
      <c r="C691" s="880">
        <v>2300.42</v>
      </c>
    </row>
    <row r="692" spans="1:3" ht="16.149999999999999" customHeight="1">
      <c r="A692" s="885">
        <v>200612</v>
      </c>
      <c r="B692" s="886">
        <v>2261.33526315789</v>
      </c>
      <c r="C692" s="878">
        <v>2238.79</v>
      </c>
    </row>
    <row r="693" spans="1:3" ht="16.149999999999999" customHeight="1">
      <c r="A693" s="883">
        <v>200701</v>
      </c>
      <c r="B693" s="884">
        <v>2237.06</v>
      </c>
      <c r="C693" s="880">
        <v>2259.7199999999998</v>
      </c>
    </row>
    <row r="694" spans="1:3" ht="16.149999999999999" customHeight="1">
      <c r="A694" s="885">
        <v>200702</v>
      </c>
      <c r="B694" s="886">
        <v>2227.63</v>
      </c>
      <c r="C694" s="878">
        <v>2224.12</v>
      </c>
    </row>
    <row r="695" spans="1:3" ht="16.149999999999999" customHeight="1">
      <c r="A695" s="883">
        <v>200703</v>
      </c>
      <c r="B695" s="884">
        <v>2201.39</v>
      </c>
      <c r="C695" s="880">
        <v>2190.3000000000002</v>
      </c>
    </row>
    <row r="696" spans="1:3" ht="16.149999999999999" customHeight="1">
      <c r="A696" s="885">
        <v>200704</v>
      </c>
      <c r="B696" s="886">
        <v>2144.6</v>
      </c>
      <c r="C696" s="878">
        <v>2110.67</v>
      </c>
    </row>
    <row r="697" spans="1:3" ht="16.149999999999999" customHeight="1">
      <c r="A697" s="883">
        <v>200705</v>
      </c>
      <c r="B697" s="884">
        <v>2007.91</v>
      </c>
      <c r="C697" s="880">
        <v>1930.64</v>
      </c>
    </row>
    <row r="698" spans="1:3" ht="16.149999999999999" customHeight="1">
      <c r="A698" s="885">
        <v>200706</v>
      </c>
      <c r="B698" s="886">
        <v>1923.76</v>
      </c>
      <c r="C698" s="878">
        <v>1960.61</v>
      </c>
    </row>
    <row r="699" spans="1:3" ht="16.149999999999999" customHeight="1">
      <c r="A699" s="883">
        <v>200707</v>
      </c>
      <c r="B699" s="884">
        <v>1950.87</v>
      </c>
      <c r="C699" s="880">
        <v>1971.8</v>
      </c>
    </row>
    <row r="700" spans="1:3" ht="16.149999999999999" customHeight="1">
      <c r="A700" s="885">
        <v>200708</v>
      </c>
      <c r="B700" s="886">
        <v>2058.2800000000002</v>
      </c>
      <c r="C700" s="878">
        <v>2173.17</v>
      </c>
    </row>
    <row r="701" spans="1:3" ht="16.149999999999999" customHeight="1">
      <c r="A701" s="883">
        <v>200709</v>
      </c>
      <c r="B701" s="884">
        <v>2117.0500000000002</v>
      </c>
      <c r="C701" s="880">
        <v>2023.19</v>
      </c>
    </row>
    <row r="702" spans="1:3" ht="16.149999999999999" customHeight="1">
      <c r="A702" s="885">
        <v>200710</v>
      </c>
      <c r="B702" s="886">
        <v>2003.26</v>
      </c>
      <c r="C702" s="878">
        <v>1999.44</v>
      </c>
    </row>
    <row r="703" spans="1:3" ht="16.149999999999999" customHeight="1">
      <c r="A703" s="883">
        <v>200711</v>
      </c>
      <c r="B703" s="884">
        <v>2047.72</v>
      </c>
      <c r="C703" s="880">
        <v>2060.42</v>
      </c>
    </row>
    <row r="704" spans="1:3" ht="16.149999999999999" customHeight="1">
      <c r="A704" s="885">
        <v>200712</v>
      </c>
      <c r="B704" s="886">
        <v>2014.2014999999999</v>
      </c>
      <c r="C704" s="878">
        <v>2014.76</v>
      </c>
    </row>
    <row r="705" spans="1:3" ht="16.149999999999999" customHeight="1">
      <c r="A705" s="883">
        <v>200801</v>
      </c>
      <c r="B705" s="884">
        <v>1980.59</v>
      </c>
      <c r="C705" s="880">
        <v>1939.6</v>
      </c>
    </row>
    <row r="706" spans="1:3" ht="16.149999999999999" customHeight="1">
      <c r="A706" s="885">
        <v>200802</v>
      </c>
      <c r="B706" s="886">
        <v>1903.27</v>
      </c>
      <c r="C706" s="878">
        <v>1843.59</v>
      </c>
    </row>
    <row r="707" spans="1:3" ht="16.149999999999999" customHeight="1">
      <c r="A707" s="883">
        <v>200803</v>
      </c>
      <c r="B707" s="884">
        <v>1846.9</v>
      </c>
      <c r="C707" s="880">
        <v>1821.6</v>
      </c>
    </row>
    <row r="708" spans="1:3" ht="16.149999999999999" customHeight="1">
      <c r="A708" s="885">
        <v>200804</v>
      </c>
      <c r="B708" s="886">
        <v>1796.13</v>
      </c>
      <c r="C708" s="878">
        <v>1780.21</v>
      </c>
    </row>
    <row r="709" spans="1:3" ht="16.149999999999999" customHeight="1">
      <c r="A709" s="883">
        <v>200805</v>
      </c>
      <c r="B709" s="884">
        <v>1778.01</v>
      </c>
      <c r="C709" s="880">
        <v>1744.01</v>
      </c>
    </row>
    <row r="710" spans="1:3" ht="16.149999999999999" customHeight="1">
      <c r="A710" s="885">
        <v>200806</v>
      </c>
      <c r="B710" s="886">
        <v>1712.28</v>
      </c>
      <c r="C710" s="878">
        <v>1923.02</v>
      </c>
    </row>
    <row r="711" spans="1:3" ht="16.149999999999999" customHeight="1">
      <c r="A711" s="883">
        <v>200807</v>
      </c>
      <c r="B711" s="884">
        <v>1783.09</v>
      </c>
      <c r="C711" s="880">
        <v>1792.24</v>
      </c>
    </row>
    <row r="712" spans="1:3" ht="16.149999999999999" customHeight="1">
      <c r="A712" s="885">
        <v>200808</v>
      </c>
      <c r="B712" s="886">
        <v>1844.29</v>
      </c>
      <c r="C712" s="878">
        <v>1932.2</v>
      </c>
    </row>
    <row r="713" spans="1:3" ht="16.149999999999999" customHeight="1">
      <c r="A713" s="883">
        <v>200809</v>
      </c>
      <c r="B713" s="884">
        <v>2066.04</v>
      </c>
      <c r="C713" s="880">
        <v>2174.62</v>
      </c>
    </row>
    <row r="714" spans="1:3" ht="16.149999999999999" customHeight="1">
      <c r="A714" s="885">
        <v>200810</v>
      </c>
      <c r="B714" s="886">
        <v>2289.17</v>
      </c>
      <c r="C714" s="878">
        <v>2359.52</v>
      </c>
    </row>
    <row r="715" spans="1:3" ht="16.149999999999999" customHeight="1">
      <c r="A715" s="883">
        <v>200811</v>
      </c>
      <c r="B715" s="884">
        <v>2329.16</v>
      </c>
      <c r="C715" s="880">
        <v>2318</v>
      </c>
    </row>
    <row r="716" spans="1:3" ht="16.149999999999999" customHeight="1">
      <c r="A716" s="885">
        <v>200812</v>
      </c>
      <c r="B716" s="886">
        <v>2252.7199999999998</v>
      </c>
      <c r="C716" s="878">
        <v>2243.59</v>
      </c>
    </row>
    <row r="717" spans="1:3" ht="16.149999999999999" customHeight="1">
      <c r="A717" s="883">
        <v>200901</v>
      </c>
      <c r="B717" s="884">
        <v>2252.98</v>
      </c>
      <c r="C717" s="880">
        <v>2420.2600000000002</v>
      </c>
    </row>
    <row r="718" spans="1:3" ht="16.149999999999999" customHeight="1">
      <c r="A718" s="885">
        <v>200902</v>
      </c>
      <c r="B718" s="886">
        <v>2513.7399999999998</v>
      </c>
      <c r="C718" s="878">
        <v>2555.89</v>
      </c>
    </row>
    <row r="719" spans="1:3" ht="16.149999999999999" customHeight="1">
      <c r="A719" s="883">
        <v>200903</v>
      </c>
      <c r="B719" s="884">
        <v>2477.21</v>
      </c>
      <c r="C719" s="880">
        <v>2561.21</v>
      </c>
    </row>
    <row r="720" spans="1:3" ht="16.149999999999999" customHeight="1">
      <c r="A720" s="885">
        <v>200904</v>
      </c>
      <c r="B720" s="886">
        <v>2379.36</v>
      </c>
      <c r="C720" s="878">
        <v>2289.73</v>
      </c>
    </row>
    <row r="721" spans="1:3" ht="16.149999999999999" customHeight="1">
      <c r="A721" s="883">
        <v>200905</v>
      </c>
      <c r="B721" s="884">
        <v>2229.9499999999998</v>
      </c>
      <c r="C721" s="880">
        <v>2140.66</v>
      </c>
    </row>
    <row r="722" spans="1:3" ht="16.149999999999999" customHeight="1">
      <c r="A722" s="885">
        <v>200906</v>
      </c>
      <c r="B722" s="886">
        <v>2090.04</v>
      </c>
      <c r="C722" s="878">
        <v>2158.67</v>
      </c>
    </row>
    <row r="723" spans="1:3" ht="16.149999999999999" customHeight="1">
      <c r="A723" s="883">
        <v>200907</v>
      </c>
      <c r="B723" s="884">
        <v>2052.6799999999998</v>
      </c>
      <c r="C723" s="880">
        <v>2043.37</v>
      </c>
    </row>
    <row r="724" spans="1:3" ht="16.149999999999999" customHeight="1">
      <c r="A724" s="885">
        <v>200908</v>
      </c>
      <c r="B724" s="886">
        <v>2018.97</v>
      </c>
      <c r="C724" s="878">
        <v>2035</v>
      </c>
    </row>
    <row r="725" spans="1:3" ht="16.149999999999999" customHeight="1">
      <c r="A725" s="883">
        <v>200909</v>
      </c>
      <c r="B725" s="884">
        <v>1980.77</v>
      </c>
      <c r="C725" s="880">
        <v>1922</v>
      </c>
    </row>
    <row r="726" spans="1:3" ht="16.149999999999999" customHeight="1">
      <c r="A726" s="885">
        <v>200910</v>
      </c>
      <c r="B726" s="886">
        <v>1904.86</v>
      </c>
      <c r="C726" s="878">
        <v>1993.8</v>
      </c>
    </row>
    <row r="727" spans="1:3" ht="16.149999999999999" customHeight="1">
      <c r="A727" s="883">
        <v>200911</v>
      </c>
      <c r="B727" s="884">
        <v>1973.57</v>
      </c>
      <c r="C727" s="880">
        <v>1997.47</v>
      </c>
    </row>
    <row r="728" spans="1:3" ht="16.149999999999999" customHeight="1">
      <c r="A728" s="885">
        <v>200912</v>
      </c>
      <c r="B728" s="886">
        <v>2017.05</v>
      </c>
      <c r="C728" s="878">
        <v>2044.23</v>
      </c>
    </row>
    <row r="729" spans="1:3" ht="16.149999999999999" customHeight="1">
      <c r="A729" s="883">
        <v>201001</v>
      </c>
      <c r="B729" s="884">
        <v>1978.19</v>
      </c>
      <c r="C729" s="880">
        <v>1982.29</v>
      </c>
    </row>
    <row r="730" spans="1:3" ht="16.149999999999999" customHeight="1">
      <c r="A730" s="885">
        <v>201002</v>
      </c>
      <c r="B730" s="886">
        <v>1952.89</v>
      </c>
      <c r="C730" s="878">
        <v>1932.32</v>
      </c>
    </row>
    <row r="731" spans="1:3" ht="16.149999999999999" customHeight="1">
      <c r="A731" s="883">
        <v>201003</v>
      </c>
      <c r="B731" s="884">
        <v>1909.1</v>
      </c>
      <c r="C731" s="880">
        <v>1928.59</v>
      </c>
    </row>
    <row r="732" spans="1:3" ht="16.149999999999999" customHeight="1">
      <c r="A732" s="885">
        <v>201004</v>
      </c>
      <c r="B732" s="886">
        <v>1940.36</v>
      </c>
      <c r="C732" s="878">
        <v>1969.75</v>
      </c>
    </row>
    <row r="733" spans="1:3" ht="16.149999999999999" customHeight="1">
      <c r="A733" s="883">
        <v>201005</v>
      </c>
      <c r="B733" s="884">
        <v>1984.36</v>
      </c>
      <c r="C733" s="880">
        <v>1971.55</v>
      </c>
    </row>
    <row r="734" spans="1:3" ht="16.149999999999999" customHeight="1">
      <c r="A734" s="885">
        <v>201006</v>
      </c>
      <c r="B734" s="886">
        <v>1925.9</v>
      </c>
      <c r="C734" s="878">
        <v>1916.46</v>
      </c>
    </row>
    <row r="735" spans="1:3" ht="16.149999999999999" customHeight="1">
      <c r="A735" s="883">
        <v>201007</v>
      </c>
      <c r="B735" s="884">
        <v>1874.52</v>
      </c>
      <c r="C735" s="880">
        <v>1842.79</v>
      </c>
    </row>
    <row r="736" spans="1:3" ht="16.149999999999999" customHeight="1">
      <c r="A736" s="885">
        <v>201008</v>
      </c>
      <c r="B736" s="886">
        <v>1819.06</v>
      </c>
      <c r="C736" s="878">
        <v>1823.74</v>
      </c>
    </row>
    <row r="737" spans="1:3" ht="16.149999999999999" customHeight="1">
      <c r="A737" s="883">
        <v>201009</v>
      </c>
      <c r="B737" s="884">
        <v>1805.6</v>
      </c>
      <c r="C737" s="880">
        <v>1799.89</v>
      </c>
    </row>
    <row r="738" spans="1:3" ht="16.149999999999999" customHeight="1">
      <c r="A738" s="885">
        <v>201010</v>
      </c>
      <c r="B738" s="886">
        <v>1808.46</v>
      </c>
      <c r="C738" s="878">
        <v>1831.64</v>
      </c>
    </row>
    <row r="739" spans="1:3" ht="16.149999999999999" customHeight="1">
      <c r="A739" s="883">
        <v>201011</v>
      </c>
      <c r="B739" s="884">
        <v>1863.67</v>
      </c>
      <c r="C739" s="880">
        <v>1916.96</v>
      </c>
    </row>
    <row r="740" spans="1:3" ht="16.149999999999999" customHeight="1">
      <c r="A740" s="885">
        <v>201012</v>
      </c>
      <c r="B740" s="886">
        <v>1925.86</v>
      </c>
      <c r="C740" s="878">
        <v>1913.98</v>
      </c>
    </row>
    <row r="741" spans="1:3" ht="16.149999999999999" customHeight="1">
      <c r="A741" s="883">
        <v>201101</v>
      </c>
      <c r="B741" s="884">
        <v>1866.64</v>
      </c>
      <c r="C741" s="880">
        <v>1857.98</v>
      </c>
    </row>
    <row r="742" spans="1:3" ht="16.149999999999999" customHeight="1">
      <c r="A742" s="885">
        <v>201102</v>
      </c>
      <c r="B742" s="886">
        <v>1882.61</v>
      </c>
      <c r="C742" s="878">
        <v>1895.56</v>
      </c>
    </row>
    <row r="743" spans="1:3" ht="16.149999999999999" customHeight="1">
      <c r="A743" s="883">
        <v>201103</v>
      </c>
      <c r="B743" s="884">
        <v>1884.38</v>
      </c>
      <c r="C743" s="880">
        <v>1879.47</v>
      </c>
    </row>
    <row r="744" spans="1:3" ht="16.149999999999999" customHeight="1">
      <c r="A744" s="885">
        <v>201104</v>
      </c>
      <c r="B744" s="886">
        <v>1812.77</v>
      </c>
      <c r="C744" s="878">
        <v>1768.19</v>
      </c>
    </row>
    <row r="745" spans="1:3" ht="16.149999999999999" customHeight="1">
      <c r="A745" s="883">
        <v>201105</v>
      </c>
      <c r="B745" s="884">
        <v>1801.65</v>
      </c>
      <c r="C745" s="880">
        <v>1817.34</v>
      </c>
    </row>
    <row r="746" spans="1:3" ht="16.149999999999999" customHeight="1">
      <c r="A746" s="885">
        <v>201106</v>
      </c>
      <c r="B746" s="886">
        <v>1782.54</v>
      </c>
      <c r="C746" s="878">
        <v>1780.16</v>
      </c>
    </row>
    <row r="747" spans="1:3" ht="16.149999999999999" customHeight="1">
      <c r="A747" s="883">
        <v>201107</v>
      </c>
      <c r="B747" s="884">
        <v>1761.75</v>
      </c>
      <c r="C747" s="880">
        <v>1777.82</v>
      </c>
    </row>
    <row r="748" spans="1:3" ht="16.149999999999999" customHeight="1">
      <c r="A748" s="885">
        <v>201108</v>
      </c>
      <c r="B748" s="886">
        <v>1785.04</v>
      </c>
      <c r="C748" s="878">
        <v>1783.66</v>
      </c>
    </row>
    <row r="749" spans="1:3" ht="16.149999999999999" customHeight="1">
      <c r="A749" s="883">
        <v>201109</v>
      </c>
      <c r="B749" s="884">
        <v>1836.15</v>
      </c>
      <c r="C749" s="880">
        <v>1915.1</v>
      </c>
    </row>
    <row r="750" spans="1:3" ht="16.149999999999999" customHeight="1">
      <c r="A750" s="885">
        <v>201110</v>
      </c>
      <c r="B750" s="886">
        <v>1910.38</v>
      </c>
      <c r="C750" s="878">
        <v>1863.06</v>
      </c>
    </row>
    <row r="751" spans="1:3" ht="16.149999999999999" customHeight="1">
      <c r="A751" s="883">
        <v>201111</v>
      </c>
      <c r="B751" s="884">
        <v>1918.21</v>
      </c>
      <c r="C751" s="880">
        <v>1967.18</v>
      </c>
    </row>
    <row r="752" spans="1:3" ht="16.149999999999999" customHeight="1">
      <c r="A752" s="885">
        <v>201112</v>
      </c>
      <c r="B752" s="886">
        <v>1934.08</v>
      </c>
      <c r="C752" s="878">
        <v>1942.7</v>
      </c>
    </row>
    <row r="753" spans="1:3" ht="16.149999999999999" customHeight="1">
      <c r="A753" s="883">
        <v>201201</v>
      </c>
      <c r="B753" s="884">
        <v>1852.12</v>
      </c>
      <c r="C753" s="880">
        <v>1815.08</v>
      </c>
    </row>
    <row r="754" spans="1:3" ht="16.149999999999999" customHeight="1">
      <c r="A754" s="885">
        <v>201202</v>
      </c>
      <c r="B754" s="886">
        <v>1783.56</v>
      </c>
      <c r="C754" s="878">
        <v>1767.83</v>
      </c>
    </row>
    <row r="755" spans="1:3" ht="16.149999999999999" customHeight="1">
      <c r="A755" s="883">
        <v>201203</v>
      </c>
      <c r="B755" s="884">
        <v>1766.34</v>
      </c>
      <c r="C755" s="880">
        <v>1792.07</v>
      </c>
    </row>
    <row r="756" spans="1:3" ht="16.149999999999999" customHeight="1">
      <c r="A756" s="885">
        <v>201204</v>
      </c>
      <c r="B756" s="886">
        <v>1775.06</v>
      </c>
      <c r="C756" s="878">
        <v>1761.2</v>
      </c>
    </row>
    <row r="757" spans="1:3" ht="16.149999999999999" customHeight="1">
      <c r="A757" s="883">
        <v>201205</v>
      </c>
      <c r="B757" s="884">
        <v>1793.28</v>
      </c>
      <c r="C757" s="880">
        <v>1827.83</v>
      </c>
    </row>
    <row r="758" spans="1:3" ht="16.149999999999999" customHeight="1">
      <c r="A758" s="885">
        <v>201206</v>
      </c>
      <c r="B758" s="886">
        <v>1792.63</v>
      </c>
      <c r="C758" s="878">
        <v>1784.6</v>
      </c>
    </row>
    <row r="759" spans="1:3" ht="16.149999999999999" customHeight="1">
      <c r="A759" s="883">
        <v>201207</v>
      </c>
      <c r="B759" s="884">
        <v>1784.43</v>
      </c>
      <c r="C759" s="880">
        <v>1789.02</v>
      </c>
    </row>
    <row r="760" spans="1:3" ht="16.149999999999999" customHeight="1">
      <c r="A760" s="885">
        <v>201208</v>
      </c>
      <c r="B760" s="886">
        <v>1806.34</v>
      </c>
      <c r="C760" s="878">
        <v>1830.5</v>
      </c>
    </row>
    <row r="761" spans="1:3" ht="16.149999999999999" customHeight="1">
      <c r="A761" s="883">
        <v>201209</v>
      </c>
      <c r="B761" s="884">
        <v>1803.18</v>
      </c>
      <c r="C761" s="880">
        <v>1800.52</v>
      </c>
    </row>
    <row r="762" spans="1:3" ht="16.149999999999999" customHeight="1">
      <c r="A762" s="885">
        <v>201210</v>
      </c>
      <c r="B762" s="886">
        <v>1804.97</v>
      </c>
      <c r="C762" s="878">
        <v>1829.89</v>
      </c>
    </row>
    <row r="763" spans="1:3" ht="16.149999999999999" customHeight="1">
      <c r="A763" s="883">
        <v>201211</v>
      </c>
      <c r="B763" s="884">
        <v>1820.29</v>
      </c>
      <c r="C763" s="880">
        <v>1817.93</v>
      </c>
    </row>
    <row r="764" spans="1:3" ht="16.149999999999999" customHeight="1">
      <c r="A764" s="885">
        <v>201212</v>
      </c>
      <c r="B764" s="886">
        <v>1793.94</v>
      </c>
      <c r="C764" s="878">
        <v>1768.23</v>
      </c>
    </row>
    <row r="765" spans="1:3" ht="16.149999999999999" customHeight="1">
      <c r="A765" s="883">
        <v>201301</v>
      </c>
      <c r="B765" s="884">
        <v>1770.01</v>
      </c>
      <c r="C765" s="880">
        <v>1773.24</v>
      </c>
    </row>
    <row r="766" spans="1:3" ht="16.149999999999999" customHeight="1">
      <c r="A766" s="885">
        <v>201302</v>
      </c>
      <c r="B766" s="886">
        <v>1791.48</v>
      </c>
      <c r="C766" s="878">
        <v>1816.42</v>
      </c>
    </row>
    <row r="767" spans="1:3" ht="16.149999999999999" customHeight="1">
      <c r="A767" s="883">
        <v>201303</v>
      </c>
      <c r="B767" s="884">
        <v>1809.89</v>
      </c>
      <c r="C767" s="880">
        <v>1832.2</v>
      </c>
    </row>
    <row r="768" spans="1:3" ht="16.149999999999999" customHeight="1">
      <c r="A768" s="885">
        <v>201304</v>
      </c>
      <c r="B768" s="886">
        <v>1829.96</v>
      </c>
      <c r="C768" s="878">
        <v>1828.79</v>
      </c>
    </row>
    <row r="769" spans="1:3" ht="16.149999999999999" customHeight="1">
      <c r="A769" s="883">
        <v>201305</v>
      </c>
      <c r="B769" s="884">
        <v>1850.12</v>
      </c>
      <c r="C769" s="880">
        <v>1891.48</v>
      </c>
    </row>
    <row r="770" spans="1:3" ht="16.149999999999999" customHeight="1">
      <c r="A770" s="885">
        <v>201306</v>
      </c>
      <c r="B770" s="886">
        <v>1909.5</v>
      </c>
      <c r="C770" s="878">
        <v>1929</v>
      </c>
    </row>
    <row r="771" spans="1:3" ht="16.149999999999999" customHeight="1">
      <c r="A771" s="883">
        <v>201307</v>
      </c>
      <c r="B771" s="884">
        <v>1900.59</v>
      </c>
      <c r="C771" s="880">
        <v>1890.33</v>
      </c>
    </row>
    <row r="772" spans="1:3" ht="16.149999999999999" customHeight="1">
      <c r="A772" s="885">
        <v>201308</v>
      </c>
      <c r="B772" s="886">
        <v>1903.66</v>
      </c>
      <c r="C772" s="878">
        <v>1935.43</v>
      </c>
    </row>
    <row r="773" spans="1:3" ht="16.149999999999999" customHeight="1">
      <c r="A773" s="883">
        <v>201309</v>
      </c>
      <c r="B773" s="884">
        <v>1919.4</v>
      </c>
      <c r="C773" s="880">
        <v>1914.65</v>
      </c>
    </row>
    <row r="774" spans="1:3" ht="16.149999999999999" customHeight="1">
      <c r="A774" s="885">
        <v>201310</v>
      </c>
      <c r="B774" s="886">
        <v>1885.91</v>
      </c>
      <c r="C774" s="878">
        <v>1884.06</v>
      </c>
    </row>
    <row r="775" spans="1:3" ht="16.149999999999999" customHeight="1">
      <c r="A775" s="883">
        <v>201311</v>
      </c>
      <c r="B775" s="884">
        <v>1922.14</v>
      </c>
      <c r="C775" s="880">
        <v>1931.88</v>
      </c>
    </row>
    <row r="776" spans="1:3" ht="16.149999999999999" customHeight="1">
      <c r="A776" s="885">
        <v>201312</v>
      </c>
      <c r="B776" s="886">
        <v>1934.08</v>
      </c>
      <c r="C776" s="878">
        <v>1926.83</v>
      </c>
    </row>
    <row r="777" spans="1:3" ht="16.149999999999999" customHeight="1">
      <c r="A777" s="883">
        <v>201401</v>
      </c>
      <c r="B777" s="884">
        <v>1960.41</v>
      </c>
      <c r="C777" s="880">
        <v>2008.26</v>
      </c>
    </row>
    <row r="778" spans="1:3" ht="16.149999999999999" customHeight="1">
      <c r="A778" s="885">
        <v>201402</v>
      </c>
      <c r="B778" s="886">
        <v>2040.51</v>
      </c>
      <c r="C778" s="878">
        <v>2054.9</v>
      </c>
    </row>
    <row r="779" spans="1:3" ht="16.149999999999999" customHeight="1">
      <c r="A779" s="883">
        <v>201403</v>
      </c>
      <c r="B779" s="884">
        <v>2022.19</v>
      </c>
      <c r="C779" s="880">
        <v>1965.32</v>
      </c>
    </row>
    <row r="780" spans="1:3" ht="16.149999999999999" customHeight="1">
      <c r="A780" s="885">
        <v>201404</v>
      </c>
      <c r="B780" s="886">
        <v>1939.27</v>
      </c>
      <c r="C780" s="878">
        <v>1935.14</v>
      </c>
    </row>
    <row r="781" spans="1:3" ht="16.149999999999999" customHeight="1">
      <c r="A781" s="883">
        <v>201405</v>
      </c>
      <c r="B781" s="884">
        <v>1915.46</v>
      </c>
      <c r="C781" s="880">
        <v>1900.64</v>
      </c>
    </row>
    <row r="782" spans="1:3" ht="16.149999999999999" customHeight="1">
      <c r="A782" s="885">
        <v>201406</v>
      </c>
      <c r="B782" s="886">
        <v>1888.1</v>
      </c>
      <c r="C782" s="878">
        <v>1881.19</v>
      </c>
    </row>
    <row r="783" spans="1:3" ht="16.149999999999999" customHeight="1">
      <c r="A783" s="883">
        <v>201407</v>
      </c>
      <c r="B783" s="884">
        <v>1858.4</v>
      </c>
      <c r="C783" s="880">
        <v>1872.43</v>
      </c>
    </row>
    <row r="784" spans="1:3" ht="16.149999999999999" customHeight="1">
      <c r="A784" s="885">
        <v>201408</v>
      </c>
      <c r="B784" s="886">
        <v>1899.07</v>
      </c>
      <c r="C784" s="878">
        <v>1918.62</v>
      </c>
    </row>
    <row r="785" spans="1:3" ht="16.149999999999999" customHeight="1">
      <c r="A785" s="883">
        <v>201409</v>
      </c>
      <c r="B785" s="884">
        <v>1971.34</v>
      </c>
      <c r="C785" s="880">
        <v>2028.48</v>
      </c>
    </row>
    <row r="786" spans="1:3" ht="16.149999999999999" customHeight="1">
      <c r="A786" s="885">
        <v>201410</v>
      </c>
      <c r="B786" s="886">
        <v>2047.03</v>
      </c>
      <c r="C786" s="878">
        <v>2050.52</v>
      </c>
    </row>
    <row r="787" spans="1:3" ht="16.149999999999999" customHeight="1">
      <c r="A787" s="883">
        <v>201411</v>
      </c>
      <c r="B787" s="884">
        <v>2127.25</v>
      </c>
      <c r="C787" s="880">
        <v>2206.19</v>
      </c>
    </row>
    <row r="788" spans="1:3" ht="16.149999999999999" customHeight="1">
      <c r="A788" s="885">
        <v>201412</v>
      </c>
      <c r="B788" s="886">
        <v>2344.23</v>
      </c>
      <c r="C788" s="878">
        <v>2392.46</v>
      </c>
    </row>
    <row r="789" spans="1:3" ht="16.149999999999999" customHeight="1">
      <c r="A789" s="883">
        <v>201501</v>
      </c>
      <c r="B789" s="884">
        <v>2397.69</v>
      </c>
      <c r="C789" s="880">
        <v>2441.1</v>
      </c>
    </row>
    <row r="790" spans="1:3" ht="16.149999999999999" customHeight="1">
      <c r="A790" s="885">
        <v>201502</v>
      </c>
      <c r="B790" s="886">
        <v>2420.38</v>
      </c>
      <c r="C790" s="878">
        <v>2496.9899999999998</v>
      </c>
    </row>
    <row r="791" spans="1:3" ht="16.149999999999999" customHeight="1">
      <c r="A791" s="883">
        <v>201503</v>
      </c>
      <c r="B791" s="884">
        <v>2586.58</v>
      </c>
      <c r="C791" s="880">
        <v>2576.0500000000002</v>
      </c>
    </row>
    <row r="792" spans="1:3" ht="16.149999999999999" customHeight="1">
      <c r="A792" s="885">
        <v>201504</v>
      </c>
      <c r="B792" s="886">
        <v>2495.36</v>
      </c>
      <c r="C792" s="878">
        <v>2388.06</v>
      </c>
    </row>
    <row r="793" spans="1:3" ht="16.149999999999999" customHeight="1">
      <c r="A793" s="883">
        <v>201505</v>
      </c>
      <c r="B793" s="884">
        <v>2439.09</v>
      </c>
      <c r="C793" s="880">
        <v>2533.79</v>
      </c>
    </row>
    <row r="794" spans="1:3" ht="16.149999999999999" customHeight="1">
      <c r="A794" s="885">
        <v>201506</v>
      </c>
      <c r="B794" s="886">
        <v>2554.94</v>
      </c>
      <c r="C794" s="878">
        <v>2585.11</v>
      </c>
    </row>
    <row r="795" spans="1:3" ht="16.149999999999999" customHeight="1">
      <c r="A795" s="883">
        <v>201507</v>
      </c>
      <c r="B795" s="884">
        <v>2731.9</v>
      </c>
      <c r="C795" s="880">
        <v>2866.04</v>
      </c>
    </row>
    <row r="796" spans="1:3" ht="16.149999999999999" customHeight="1">
      <c r="A796" s="885">
        <v>201508</v>
      </c>
      <c r="B796" s="886">
        <v>3023.29</v>
      </c>
      <c r="C796" s="878">
        <v>3101.1</v>
      </c>
    </row>
    <row r="797" spans="1:3" ht="16.149999999999999" customHeight="1">
      <c r="A797" s="883">
        <v>201509</v>
      </c>
      <c r="B797" s="884">
        <v>3073.12</v>
      </c>
      <c r="C797" s="880">
        <v>3121.94</v>
      </c>
    </row>
    <row r="798" spans="1:3" ht="16.149999999999999" customHeight="1">
      <c r="A798" s="885">
        <v>201510</v>
      </c>
      <c r="B798" s="886">
        <v>2937.85</v>
      </c>
      <c r="C798" s="878">
        <v>2897.83</v>
      </c>
    </row>
    <row r="799" spans="1:3" ht="16.149999999999999" customHeight="1">
      <c r="A799" s="883">
        <v>201511</v>
      </c>
      <c r="B799" s="884">
        <v>2996.67</v>
      </c>
      <c r="C799" s="880">
        <v>3101.1</v>
      </c>
    </row>
    <row r="800" spans="1:3" ht="16.149999999999999" customHeight="1">
      <c r="A800" s="885">
        <v>201512</v>
      </c>
      <c r="B800" s="886">
        <v>3244.51</v>
      </c>
      <c r="C800" s="878">
        <v>3149.47</v>
      </c>
    </row>
    <row r="801" spans="1:4" ht="16.149999999999999" customHeight="1">
      <c r="A801" s="883">
        <v>201601</v>
      </c>
      <c r="B801" s="884">
        <v>3284.03</v>
      </c>
      <c r="C801" s="880">
        <v>3287.31</v>
      </c>
    </row>
    <row r="802" spans="1:4" ht="16.149999999999999" customHeight="1">
      <c r="A802" s="885">
        <v>201602</v>
      </c>
      <c r="B802" s="886">
        <v>3357.5</v>
      </c>
      <c r="C802" s="878">
        <v>3306</v>
      </c>
    </row>
    <row r="803" spans="1:4" ht="16.7" customHeight="1">
      <c r="A803" s="887">
        <v>201603</v>
      </c>
      <c r="B803" s="888">
        <v>3145.26</v>
      </c>
      <c r="C803" s="882">
        <v>3022.35</v>
      </c>
    </row>
    <row r="804" spans="1:4">
      <c r="A804" s="874" t="s">
        <v>158</v>
      </c>
    </row>
    <row r="805" spans="1:4">
      <c r="A805" s="1580" t="s">
        <v>881</v>
      </c>
      <c r="B805" s="1580"/>
      <c r="C805" s="1580"/>
      <c r="D805" s="1580"/>
    </row>
    <row r="806" spans="1:4">
      <c r="A806" s="1580" t="s">
        <v>158</v>
      </c>
      <c r="B806" s="1580"/>
      <c r="C806" s="1580"/>
      <c r="D806" s="1580"/>
    </row>
    <row r="807" spans="1:4">
      <c r="A807" s="1580" t="s">
        <v>877</v>
      </c>
      <c r="B807" s="1580"/>
      <c r="C807" s="1580"/>
      <c r="D807" s="1580"/>
    </row>
    <row r="808" spans="1:4">
      <c r="A808" s="874" t="s">
        <v>158</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L281"/>
  <sheetViews>
    <sheetView workbookViewId="0">
      <pane xSplit="1" ySplit="2" topLeftCell="K111" activePane="bottomRight" state="frozen"/>
      <selection activeCell="M112" sqref="M112"/>
      <selection pane="topRight" activeCell="M112" sqref="M112"/>
      <selection pane="bottomLeft" activeCell="M112" sqref="M112"/>
      <selection pane="bottomRight" activeCell="M112" sqref="M112"/>
    </sheetView>
  </sheetViews>
  <sheetFormatPr baseColWidth="10" defaultColWidth="10.875" defaultRowHeight="15.75"/>
  <cols>
    <col min="1" max="1" width="13.375" style="398" bestFit="1" customWidth="1"/>
    <col min="2" max="2" width="16" style="398" bestFit="1" customWidth="1"/>
    <col min="3" max="3" width="23.375" style="404" bestFit="1" customWidth="1"/>
    <col min="4" max="6" width="8.875" style="405" hidden="1" customWidth="1"/>
    <col min="7" max="7" width="8.875" style="406" hidden="1" customWidth="1"/>
    <col min="8" max="8" width="19.375" style="399" customWidth="1"/>
    <col min="9" max="9" width="55.5" style="398" customWidth="1"/>
    <col min="10" max="10" width="14.5" style="400" customWidth="1"/>
    <col min="11" max="11" width="19.125" style="401" customWidth="1"/>
    <col min="12" max="12" width="26.125" style="401" customWidth="1"/>
    <col min="13" max="13" width="16" style="401" customWidth="1"/>
    <col min="14" max="14" width="17" style="407" customWidth="1"/>
    <col min="15" max="15" width="15.625" style="378" customWidth="1"/>
    <col min="16" max="16" width="13.375" style="402" customWidth="1"/>
    <col min="17" max="17" width="14.625" style="376" customWidth="1"/>
    <col min="18" max="18" width="17.625" style="403" customWidth="1"/>
    <col min="19" max="19" width="11" style="403" customWidth="1"/>
    <col min="20" max="20" width="9.5" style="376" bestFit="1" customWidth="1"/>
    <col min="21" max="21" width="15.125" style="376" customWidth="1"/>
    <col min="22" max="22" width="9.625" style="376" bestFit="1" customWidth="1"/>
    <col min="23" max="23" width="22" style="377" customWidth="1"/>
    <col min="24" max="24" width="15.5" style="377" customWidth="1"/>
    <col min="25" max="25" width="15.5" style="408" customWidth="1"/>
    <col min="26" max="26" width="11.625" style="377" customWidth="1"/>
    <col min="27" max="27" width="18.375" style="409" customWidth="1"/>
    <col min="28" max="28" width="10" style="410" customWidth="1"/>
    <col min="29" max="29" width="7.875" style="411" customWidth="1"/>
    <col min="30" max="30" width="8.875" style="412" customWidth="1"/>
    <col min="31" max="31" width="10" style="410" customWidth="1"/>
    <col min="32" max="32" width="7.875" style="411" customWidth="1"/>
    <col min="33" max="33" width="8.875" style="412" customWidth="1"/>
    <col min="34" max="34" width="10" style="410" customWidth="1"/>
    <col min="35" max="35" width="7.875" style="411" customWidth="1"/>
    <col min="36" max="36" width="8.875" style="412" customWidth="1"/>
    <col min="37" max="37" width="18" style="413" customWidth="1"/>
    <col min="38" max="38" width="11.5" style="414" customWidth="1"/>
    <col min="39" max="16384" width="10.875" style="1"/>
  </cols>
  <sheetData>
    <row r="1" spans="1:38" s="373" customFormat="1" ht="15" customHeight="1">
      <c r="A1" s="1586" t="s">
        <v>96</v>
      </c>
      <c r="B1" s="1586" t="s">
        <v>97</v>
      </c>
      <c r="C1" s="1584" t="s">
        <v>99</v>
      </c>
      <c r="D1" s="1586" t="s">
        <v>882</v>
      </c>
      <c r="E1" s="1586" t="s">
        <v>883</v>
      </c>
      <c r="F1" s="1586" t="s">
        <v>884</v>
      </c>
      <c r="G1" s="1584" t="s">
        <v>885</v>
      </c>
      <c r="H1" s="1586" t="s">
        <v>100</v>
      </c>
      <c r="I1" s="1586" t="s">
        <v>103</v>
      </c>
      <c r="J1" s="1586" t="s">
        <v>886</v>
      </c>
      <c r="K1" s="1586" t="s">
        <v>887</v>
      </c>
      <c r="L1" s="1588" t="s">
        <v>888</v>
      </c>
      <c r="M1" s="1586" t="s">
        <v>107</v>
      </c>
      <c r="N1" s="1584" t="s">
        <v>108</v>
      </c>
      <c r="O1" s="1588" t="s">
        <v>105</v>
      </c>
      <c r="P1" s="1586" t="s">
        <v>889</v>
      </c>
      <c r="Q1" s="1589" t="s">
        <v>890</v>
      </c>
      <c r="R1" s="1586" t="s">
        <v>111</v>
      </c>
      <c r="S1" s="1586" t="s">
        <v>112</v>
      </c>
      <c r="T1" s="1586" t="s">
        <v>113</v>
      </c>
      <c r="U1" s="1586" t="s">
        <v>114</v>
      </c>
      <c r="V1" s="1586" t="s">
        <v>115</v>
      </c>
      <c r="W1" s="1586" t="s">
        <v>116</v>
      </c>
      <c r="X1" s="1586" t="s">
        <v>117</v>
      </c>
      <c r="Y1" s="1586" t="s">
        <v>891</v>
      </c>
      <c r="Z1" s="1586" t="s">
        <v>892</v>
      </c>
      <c r="AA1" s="1587" t="s">
        <v>118</v>
      </c>
      <c r="AB1" s="1586" t="s">
        <v>123</v>
      </c>
      <c r="AC1" s="1586"/>
      <c r="AD1" s="1586"/>
      <c r="AE1" s="1586" t="s">
        <v>893</v>
      </c>
      <c r="AF1" s="1586"/>
      <c r="AG1" s="1586"/>
      <c r="AH1" s="1586" t="s">
        <v>124</v>
      </c>
      <c r="AI1" s="1586"/>
      <c r="AJ1" s="1586"/>
      <c r="AK1" s="1584" t="s">
        <v>894</v>
      </c>
      <c r="AL1" s="1585" t="s">
        <v>895</v>
      </c>
    </row>
    <row r="2" spans="1:38" s="373" customFormat="1" ht="36.950000000000003" customHeight="1">
      <c r="A2" s="1586"/>
      <c r="B2" s="1586"/>
      <c r="C2" s="1584"/>
      <c r="D2" s="1586"/>
      <c r="E2" s="1586"/>
      <c r="F2" s="1586"/>
      <c r="G2" s="1584"/>
      <c r="H2" s="1586"/>
      <c r="I2" s="1586"/>
      <c r="J2" s="1586"/>
      <c r="K2" s="1586"/>
      <c r="L2" s="1588"/>
      <c r="M2" s="1586"/>
      <c r="N2" s="1584"/>
      <c r="O2" s="1588"/>
      <c r="P2" s="1586"/>
      <c r="Q2" s="1589"/>
      <c r="R2" s="1586"/>
      <c r="S2" s="1586"/>
      <c r="T2" s="1586"/>
      <c r="U2" s="1586"/>
      <c r="V2" s="1586"/>
      <c r="W2" s="1586"/>
      <c r="X2" s="1586"/>
      <c r="Y2" s="1586"/>
      <c r="Z2" s="1586"/>
      <c r="AA2" s="1587"/>
      <c r="AB2" s="1415" t="s">
        <v>130</v>
      </c>
      <c r="AC2" s="1415" t="s">
        <v>131</v>
      </c>
      <c r="AD2" s="1416" t="s">
        <v>132</v>
      </c>
      <c r="AE2" s="1415" t="s">
        <v>133</v>
      </c>
      <c r="AF2" s="1415" t="s">
        <v>131</v>
      </c>
      <c r="AG2" s="1416" t="s">
        <v>896</v>
      </c>
      <c r="AH2" s="1415" t="s">
        <v>133</v>
      </c>
      <c r="AI2" s="1415" t="s">
        <v>131</v>
      </c>
      <c r="AJ2" s="1416" t="s">
        <v>134</v>
      </c>
      <c r="AK2" s="1584"/>
      <c r="AL2" s="1585"/>
    </row>
    <row r="3" spans="1:38" s="375" customFormat="1" ht="114">
      <c r="A3" s="1133" t="s">
        <v>897</v>
      </c>
      <c r="B3" s="1133" t="s">
        <v>898</v>
      </c>
      <c r="C3" s="1134" t="s">
        <v>899</v>
      </c>
      <c r="D3" s="1135" t="s">
        <v>22</v>
      </c>
      <c r="E3" s="1135" t="s">
        <v>22</v>
      </c>
      <c r="F3" s="1135" t="s">
        <v>22</v>
      </c>
      <c r="G3" s="1134" t="s">
        <v>22</v>
      </c>
      <c r="H3" s="375" t="s">
        <v>900</v>
      </c>
      <c r="I3" s="375" t="s">
        <v>901</v>
      </c>
      <c r="J3" s="1136">
        <v>2</v>
      </c>
      <c r="K3" s="1137">
        <v>0.5</v>
      </c>
      <c r="L3" s="1138" t="s">
        <v>22</v>
      </c>
      <c r="M3" s="1139">
        <v>40331</v>
      </c>
      <c r="N3" s="1130">
        <v>41215</v>
      </c>
      <c r="O3" s="1135" t="s">
        <v>22</v>
      </c>
      <c r="P3" s="1140">
        <v>2012</v>
      </c>
      <c r="Q3" s="1141">
        <v>566700</v>
      </c>
      <c r="R3" s="1141">
        <v>4264498383</v>
      </c>
      <c r="S3" s="1141" t="s">
        <v>151</v>
      </c>
      <c r="T3" s="1142" t="s">
        <v>140</v>
      </c>
      <c r="U3" s="1143" t="s">
        <v>140</v>
      </c>
      <c r="V3" s="1144">
        <v>1</v>
      </c>
      <c r="W3" s="1141">
        <v>4264498383</v>
      </c>
      <c r="X3" s="1145">
        <v>7525</v>
      </c>
      <c r="Y3" s="1145">
        <v>7525.14</v>
      </c>
      <c r="Z3" s="1146">
        <v>1.8604305036196145E-5</v>
      </c>
      <c r="AA3" s="1147">
        <v>3763</v>
      </c>
      <c r="AB3" s="1135">
        <v>80</v>
      </c>
      <c r="AC3" s="1135">
        <v>10</v>
      </c>
      <c r="AD3" s="1134">
        <v>16</v>
      </c>
      <c r="AE3" s="1135">
        <v>81</v>
      </c>
      <c r="AF3" s="1135">
        <v>10</v>
      </c>
      <c r="AG3" s="1134">
        <v>15</v>
      </c>
      <c r="AH3" s="1135">
        <v>81</v>
      </c>
      <c r="AI3" s="1135">
        <v>10</v>
      </c>
      <c r="AJ3" s="1134">
        <v>22</v>
      </c>
      <c r="AK3" s="1134" t="s">
        <v>129</v>
      </c>
      <c r="AL3" s="1401" t="s">
        <v>22</v>
      </c>
    </row>
    <row r="4" spans="1:38" s="374" customFormat="1" ht="156.75">
      <c r="A4" s="1133" t="s">
        <v>897</v>
      </c>
      <c r="B4" s="1133" t="s">
        <v>898</v>
      </c>
      <c r="C4" s="1134" t="s">
        <v>899</v>
      </c>
      <c r="D4" s="1135" t="s">
        <v>22</v>
      </c>
      <c r="E4" s="1135" t="s">
        <v>22</v>
      </c>
      <c r="F4" s="1135" t="s">
        <v>22</v>
      </c>
      <c r="G4" s="1134" t="s">
        <v>22</v>
      </c>
      <c r="H4" s="375" t="s">
        <v>517</v>
      </c>
      <c r="I4" s="375" t="s">
        <v>902</v>
      </c>
      <c r="J4" s="1136" t="s">
        <v>903</v>
      </c>
      <c r="K4" s="1137">
        <v>0.4</v>
      </c>
      <c r="L4" s="1138" t="s">
        <v>22</v>
      </c>
      <c r="M4" s="1139">
        <v>41075</v>
      </c>
      <c r="N4" s="1130">
        <v>42165</v>
      </c>
      <c r="O4" s="1135" t="s">
        <v>22</v>
      </c>
      <c r="P4" s="1140">
        <v>2015</v>
      </c>
      <c r="Q4" s="1141">
        <v>644350</v>
      </c>
      <c r="R4" s="1141">
        <v>23762347066</v>
      </c>
      <c r="S4" s="1141" t="s">
        <v>151</v>
      </c>
      <c r="T4" s="1142" t="s">
        <v>140</v>
      </c>
      <c r="U4" s="1143" t="s">
        <v>140</v>
      </c>
      <c r="V4" s="1144">
        <v>1</v>
      </c>
      <c r="W4" s="1141">
        <v>23762347066</v>
      </c>
      <c r="X4" s="1145">
        <v>36878</v>
      </c>
      <c r="Y4" s="1145"/>
      <c r="Z4" s="1146" t="s">
        <v>140</v>
      </c>
      <c r="AA4" s="1147">
        <v>14751</v>
      </c>
      <c r="AB4" s="1135"/>
      <c r="AC4" s="1135"/>
      <c r="AD4" s="1134"/>
      <c r="AE4" s="1135"/>
      <c r="AF4" s="1135"/>
      <c r="AG4" s="1134"/>
      <c r="AH4" s="1135"/>
      <c r="AI4" s="1135"/>
      <c r="AJ4" s="1134"/>
      <c r="AK4" s="1134" t="s">
        <v>22</v>
      </c>
      <c r="AL4" s="1401" t="s">
        <v>22</v>
      </c>
    </row>
    <row r="5" spans="1:38" s="374" customFormat="1" ht="99.95" customHeight="1">
      <c r="A5" s="1133" t="s">
        <v>897</v>
      </c>
      <c r="B5" s="1133" t="s">
        <v>898</v>
      </c>
      <c r="C5" s="1134" t="s">
        <v>899</v>
      </c>
      <c r="D5" s="1135" t="s">
        <v>22</v>
      </c>
      <c r="E5" s="1135" t="s">
        <v>22</v>
      </c>
      <c r="F5" s="1135" t="s">
        <v>22</v>
      </c>
      <c r="G5" s="1134" t="s">
        <v>22</v>
      </c>
      <c r="H5" s="375" t="s">
        <v>900</v>
      </c>
      <c r="I5" s="375" t="s">
        <v>904</v>
      </c>
      <c r="J5" s="1136">
        <v>15</v>
      </c>
      <c r="K5" s="1131">
        <v>0.6</v>
      </c>
      <c r="L5" s="1148" t="s">
        <v>22</v>
      </c>
      <c r="M5" s="1139">
        <v>39351</v>
      </c>
      <c r="N5" s="1130">
        <v>40051</v>
      </c>
      <c r="O5" s="1135" t="s">
        <v>22</v>
      </c>
      <c r="P5" s="1149">
        <v>2009</v>
      </c>
      <c r="Q5" s="1141">
        <v>496900</v>
      </c>
      <c r="R5" s="1150">
        <v>1996592848</v>
      </c>
      <c r="S5" s="1150" t="s">
        <v>151</v>
      </c>
      <c r="T5" s="1142" t="s">
        <v>140</v>
      </c>
      <c r="U5" s="1143" t="s">
        <v>140</v>
      </c>
      <c r="V5" s="1144">
        <v>1</v>
      </c>
      <c r="W5" s="1141">
        <v>1996592848</v>
      </c>
      <c r="X5" s="1145">
        <v>4018</v>
      </c>
      <c r="Y5" s="1145">
        <v>4018.1</v>
      </c>
      <c r="Z5" s="1146">
        <v>2.4887384584726391E-5</v>
      </c>
      <c r="AA5" s="1147">
        <v>2411</v>
      </c>
      <c r="AB5" s="1135">
        <v>80</v>
      </c>
      <c r="AC5" s="1135">
        <v>10</v>
      </c>
      <c r="AD5" s="1134">
        <v>16</v>
      </c>
      <c r="AE5" s="1135">
        <v>81</v>
      </c>
      <c r="AF5" s="1135">
        <v>10</v>
      </c>
      <c r="AG5" s="1134">
        <v>15</v>
      </c>
      <c r="AH5" s="1135">
        <v>81</v>
      </c>
      <c r="AI5" s="1135">
        <v>10</v>
      </c>
      <c r="AJ5" s="1134">
        <v>22</v>
      </c>
      <c r="AK5" s="1134" t="s">
        <v>129</v>
      </c>
      <c r="AL5" s="1401" t="s">
        <v>22</v>
      </c>
    </row>
    <row r="6" spans="1:38" s="374" customFormat="1" ht="195" customHeight="1">
      <c r="A6" s="1133" t="s">
        <v>897</v>
      </c>
      <c r="B6" s="1133" t="s">
        <v>898</v>
      </c>
      <c r="C6" s="1134" t="s">
        <v>899</v>
      </c>
      <c r="D6" s="1135" t="s">
        <v>22</v>
      </c>
      <c r="E6" s="1135" t="s">
        <v>22</v>
      </c>
      <c r="F6" s="1135" t="s">
        <v>22</v>
      </c>
      <c r="G6" s="1134" t="s">
        <v>22</v>
      </c>
      <c r="H6" s="375" t="s">
        <v>900</v>
      </c>
      <c r="I6" s="375" t="s">
        <v>905</v>
      </c>
      <c r="J6" s="1136">
        <v>19</v>
      </c>
      <c r="K6" s="1131">
        <v>1</v>
      </c>
      <c r="L6" s="1148" t="s">
        <v>22</v>
      </c>
      <c r="M6" s="1139">
        <v>39021</v>
      </c>
      <c r="N6" s="1130">
        <v>40487</v>
      </c>
      <c r="O6" s="1135" t="s">
        <v>22</v>
      </c>
      <c r="P6" s="1149">
        <v>2010</v>
      </c>
      <c r="Q6" s="1141">
        <v>515000</v>
      </c>
      <c r="R6" s="1150">
        <v>5403026800</v>
      </c>
      <c r="S6" s="1150" t="s">
        <v>151</v>
      </c>
      <c r="T6" s="1142" t="s">
        <v>140</v>
      </c>
      <c r="U6" s="1143" t="s">
        <v>140</v>
      </c>
      <c r="V6" s="1144">
        <v>1</v>
      </c>
      <c r="W6" s="1141">
        <v>5403026800</v>
      </c>
      <c r="X6" s="1145">
        <v>10491</v>
      </c>
      <c r="Y6" s="1145">
        <v>10491.314174757281</v>
      </c>
      <c r="Z6" s="1146">
        <v>2.9946177575790323E-5</v>
      </c>
      <c r="AA6" s="1147">
        <v>10491</v>
      </c>
      <c r="AB6" s="1135">
        <v>80</v>
      </c>
      <c r="AC6" s="1135">
        <v>10</v>
      </c>
      <c r="AD6" s="1134">
        <v>16</v>
      </c>
      <c r="AE6" s="1135">
        <v>81</v>
      </c>
      <c r="AF6" s="1135">
        <v>10</v>
      </c>
      <c r="AG6" s="1134">
        <v>15</v>
      </c>
      <c r="AH6" s="1135">
        <v>81</v>
      </c>
      <c r="AI6" s="1135">
        <v>10</v>
      </c>
      <c r="AJ6" s="1134">
        <v>22</v>
      </c>
      <c r="AK6" s="1134" t="s">
        <v>129</v>
      </c>
      <c r="AL6" s="1401" t="s">
        <v>22</v>
      </c>
    </row>
    <row r="7" spans="1:38" s="374" customFormat="1" ht="51.95" customHeight="1">
      <c r="A7" s="1133" t="s">
        <v>897</v>
      </c>
      <c r="B7" s="1133" t="s">
        <v>906</v>
      </c>
      <c r="C7" s="1134" t="s">
        <v>907</v>
      </c>
      <c r="D7" s="1135" t="s">
        <v>22</v>
      </c>
      <c r="E7" s="1135" t="s">
        <v>22</v>
      </c>
      <c r="F7" s="1135" t="s">
        <v>22</v>
      </c>
      <c r="G7" s="1134" t="s">
        <v>22</v>
      </c>
      <c r="H7" s="375" t="s">
        <v>493</v>
      </c>
      <c r="I7" s="375" t="s">
        <v>908</v>
      </c>
      <c r="J7" s="1136" t="s">
        <v>909</v>
      </c>
      <c r="K7" s="1137">
        <v>0.75</v>
      </c>
      <c r="L7" s="1138" t="s">
        <v>22</v>
      </c>
      <c r="M7" s="1139">
        <v>38672</v>
      </c>
      <c r="N7" s="1130">
        <v>39756</v>
      </c>
      <c r="O7" s="1135" t="s">
        <v>22</v>
      </c>
      <c r="P7" s="1140">
        <v>2008</v>
      </c>
      <c r="Q7" s="1141">
        <v>461500</v>
      </c>
      <c r="R7" s="1141">
        <v>2323578630</v>
      </c>
      <c r="S7" s="1141" t="s">
        <v>151</v>
      </c>
      <c r="T7" s="1142" t="s">
        <v>140</v>
      </c>
      <c r="U7" s="1143" t="s">
        <v>140</v>
      </c>
      <c r="V7" s="1144">
        <v>1</v>
      </c>
      <c r="W7" s="1141">
        <v>2323578630</v>
      </c>
      <c r="X7" s="1145">
        <v>5035</v>
      </c>
      <c r="Y7" s="1145"/>
      <c r="Z7" s="1146" t="s">
        <v>140</v>
      </c>
      <c r="AA7" s="1147">
        <v>3776</v>
      </c>
      <c r="AB7" s="1135"/>
      <c r="AC7" s="1135"/>
      <c r="AD7" s="1134"/>
      <c r="AE7" s="1135"/>
      <c r="AF7" s="1135"/>
      <c r="AG7" s="1134"/>
      <c r="AH7" s="1135"/>
      <c r="AI7" s="1135"/>
      <c r="AJ7" s="1134"/>
      <c r="AK7" s="1134" t="s">
        <v>22</v>
      </c>
      <c r="AL7" s="1401" t="s">
        <v>22</v>
      </c>
    </row>
    <row r="8" spans="1:38" s="374" customFormat="1" ht="51.95" customHeight="1">
      <c r="A8" s="1133" t="s">
        <v>897</v>
      </c>
      <c r="B8" s="1133" t="s">
        <v>906</v>
      </c>
      <c r="C8" s="1134" t="s">
        <v>907</v>
      </c>
      <c r="D8" s="1135" t="s">
        <v>22</v>
      </c>
      <c r="E8" s="1135" t="s">
        <v>22</v>
      </c>
      <c r="F8" s="1135" t="s">
        <v>22</v>
      </c>
      <c r="G8" s="1134" t="s">
        <v>22</v>
      </c>
      <c r="H8" s="375" t="s">
        <v>493</v>
      </c>
      <c r="I8" s="375" t="s">
        <v>910</v>
      </c>
      <c r="J8" s="1136" t="s">
        <v>909</v>
      </c>
      <c r="K8" s="1131">
        <v>0.75</v>
      </c>
      <c r="L8" s="1148" t="s">
        <v>22</v>
      </c>
      <c r="M8" s="1139">
        <v>38673</v>
      </c>
      <c r="N8" s="1130">
        <v>39960</v>
      </c>
      <c r="O8" s="1135" t="s">
        <v>22</v>
      </c>
      <c r="P8" s="1149">
        <v>2009</v>
      </c>
      <c r="Q8" s="1141">
        <v>496900</v>
      </c>
      <c r="R8" s="1150">
        <v>1992021088</v>
      </c>
      <c r="S8" s="1150" t="s">
        <v>151</v>
      </c>
      <c r="T8" s="1142" t="s">
        <v>140</v>
      </c>
      <c r="U8" s="1143" t="s">
        <v>140</v>
      </c>
      <c r="V8" s="1144">
        <v>1</v>
      </c>
      <c r="W8" s="1141">
        <v>1992021088</v>
      </c>
      <c r="X8" s="1145">
        <v>4009</v>
      </c>
      <c r="Y8" s="1151"/>
      <c r="Z8" s="1146" t="s">
        <v>140</v>
      </c>
      <c r="AA8" s="1147">
        <v>3007</v>
      </c>
      <c r="AB8" s="1417"/>
      <c r="AC8" s="1152"/>
      <c r="AD8" s="1153"/>
      <c r="AE8" s="1417"/>
      <c r="AF8" s="1152"/>
      <c r="AG8" s="1153"/>
      <c r="AH8" s="1417"/>
      <c r="AI8" s="1152"/>
      <c r="AJ8" s="1153"/>
      <c r="AK8" s="1134" t="s">
        <v>22</v>
      </c>
      <c r="AL8" s="1401" t="s">
        <v>22</v>
      </c>
    </row>
    <row r="9" spans="1:38" s="374" customFormat="1" ht="51.95" customHeight="1">
      <c r="A9" s="1133" t="s">
        <v>911</v>
      </c>
      <c r="B9" s="1133" t="s">
        <v>912</v>
      </c>
      <c r="C9" s="1134" t="s">
        <v>913</v>
      </c>
      <c r="D9" s="1135" t="s">
        <v>22</v>
      </c>
      <c r="E9" s="1135" t="s">
        <v>22</v>
      </c>
      <c r="F9" s="1135" t="s">
        <v>22</v>
      </c>
      <c r="G9" s="1134" t="s">
        <v>22</v>
      </c>
      <c r="H9" s="375" t="s">
        <v>914</v>
      </c>
      <c r="I9" s="375" t="s">
        <v>915</v>
      </c>
      <c r="J9" s="1136">
        <v>55</v>
      </c>
      <c r="K9" s="1131">
        <v>1</v>
      </c>
      <c r="L9" s="1148" t="s">
        <v>22</v>
      </c>
      <c r="M9" s="1139">
        <v>35006</v>
      </c>
      <c r="N9" s="1130">
        <v>35795</v>
      </c>
      <c r="O9" s="1135" t="s">
        <v>22</v>
      </c>
      <c r="P9" s="1149">
        <v>1997</v>
      </c>
      <c r="Q9" s="1141">
        <v>172005</v>
      </c>
      <c r="R9" s="1150">
        <v>938536415</v>
      </c>
      <c r="S9" s="1150" t="s">
        <v>151</v>
      </c>
      <c r="T9" s="1142" t="s">
        <v>140</v>
      </c>
      <c r="U9" s="1143" t="s">
        <v>140</v>
      </c>
      <c r="V9" s="1144">
        <v>1</v>
      </c>
      <c r="W9" s="1141">
        <v>938536415</v>
      </c>
      <c r="X9" s="1145">
        <v>5456</v>
      </c>
      <c r="Y9" s="1145">
        <v>5363.43</v>
      </c>
      <c r="Z9" s="1146">
        <v>1.7259477610409801E-2</v>
      </c>
      <c r="AA9" s="1147">
        <v>5456</v>
      </c>
      <c r="AB9" s="1135"/>
      <c r="AC9" s="1135"/>
      <c r="AD9" s="1134"/>
      <c r="AE9" s="1135">
        <v>81</v>
      </c>
      <c r="AF9" s="1135">
        <v>10</v>
      </c>
      <c r="AG9" s="1134">
        <v>15</v>
      </c>
      <c r="AH9" s="1135">
        <v>81</v>
      </c>
      <c r="AI9" s="1135">
        <v>10</v>
      </c>
      <c r="AJ9" s="1134">
        <v>22</v>
      </c>
      <c r="AK9" s="1134" t="s">
        <v>129</v>
      </c>
      <c r="AL9" s="1401" t="s">
        <v>22</v>
      </c>
    </row>
    <row r="10" spans="1:38" s="374" customFormat="1" ht="78" customHeight="1">
      <c r="A10" s="1133" t="s">
        <v>911</v>
      </c>
      <c r="B10" s="1133" t="s">
        <v>912</v>
      </c>
      <c r="C10" s="1134" t="s">
        <v>913</v>
      </c>
      <c r="D10" s="1135" t="s">
        <v>22</v>
      </c>
      <c r="E10" s="1135" t="s">
        <v>22</v>
      </c>
      <c r="F10" s="1135" t="s">
        <v>22</v>
      </c>
      <c r="G10" s="1134" t="s">
        <v>22</v>
      </c>
      <c r="H10" s="375" t="s">
        <v>914</v>
      </c>
      <c r="I10" s="375" t="s">
        <v>916</v>
      </c>
      <c r="J10" s="1136">
        <v>1</v>
      </c>
      <c r="K10" s="1131">
        <v>1</v>
      </c>
      <c r="L10" s="1148" t="s">
        <v>22</v>
      </c>
      <c r="M10" s="1139">
        <v>38295</v>
      </c>
      <c r="N10" s="1130">
        <v>39634</v>
      </c>
      <c r="O10" s="1135" t="s">
        <v>22</v>
      </c>
      <c r="P10" s="1149">
        <v>2008</v>
      </c>
      <c r="Q10" s="1141">
        <v>461500</v>
      </c>
      <c r="R10" s="1150">
        <v>5529917538</v>
      </c>
      <c r="S10" s="1150" t="s">
        <v>151</v>
      </c>
      <c r="T10" s="1142" t="s">
        <v>140</v>
      </c>
      <c r="U10" s="1143" t="s">
        <v>140</v>
      </c>
      <c r="V10" s="1144">
        <v>1</v>
      </c>
      <c r="W10" s="1141">
        <v>5529917538</v>
      </c>
      <c r="X10" s="1145">
        <v>11982</v>
      </c>
      <c r="Y10" s="1145">
        <v>11982.49</v>
      </c>
      <c r="Z10" s="1146">
        <v>4.0893003040221032E-5</v>
      </c>
      <c r="AA10" s="1147">
        <v>11982</v>
      </c>
      <c r="AB10" s="1135">
        <v>80</v>
      </c>
      <c r="AC10" s="1135">
        <v>10</v>
      </c>
      <c r="AD10" s="1134">
        <v>16</v>
      </c>
      <c r="AE10" s="1135">
        <v>81</v>
      </c>
      <c r="AF10" s="1135">
        <v>10</v>
      </c>
      <c r="AG10" s="1134">
        <v>15</v>
      </c>
      <c r="AH10" s="1135">
        <v>81</v>
      </c>
      <c r="AI10" s="1135">
        <v>10</v>
      </c>
      <c r="AJ10" s="1134">
        <v>22</v>
      </c>
      <c r="AK10" s="1134" t="s">
        <v>129</v>
      </c>
      <c r="AL10" s="1401" t="s">
        <v>22</v>
      </c>
    </row>
    <row r="11" spans="1:38" s="374" customFormat="1" ht="39" customHeight="1">
      <c r="A11" s="1133" t="s">
        <v>911</v>
      </c>
      <c r="B11" s="1133" t="s">
        <v>917</v>
      </c>
      <c r="C11" s="1134" t="s">
        <v>918</v>
      </c>
      <c r="D11" s="1135" t="s">
        <v>22</v>
      </c>
      <c r="E11" s="1135" t="s">
        <v>22</v>
      </c>
      <c r="F11" s="1135" t="s">
        <v>22</v>
      </c>
      <c r="G11" s="1134" t="s">
        <v>22</v>
      </c>
      <c r="H11" s="375" t="s">
        <v>919</v>
      </c>
      <c r="I11" s="375" t="s">
        <v>920</v>
      </c>
      <c r="J11" s="1136">
        <v>145</v>
      </c>
      <c r="K11" s="1131">
        <v>1</v>
      </c>
      <c r="L11" s="1148" t="s">
        <v>22</v>
      </c>
      <c r="M11" s="1139">
        <v>41295</v>
      </c>
      <c r="N11" s="1130">
        <v>41841</v>
      </c>
      <c r="O11" s="1135" t="s">
        <v>22</v>
      </c>
      <c r="P11" s="1149">
        <v>2014</v>
      </c>
      <c r="Q11" s="1141">
        <v>616000</v>
      </c>
      <c r="R11" s="1150">
        <v>3203004883</v>
      </c>
      <c r="S11" s="1150" t="s">
        <v>151</v>
      </c>
      <c r="T11" s="1142" t="s">
        <v>140</v>
      </c>
      <c r="U11" s="1143" t="s">
        <v>140</v>
      </c>
      <c r="V11" s="1144">
        <v>1</v>
      </c>
      <c r="W11" s="1141">
        <v>3203004883</v>
      </c>
      <c r="X11" s="1145">
        <v>5200</v>
      </c>
      <c r="Y11" s="1145">
        <v>5199.6899999999996</v>
      </c>
      <c r="Z11" s="1146">
        <v>5.9618938821337508E-5</v>
      </c>
      <c r="AA11" s="1147">
        <v>5200</v>
      </c>
      <c r="AB11" s="1135">
        <v>80</v>
      </c>
      <c r="AC11" s="1135">
        <v>10</v>
      </c>
      <c r="AD11" s="1134">
        <v>16</v>
      </c>
      <c r="AE11" s="1135">
        <v>81</v>
      </c>
      <c r="AF11" s="1135">
        <v>10</v>
      </c>
      <c r="AG11" s="1134">
        <v>15</v>
      </c>
      <c r="AH11" s="1135"/>
      <c r="AI11" s="1135"/>
      <c r="AJ11" s="1134"/>
      <c r="AK11" s="1134" t="s">
        <v>129</v>
      </c>
      <c r="AL11" s="1401" t="s">
        <v>22</v>
      </c>
    </row>
    <row r="12" spans="1:38" s="374" customFormat="1" ht="51.95" customHeight="1">
      <c r="A12" s="1133" t="s">
        <v>921</v>
      </c>
      <c r="B12" s="1133" t="s">
        <v>922</v>
      </c>
      <c r="C12" s="1134" t="s">
        <v>923</v>
      </c>
      <c r="D12" s="1135" t="s">
        <v>22</v>
      </c>
      <c r="E12" s="1135" t="s">
        <v>22</v>
      </c>
      <c r="F12" s="1135" t="s">
        <v>22</v>
      </c>
      <c r="G12" s="1134" t="s">
        <v>22</v>
      </c>
      <c r="H12" s="375" t="s">
        <v>924</v>
      </c>
      <c r="I12" s="375" t="s">
        <v>141</v>
      </c>
      <c r="J12" s="1136">
        <v>11</v>
      </c>
      <c r="K12" s="1131">
        <v>1</v>
      </c>
      <c r="L12" s="1148" t="s">
        <v>22</v>
      </c>
      <c r="M12" s="1139">
        <v>37839</v>
      </c>
      <c r="N12" s="1130">
        <v>38869</v>
      </c>
      <c r="O12" s="1135" t="s">
        <v>22</v>
      </c>
      <c r="P12" s="1149">
        <v>2006</v>
      </c>
      <c r="Q12" s="1141">
        <v>408000</v>
      </c>
      <c r="R12" s="1150">
        <v>1115922.3700000001</v>
      </c>
      <c r="S12" s="1150" t="s">
        <v>142</v>
      </c>
      <c r="T12" s="1142">
        <v>1.2859</v>
      </c>
      <c r="U12" s="1143">
        <v>1434964.5755830002</v>
      </c>
      <c r="V12" s="1144">
        <v>2486.0700000000002</v>
      </c>
      <c r="W12" s="1141">
        <v>3567422382.4196296</v>
      </c>
      <c r="X12" s="1145">
        <v>8744</v>
      </c>
      <c r="Y12" s="1145">
        <v>8715.7999999999993</v>
      </c>
      <c r="Z12" s="1146">
        <v>3.2355033387641008E-3</v>
      </c>
      <c r="AA12" s="1147">
        <v>8744</v>
      </c>
      <c r="AB12" s="1135"/>
      <c r="AC12" s="1135"/>
      <c r="AD12" s="1134"/>
      <c r="AE12" s="1154">
        <v>81</v>
      </c>
      <c r="AF12" s="1154">
        <v>10</v>
      </c>
      <c r="AG12" s="1155">
        <v>15</v>
      </c>
      <c r="AH12" s="1154">
        <v>81</v>
      </c>
      <c r="AI12" s="1154">
        <v>10</v>
      </c>
      <c r="AJ12" s="1155">
        <v>22</v>
      </c>
      <c r="AK12" s="1134" t="s">
        <v>129</v>
      </c>
      <c r="AL12" s="1401" t="s">
        <v>22</v>
      </c>
    </row>
    <row r="13" spans="1:38" s="374" customFormat="1" ht="51.95" customHeight="1">
      <c r="A13" s="1133" t="s">
        <v>921</v>
      </c>
      <c r="B13" s="1133" t="s">
        <v>922</v>
      </c>
      <c r="C13" s="1134" t="s">
        <v>923</v>
      </c>
      <c r="D13" s="1135" t="s">
        <v>22</v>
      </c>
      <c r="E13" s="1135" t="s">
        <v>22</v>
      </c>
      <c r="F13" s="1135" t="s">
        <v>22</v>
      </c>
      <c r="G13" s="1134" t="s">
        <v>22</v>
      </c>
      <c r="H13" s="375" t="s">
        <v>925</v>
      </c>
      <c r="I13" s="375" t="s">
        <v>926</v>
      </c>
      <c r="J13" s="1136">
        <v>15</v>
      </c>
      <c r="K13" s="1131">
        <v>0.5</v>
      </c>
      <c r="L13" s="1148" t="s">
        <v>22</v>
      </c>
      <c r="M13" s="1139">
        <v>39400</v>
      </c>
      <c r="N13" s="1130">
        <v>40968</v>
      </c>
      <c r="O13" s="1135" t="s">
        <v>22</v>
      </c>
      <c r="P13" s="1149">
        <v>2012</v>
      </c>
      <c r="Q13" s="1141">
        <v>566700</v>
      </c>
      <c r="R13" s="1150">
        <v>2033765.73</v>
      </c>
      <c r="S13" s="1150" t="s">
        <v>142</v>
      </c>
      <c r="T13" s="1142">
        <v>1.3431</v>
      </c>
      <c r="U13" s="1143">
        <v>2731550.7519629998</v>
      </c>
      <c r="V13" s="1144">
        <v>1767.83</v>
      </c>
      <c r="W13" s="1141">
        <v>4828917365.8427496</v>
      </c>
      <c r="X13" s="1145">
        <v>8521</v>
      </c>
      <c r="Y13" s="1145">
        <v>8485.59</v>
      </c>
      <c r="Z13" s="1146">
        <v>4.1729567419590552E-3</v>
      </c>
      <c r="AA13" s="1147">
        <v>4261</v>
      </c>
      <c r="AB13" s="1135"/>
      <c r="AC13" s="1135"/>
      <c r="AD13" s="1134"/>
      <c r="AE13" s="1154">
        <v>81</v>
      </c>
      <c r="AF13" s="1154">
        <v>10</v>
      </c>
      <c r="AG13" s="1155">
        <v>15</v>
      </c>
      <c r="AH13" s="1154">
        <v>81</v>
      </c>
      <c r="AI13" s="1154">
        <v>10</v>
      </c>
      <c r="AJ13" s="1155">
        <v>22</v>
      </c>
      <c r="AK13" s="1134" t="s">
        <v>129</v>
      </c>
      <c r="AL13" s="1401" t="s">
        <v>22</v>
      </c>
    </row>
    <row r="14" spans="1:38" s="374" customFormat="1" ht="39" customHeight="1">
      <c r="A14" s="1133" t="s">
        <v>921</v>
      </c>
      <c r="B14" s="1133" t="s">
        <v>922</v>
      </c>
      <c r="C14" s="1134" t="s">
        <v>923</v>
      </c>
      <c r="D14" s="1135" t="s">
        <v>22</v>
      </c>
      <c r="E14" s="1135" t="s">
        <v>22</v>
      </c>
      <c r="F14" s="1135" t="s">
        <v>22</v>
      </c>
      <c r="G14" s="1134" t="s">
        <v>22</v>
      </c>
      <c r="H14" s="375" t="s">
        <v>925</v>
      </c>
      <c r="I14" s="375" t="s">
        <v>927</v>
      </c>
      <c r="J14" s="1136">
        <v>35</v>
      </c>
      <c r="K14" s="1131">
        <v>1</v>
      </c>
      <c r="L14" s="1148" t="s">
        <v>22</v>
      </c>
      <c r="M14" s="1139">
        <v>36354</v>
      </c>
      <c r="N14" s="1130">
        <v>38530</v>
      </c>
      <c r="O14" s="1135" t="s">
        <v>22</v>
      </c>
      <c r="P14" s="1149">
        <v>2005</v>
      </c>
      <c r="Q14" s="1141">
        <v>381500</v>
      </c>
      <c r="R14" s="1150">
        <v>779160.5</v>
      </c>
      <c r="S14" s="1150" t="s">
        <v>142</v>
      </c>
      <c r="T14" s="1142">
        <v>1.2082999999999999</v>
      </c>
      <c r="U14" s="1143">
        <v>941459.63214999996</v>
      </c>
      <c r="V14" s="1144">
        <v>2320.29</v>
      </c>
      <c r="W14" s="1141">
        <v>2184459369.8813233</v>
      </c>
      <c r="X14" s="1145">
        <v>5726</v>
      </c>
      <c r="Y14" s="1145">
        <v>5762.46</v>
      </c>
      <c r="Z14" s="1146">
        <v>6.3271588870030815E-3</v>
      </c>
      <c r="AA14" s="1147">
        <v>5726</v>
      </c>
      <c r="AB14" s="1135"/>
      <c r="AC14" s="1135"/>
      <c r="AD14" s="1134"/>
      <c r="AE14" s="1135">
        <v>81</v>
      </c>
      <c r="AF14" s="1135">
        <v>10</v>
      </c>
      <c r="AG14" s="1134">
        <v>15</v>
      </c>
      <c r="AH14" s="1135">
        <v>81</v>
      </c>
      <c r="AI14" s="1135">
        <v>10</v>
      </c>
      <c r="AJ14" s="1134">
        <v>22</v>
      </c>
      <c r="AK14" s="1134" t="s">
        <v>129</v>
      </c>
      <c r="AL14" s="1401" t="s">
        <v>22</v>
      </c>
    </row>
    <row r="15" spans="1:38" s="374" customFormat="1" ht="90.95" customHeight="1">
      <c r="A15" s="1133" t="s">
        <v>921</v>
      </c>
      <c r="B15" s="1133" t="s">
        <v>928</v>
      </c>
      <c r="C15" s="1134" t="s">
        <v>929</v>
      </c>
      <c r="D15" s="1135" t="s">
        <v>22</v>
      </c>
      <c r="E15" s="1135" t="s">
        <v>22</v>
      </c>
      <c r="F15" s="1135" t="s">
        <v>22</v>
      </c>
      <c r="G15" s="1134" t="s">
        <v>22</v>
      </c>
      <c r="H15" s="375" t="s">
        <v>930</v>
      </c>
      <c r="I15" s="375" t="s">
        <v>931</v>
      </c>
      <c r="J15" s="1136">
        <v>51</v>
      </c>
      <c r="K15" s="1131">
        <v>0.9</v>
      </c>
      <c r="L15" s="1148" t="s">
        <v>22</v>
      </c>
      <c r="M15" s="1128">
        <v>35730</v>
      </c>
      <c r="N15" s="1156">
        <v>36459</v>
      </c>
      <c r="O15" s="1135" t="s">
        <v>22</v>
      </c>
      <c r="P15" s="1149">
        <v>1999</v>
      </c>
      <c r="Q15" s="1141">
        <v>236460</v>
      </c>
      <c r="R15" s="1141">
        <v>1343799332.74</v>
      </c>
      <c r="S15" s="1141" t="s">
        <v>151</v>
      </c>
      <c r="T15" s="1142" t="s">
        <v>140</v>
      </c>
      <c r="U15" s="1143" t="s">
        <v>140</v>
      </c>
      <c r="V15" s="1144">
        <v>1</v>
      </c>
      <c r="W15" s="1141">
        <v>1343799332.74</v>
      </c>
      <c r="X15" s="1145">
        <v>5683</v>
      </c>
      <c r="Y15" s="1145">
        <v>5682.99</v>
      </c>
      <c r="Z15" s="1146">
        <v>1.7596370924799487E-6</v>
      </c>
      <c r="AA15" s="1147">
        <v>5115</v>
      </c>
      <c r="AB15" s="1135">
        <v>80</v>
      </c>
      <c r="AC15" s="1135">
        <v>10</v>
      </c>
      <c r="AD15" s="1134">
        <v>16</v>
      </c>
      <c r="AE15" s="1135">
        <v>81</v>
      </c>
      <c r="AF15" s="1135">
        <v>10</v>
      </c>
      <c r="AG15" s="1134">
        <v>15</v>
      </c>
      <c r="AH15" s="1135">
        <v>81</v>
      </c>
      <c r="AI15" s="1135">
        <v>10</v>
      </c>
      <c r="AJ15" s="1134">
        <v>22</v>
      </c>
      <c r="AK15" s="1134" t="s">
        <v>129</v>
      </c>
      <c r="AL15" s="1401" t="s">
        <v>22</v>
      </c>
    </row>
    <row r="16" spans="1:38" s="374" customFormat="1" ht="156.94999999999999" customHeight="1">
      <c r="A16" s="1133" t="s">
        <v>921</v>
      </c>
      <c r="B16" s="1133" t="s">
        <v>928</v>
      </c>
      <c r="C16" s="1134" t="s">
        <v>929</v>
      </c>
      <c r="D16" s="1135" t="s">
        <v>22</v>
      </c>
      <c r="E16" s="1135" t="s">
        <v>22</v>
      </c>
      <c r="F16" s="1135" t="s">
        <v>22</v>
      </c>
      <c r="G16" s="1134" t="s">
        <v>22</v>
      </c>
      <c r="H16" s="375" t="s">
        <v>442</v>
      </c>
      <c r="I16" s="375" t="s">
        <v>932</v>
      </c>
      <c r="J16" s="1136">
        <v>26</v>
      </c>
      <c r="K16" s="1131">
        <v>0.5</v>
      </c>
      <c r="L16" s="1148" t="s">
        <v>22</v>
      </c>
      <c r="M16" s="1128">
        <v>38772</v>
      </c>
      <c r="N16" s="1156">
        <v>40656</v>
      </c>
      <c r="O16" s="1135" t="s">
        <v>22</v>
      </c>
      <c r="P16" s="1149">
        <v>2011</v>
      </c>
      <c r="Q16" s="1141">
        <v>535600</v>
      </c>
      <c r="R16" s="1150">
        <v>4960831409</v>
      </c>
      <c r="S16" s="1150" t="s">
        <v>151</v>
      </c>
      <c r="T16" s="1142" t="s">
        <v>140</v>
      </c>
      <c r="U16" s="1143" t="s">
        <v>140</v>
      </c>
      <c r="V16" s="1144">
        <v>1</v>
      </c>
      <c r="W16" s="1141">
        <v>4960831409</v>
      </c>
      <c r="X16" s="1145">
        <v>9262</v>
      </c>
      <c r="Y16" s="1145">
        <v>9262.19</v>
      </c>
      <c r="Z16" s="1146">
        <v>2.0513507064778835E-5</v>
      </c>
      <c r="AA16" s="1147">
        <v>4631</v>
      </c>
      <c r="AB16" s="1135">
        <v>80</v>
      </c>
      <c r="AC16" s="1135">
        <v>10</v>
      </c>
      <c r="AD16" s="1134">
        <v>16</v>
      </c>
      <c r="AE16" s="1135">
        <v>81</v>
      </c>
      <c r="AF16" s="1135">
        <v>10</v>
      </c>
      <c r="AG16" s="1134">
        <v>15</v>
      </c>
      <c r="AH16" s="1135">
        <v>81</v>
      </c>
      <c r="AI16" s="1135">
        <v>10</v>
      </c>
      <c r="AJ16" s="1134">
        <v>22</v>
      </c>
      <c r="AK16" s="1134" t="s">
        <v>129</v>
      </c>
      <c r="AL16" s="1401" t="s">
        <v>22</v>
      </c>
    </row>
    <row r="17" spans="1:38" s="375" customFormat="1" ht="57">
      <c r="A17" s="375" t="s">
        <v>933</v>
      </c>
      <c r="B17" s="375" t="s">
        <v>934</v>
      </c>
      <c r="C17" s="1134" t="s">
        <v>935</v>
      </c>
      <c r="D17" s="1135" t="s">
        <v>22</v>
      </c>
      <c r="E17" s="1135" t="s">
        <v>22</v>
      </c>
      <c r="F17" s="1135" t="s">
        <v>22</v>
      </c>
      <c r="G17" s="1134" t="s">
        <v>22</v>
      </c>
      <c r="H17" s="375" t="s">
        <v>292</v>
      </c>
      <c r="I17" s="375" t="s">
        <v>294</v>
      </c>
      <c r="J17" s="1136">
        <v>10</v>
      </c>
      <c r="K17" s="1137">
        <v>0.45</v>
      </c>
      <c r="L17" s="1138" t="s">
        <v>22</v>
      </c>
      <c r="M17" s="1139">
        <v>34338</v>
      </c>
      <c r="N17" s="1130">
        <v>36305</v>
      </c>
      <c r="O17" s="1135" t="s">
        <v>22</v>
      </c>
      <c r="P17" s="1140">
        <v>1999</v>
      </c>
      <c r="Q17" s="1141">
        <v>236460</v>
      </c>
      <c r="R17" s="1141">
        <v>4491569047</v>
      </c>
      <c r="S17" s="1141" t="s">
        <v>151</v>
      </c>
      <c r="T17" s="1142" t="s">
        <v>140</v>
      </c>
      <c r="U17" s="1143" t="s">
        <v>140</v>
      </c>
      <c r="V17" s="1144">
        <v>1</v>
      </c>
      <c r="W17" s="1141">
        <v>4491569047</v>
      </c>
      <c r="X17" s="1145">
        <v>18995</v>
      </c>
      <c r="Y17" s="1145">
        <v>18995.05</v>
      </c>
      <c r="Z17" s="1146">
        <v>2.6322647215248907E-6</v>
      </c>
      <c r="AA17" s="1147">
        <v>8548</v>
      </c>
      <c r="AB17" s="1135"/>
      <c r="AC17" s="1135"/>
      <c r="AD17" s="1134"/>
      <c r="AE17" s="1135">
        <v>81</v>
      </c>
      <c r="AF17" s="1135">
        <v>10</v>
      </c>
      <c r="AG17" s="1134">
        <v>15</v>
      </c>
      <c r="AH17" s="1135">
        <v>81</v>
      </c>
      <c r="AI17" s="1135">
        <v>10</v>
      </c>
      <c r="AJ17" s="1134">
        <v>22</v>
      </c>
      <c r="AK17" s="1134" t="s">
        <v>129</v>
      </c>
      <c r="AL17" s="1401" t="s">
        <v>22</v>
      </c>
    </row>
    <row r="18" spans="1:38" s="375" customFormat="1" ht="39" customHeight="1">
      <c r="A18" s="375" t="s">
        <v>933</v>
      </c>
      <c r="B18" s="375" t="s">
        <v>934</v>
      </c>
      <c r="C18" s="1134" t="s">
        <v>935</v>
      </c>
      <c r="D18" s="1135" t="s">
        <v>22</v>
      </c>
      <c r="E18" s="1135" t="s">
        <v>22</v>
      </c>
      <c r="F18" s="1135" t="s">
        <v>22</v>
      </c>
      <c r="G18" s="1134" t="s">
        <v>22</v>
      </c>
      <c r="H18" s="375" t="s">
        <v>297</v>
      </c>
      <c r="I18" s="375" t="s">
        <v>299</v>
      </c>
      <c r="J18" s="1136">
        <v>5</v>
      </c>
      <c r="K18" s="1137">
        <v>1</v>
      </c>
      <c r="L18" s="1138" t="s">
        <v>22</v>
      </c>
      <c r="M18" s="1139">
        <v>39142</v>
      </c>
      <c r="N18" s="1130">
        <v>40920</v>
      </c>
      <c r="O18" s="1135" t="s">
        <v>22</v>
      </c>
      <c r="P18" s="1140">
        <v>2012</v>
      </c>
      <c r="Q18" s="1141">
        <v>566700</v>
      </c>
      <c r="R18" s="1141">
        <v>3161732843.9899998</v>
      </c>
      <c r="S18" s="1141" t="s">
        <v>151</v>
      </c>
      <c r="T18" s="1142" t="s">
        <v>140</v>
      </c>
      <c r="U18" s="1143" t="s">
        <v>140</v>
      </c>
      <c r="V18" s="1144">
        <v>1</v>
      </c>
      <c r="W18" s="1141">
        <v>3161732843.9899998</v>
      </c>
      <c r="X18" s="1145">
        <v>5579</v>
      </c>
      <c r="Y18" s="1145">
        <v>5579.2</v>
      </c>
      <c r="Z18" s="1146">
        <v>3.5847433323743516E-5</v>
      </c>
      <c r="AA18" s="1147">
        <v>5579</v>
      </c>
      <c r="AB18" s="1135"/>
      <c r="AC18" s="1135"/>
      <c r="AD18" s="1134"/>
      <c r="AE18" s="1135">
        <v>81</v>
      </c>
      <c r="AF18" s="1135">
        <v>10</v>
      </c>
      <c r="AG18" s="1134">
        <v>15</v>
      </c>
      <c r="AH18" s="1135">
        <v>81</v>
      </c>
      <c r="AI18" s="1135">
        <v>10</v>
      </c>
      <c r="AJ18" s="1134">
        <v>22</v>
      </c>
      <c r="AK18" s="1134" t="s">
        <v>129</v>
      </c>
      <c r="AL18" s="1401" t="s">
        <v>22</v>
      </c>
    </row>
    <row r="19" spans="1:38" s="375" customFormat="1" ht="39" customHeight="1">
      <c r="A19" s="375" t="s">
        <v>933</v>
      </c>
      <c r="B19" s="375" t="s">
        <v>934</v>
      </c>
      <c r="C19" s="1134" t="s">
        <v>935</v>
      </c>
      <c r="D19" s="1135" t="s">
        <v>22</v>
      </c>
      <c r="E19" s="1135" t="s">
        <v>22</v>
      </c>
      <c r="F19" s="1135" t="s">
        <v>22</v>
      </c>
      <c r="G19" s="1134" t="s">
        <v>22</v>
      </c>
      <c r="H19" s="375" t="s">
        <v>292</v>
      </c>
      <c r="I19" s="375" t="s">
        <v>303</v>
      </c>
      <c r="J19" s="1136" t="s">
        <v>903</v>
      </c>
      <c r="K19" s="1137">
        <v>0.55000000000000004</v>
      </c>
      <c r="L19" s="1138" t="s">
        <v>22</v>
      </c>
      <c r="M19" s="1139">
        <v>39125</v>
      </c>
      <c r="N19" s="1130">
        <v>42012</v>
      </c>
      <c r="O19" s="1135" t="s">
        <v>22</v>
      </c>
      <c r="P19" s="1140">
        <v>2015</v>
      </c>
      <c r="Q19" s="1141">
        <v>644350</v>
      </c>
      <c r="R19" s="1141">
        <v>15319357761</v>
      </c>
      <c r="S19" s="1141" t="s">
        <v>151</v>
      </c>
      <c r="T19" s="1142" t="s">
        <v>140</v>
      </c>
      <c r="U19" s="1143" t="s">
        <v>140</v>
      </c>
      <c r="V19" s="1144">
        <v>1</v>
      </c>
      <c r="W19" s="1141">
        <v>15319357761</v>
      </c>
      <c r="X19" s="1145">
        <v>23775</v>
      </c>
      <c r="Y19" s="1145"/>
      <c r="Z19" s="1146" t="s">
        <v>140</v>
      </c>
      <c r="AA19" s="1147">
        <v>13076</v>
      </c>
      <c r="AB19" s="1135"/>
      <c r="AC19" s="1135"/>
      <c r="AD19" s="1134"/>
      <c r="AE19" s="1135">
        <v>81</v>
      </c>
      <c r="AF19" s="1135">
        <v>10</v>
      </c>
      <c r="AG19" s="1134">
        <v>15</v>
      </c>
      <c r="AH19" s="1135"/>
      <c r="AI19" s="1135"/>
      <c r="AJ19" s="1134"/>
      <c r="AK19" s="1134" t="s">
        <v>22</v>
      </c>
      <c r="AL19" s="1401" t="s">
        <v>22</v>
      </c>
    </row>
    <row r="20" spans="1:38" s="375" customFormat="1" ht="99.75">
      <c r="A20" s="375" t="s">
        <v>933</v>
      </c>
      <c r="B20" s="375" t="s">
        <v>936</v>
      </c>
      <c r="C20" s="1134" t="s">
        <v>937</v>
      </c>
      <c r="D20" s="1135" t="s">
        <v>22</v>
      </c>
      <c r="E20" s="1135" t="s">
        <v>22</v>
      </c>
      <c r="F20" s="1135" t="s">
        <v>22</v>
      </c>
      <c r="G20" s="1134" t="s">
        <v>22</v>
      </c>
      <c r="H20" s="375" t="s">
        <v>448</v>
      </c>
      <c r="I20" s="375" t="s">
        <v>309</v>
      </c>
      <c r="J20" s="1136" t="s">
        <v>909</v>
      </c>
      <c r="K20" s="1137">
        <v>0.65</v>
      </c>
      <c r="L20" s="1138" t="s">
        <v>22</v>
      </c>
      <c r="M20" s="1139">
        <v>39615</v>
      </c>
      <c r="N20" s="1130">
        <v>41152</v>
      </c>
      <c r="O20" s="1135" t="s">
        <v>22</v>
      </c>
      <c r="P20" s="1140">
        <v>2012</v>
      </c>
      <c r="Q20" s="1141">
        <v>566700</v>
      </c>
      <c r="R20" s="1141">
        <v>19146251489</v>
      </c>
      <c r="S20" s="1141" t="s">
        <v>151</v>
      </c>
      <c r="T20" s="1142" t="s">
        <v>140</v>
      </c>
      <c r="U20" s="1143" t="s">
        <v>140</v>
      </c>
      <c r="V20" s="1144">
        <v>1</v>
      </c>
      <c r="W20" s="1141">
        <v>19146251489</v>
      </c>
      <c r="X20" s="1145">
        <v>33786</v>
      </c>
      <c r="Y20" s="1145"/>
      <c r="Z20" s="1146" t="s">
        <v>140</v>
      </c>
      <c r="AA20" s="1147">
        <v>21961</v>
      </c>
      <c r="AB20" s="1135"/>
      <c r="AC20" s="1135"/>
      <c r="AD20" s="1134"/>
      <c r="AE20" s="1135"/>
      <c r="AF20" s="1135"/>
      <c r="AG20" s="1134"/>
      <c r="AH20" s="1135"/>
      <c r="AI20" s="1135"/>
      <c r="AJ20" s="1134"/>
      <c r="AK20" s="1134" t="s">
        <v>22</v>
      </c>
      <c r="AL20" s="1401" t="s">
        <v>22</v>
      </c>
    </row>
    <row r="21" spans="1:38" s="375" customFormat="1" ht="39" customHeight="1">
      <c r="A21" s="375" t="s">
        <v>933</v>
      </c>
      <c r="B21" s="375" t="s">
        <v>936</v>
      </c>
      <c r="C21" s="1134" t="s">
        <v>937</v>
      </c>
      <c r="D21" s="1135" t="s">
        <v>22</v>
      </c>
      <c r="E21" s="1135" t="s">
        <v>22</v>
      </c>
      <c r="F21" s="1135" t="s">
        <v>22</v>
      </c>
      <c r="G21" s="1134" t="s">
        <v>22</v>
      </c>
      <c r="H21" s="375" t="s">
        <v>214</v>
      </c>
      <c r="I21" s="375" t="s">
        <v>938</v>
      </c>
      <c r="J21" s="1136" t="s">
        <v>909</v>
      </c>
      <c r="K21" s="1137">
        <v>1</v>
      </c>
      <c r="L21" s="1138" t="s">
        <v>22</v>
      </c>
      <c r="M21" s="1139">
        <v>39434</v>
      </c>
      <c r="N21" s="1130">
        <v>40895</v>
      </c>
      <c r="O21" s="1135" t="s">
        <v>22</v>
      </c>
      <c r="P21" s="1140">
        <v>2011</v>
      </c>
      <c r="Q21" s="1141">
        <v>535600</v>
      </c>
      <c r="R21" s="1141">
        <v>2092531.72</v>
      </c>
      <c r="S21" s="1141" t="s">
        <v>142</v>
      </c>
      <c r="T21" s="1142">
        <v>1.3038000000000001</v>
      </c>
      <c r="U21" s="1143">
        <v>2728242.856536</v>
      </c>
      <c r="V21" s="1144">
        <v>1935.64</v>
      </c>
      <c r="W21" s="1141">
        <v>5280896002.8253431</v>
      </c>
      <c r="X21" s="1145">
        <v>9860</v>
      </c>
      <c r="Y21" s="1145"/>
      <c r="Z21" s="1146" t="s">
        <v>140</v>
      </c>
      <c r="AA21" s="1147">
        <v>9860</v>
      </c>
      <c r="AB21" s="1135"/>
      <c r="AC21" s="1135"/>
      <c r="AD21" s="1134"/>
      <c r="AE21" s="1135"/>
      <c r="AF21" s="1135"/>
      <c r="AG21" s="1134"/>
      <c r="AH21" s="1135"/>
      <c r="AI21" s="1135"/>
      <c r="AJ21" s="1134"/>
      <c r="AK21" s="1134" t="s">
        <v>22</v>
      </c>
      <c r="AL21" s="1401" t="s">
        <v>22</v>
      </c>
    </row>
    <row r="22" spans="1:38" s="374" customFormat="1" ht="51.95" customHeight="1">
      <c r="A22" s="1133" t="s">
        <v>939</v>
      </c>
      <c r="B22" s="1133" t="s">
        <v>940</v>
      </c>
      <c r="C22" s="1134" t="s">
        <v>941</v>
      </c>
      <c r="D22" s="1135" t="s">
        <v>22</v>
      </c>
      <c r="E22" s="1135" t="s">
        <v>22</v>
      </c>
      <c r="F22" s="1135" t="s">
        <v>22</v>
      </c>
      <c r="G22" s="1134" t="s">
        <v>22</v>
      </c>
      <c r="H22" s="375" t="s">
        <v>448</v>
      </c>
      <c r="I22" s="375" t="s">
        <v>942</v>
      </c>
      <c r="J22" s="1136">
        <v>70</v>
      </c>
      <c r="K22" s="1131">
        <v>0.7</v>
      </c>
      <c r="L22" s="1148" t="s">
        <v>22</v>
      </c>
      <c r="M22" s="1139" t="s">
        <v>943</v>
      </c>
      <c r="N22" s="1130" t="s">
        <v>944</v>
      </c>
      <c r="O22" s="1135" t="s">
        <v>22</v>
      </c>
      <c r="P22" s="1149">
        <v>2013</v>
      </c>
      <c r="Q22" s="1141">
        <v>589500</v>
      </c>
      <c r="R22" s="1150">
        <v>13157956981</v>
      </c>
      <c r="S22" s="1150" t="s">
        <v>151</v>
      </c>
      <c r="T22" s="1142" t="s">
        <v>140</v>
      </c>
      <c r="U22" s="1143" t="s">
        <v>140</v>
      </c>
      <c r="V22" s="1144">
        <v>1</v>
      </c>
      <c r="W22" s="1141">
        <v>13157956981</v>
      </c>
      <c r="X22" s="1145">
        <v>22321</v>
      </c>
      <c r="Y22" s="1145">
        <v>22320.54</v>
      </c>
      <c r="Z22" s="1146">
        <v>2.0608820395784377E-5</v>
      </c>
      <c r="AA22" s="1147">
        <v>15625</v>
      </c>
      <c r="AB22" s="1135">
        <v>80</v>
      </c>
      <c r="AC22" s="1135">
        <v>10</v>
      </c>
      <c r="AD22" s="1134">
        <v>16</v>
      </c>
      <c r="AE22" s="1135">
        <v>81</v>
      </c>
      <c r="AF22" s="1135">
        <v>10</v>
      </c>
      <c r="AG22" s="1134">
        <v>15</v>
      </c>
      <c r="AH22" s="1135">
        <v>81</v>
      </c>
      <c r="AI22" s="1135">
        <v>10</v>
      </c>
      <c r="AJ22" s="1134">
        <v>22</v>
      </c>
      <c r="AK22" s="1134" t="s">
        <v>129</v>
      </c>
      <c r="AL22" s="1401" t="s">
        <v>22</v>
      </c>
    </row>
    <row r="23" spans="1:38" s="374" customFormat="1" ht="90.95" customHeight="1">
      <c r="A23" s="1133" t="s">
        <v>939</v>
      </c>
      <c r="B23" s="1133" t="s">
        <v>940</v>
      </c>
      <c r="C23" s="1134" t="s">
        <v>941</v>
      </c>
      <c r="D23" s="1135" t="s">
        <v>22</v>
      </c>
      <c r="E23" s="1135" t="s">
        <v>22</v>
      </c>
      <c r="F23" s="1135" t="s">
        <v>22</v>
      </c>
      <c r="G23" s="1134" t="s">
        <v>22</v>
      </c>
      <c r="H23" s="375" t="s">
        <v>945</v>
      </c>
      <c r="I23" s="375" t="s">
        <v>946</v>
      </c>
      <c r="J23" s="1136">
        <v>49</v>
      </c>
      <c r="K23" s="1131">
        <v>1</v>
      </c>
      <c r="L23" s="1148" t="s">
        <v>22</v>
      </c>
      <c r="M23" s="1139">
        <v>39804</v>
      </c>
      <c r="N23" s="1130">
        <v>40390</v>
      </c>
      <c r="O23" s="1135" t="s">
        <v>22</v>
      </c>
      <c r="P23" s="1149">
        <v>2010</v>
      </c>
      <c r="Q23" s="1141">
        <v>515000</v>
      </c>
      <c r="R23" s="1150">
        <v>2748016868.48</v>
      </c>
      <c r="S23" s="1150" t="s">
        <v>151</v>
      </c>
      <c r="T23" s="1142" t="s">
        <v>140</v>
      </c>
      <c r="U23" s="1143" t="s">
        <v>140</v>
      </c>
      <c r="V23" s="1144">
        <v>1</v>
      </c>
      <c r="W23" s="1141">
        <v>2748016868.48</v>
      </c>
      <c r="X23" s="1145">
        <v>5336</v>
      </c>
      <c r="Y23" s="1145">
        <v>5335.96</v>
      </c>
      <c r="Z23" s="1146">
        <v>7.4963080682888261E-6</v>
      </c>
      <c r="AA23" s="1147">
        <v>5336</v>
      </c>
      <c r="AB23" s="1135">
        <v>80</v>
      </c>
      <c r="AC23" s="1135">
        <v>10</v>
      </c>
      <c r="AD23" s="1134">
        <v>16</v>
      </c>
      <c r="AE23" s="1135">
        <v>81</v>
      </c>
      <c r="AF23" s="1135">
        <v>10</v>
      </c>
      <c r="AG23" s="1134">
        <v>15</v>
      </c>
      <c r="AH23" s="1135">
        <v>81</v>
      </c>
      <c r="AI23" s="1135">
        <v>10</v>
      </c>
      <c r="AJ23" s="1134">
        <v>22</v>
      </c>
      <c r="AK23" s="1134" t="s">
        <v>129</v>
      </c>
      <c r="AL23" s="1401" t="s">
        <v>22</v>
      </c>
    </row>
    <row r="24" spans="1:38" s="374" customFormat="1" ht="90.95" customHeight="1">
      <c r="A24" s="1133" t="s">
        <v>939</v>
      </c>
      <c r="B24" s="1133" t="s">
        <v>947</v>
      </c>
      <c r="C24" s="1134" t="s">
        <v>948</v>
      </c>
      <c r="D24" s="1135" t="s">
        <v>22</v>
      </c>
      <c r="E24" s="1135" t="s">
        <v>22</v>
      </c>
      <c r="F24" s="1135" t="s">
        <v>22</v>
      </c>
      <c r="G24" s="1134" t="s">
        <v>22</v>
      </c>
      <c r="H24" s="375" t="s">
        <v>949</v>
      </c>
      <c r="I24" s="375" t="s">
        <v>950</v>
      </c>
      <c r="J24" s="1136">
        <v>16</v>
      </c>
      <c r="K24" s="1131">
        <v>0.75</v>
      </c>
      <c r="L24" s="1148" t="s">
        <v>22</v>
      </c>
      <c r="M24" s="1139">
        <v>38343</v>
      </c>
      <c r="N24" s="1130">
        <v>40512</v>
      </c>
      <c r="O24" s="1135" t="s">
        <v>22</v>
      </c>
      <c r="P24" s="1149">
        <v>2010</v>
      </c>
      <c r="Q24" s="1141">
        <v>515000</v>
      </c>
      <c r="R24" s="1150">
        <v>5720807974</v>
      </c>
      <c r="S24" s="1150" t="s">
        <v>151</v>
      </c>
      <c r="T24" s="1142" t="s">
        <v>140</v>
      </c>
      <c r="U24" s="1143" t="s">
        <v>140</v>
      </c>
      <c r="V24" s="1144">
        <v>1</v>
      </c>
      <c r="W24" s="1141">
        <v>5720807974</v>
      </c>
      <c r="X24" s="1145">
        <v>11108</v>
      </c>
      <c r="Y24" s="1145">
        <v>11108.36</v>
      </c>
      <c r="Z24" s="1146">
        <v>3.2408024226882048E-5</v>
      </c>
      <c r="AA24" s="1147">
        <v>8331</v>
      </c>
      <c r="AB24" s="1135">
        <v>80</v>
      </c>
      <c r="AC24" s="1135">
        <v>10</v>
      </c>
      <c r="AD24" s="1134">
        <v>16</v>
      </c>
      <c r="AE24" s="1135">
        <v>81</v>
      </c>
      <c r="AF24" s="1135">
        <v>10</v>
      </c>
      <c r="AG24" s="1134">
        <v>15</v>
      </c>
      <c r="AH24" s="1135"/>
      <c r="AI24" s="1135"/>
      <c r="AJ24" s="1134"/>
      <c r="AK24" s="1134" t="s">
        <v>129</v>
      </c>
      <c r="AL24" s="1401" t="s">
        <v>22</v>
      </c>
    </row>
    <row r="25" spans="1:38" s="374" customFormat="1" ht="65.099999999999994" customHeight="1">
      <c r="A25" s="1133" t="s">
        <v>951</v>
      </c>
      <c r="B25" s="1133" t="s">
        <v>952</v>
      </c>
      <c r="C25" s="1134" t="s">
        <v>527</v>
      </c>
      <c r="D25" s="1135" t="s">
        <v>22</v>
      </c>
      <c r="E25" s="1135" t="s">
        <v>22</v>
      </c>
      <c r="F25" s="1135" t="s">
        <v>22</v>
      </c>
      <c r="G25" s="1134" t="s">
        <v>22</v>
      </c>
      <c r="H25" s="375" t="s">
        <v>528</v>
      </c>
      <c r="I25" s="375" t="s">
        <v>953</v>
      </c>
      <c r="J25" s="1136">
        <v>45</v>
      </c>
      <c r="K25" s="1131">
        <v>1</v>
      </c>
      <c r="L25" s="1148" t="s">
        <v>22</v>
      </c>
      <c r="M25" s="1139">
        <v>38321</v>
      </c>
      <c r="N25" s="1130">
        <v>39901</v>
      </c>
      <c r="O25" s="1135" t="s">
        <v>22</v>
      </c>
      <c r="P25" s="1149">
        <v>2009</v>
      </c>
      <c r="Q25" s="1141">
        <v>496900</v>
      </c>
      <c r="R25" s="1150">
        <v>1676200327</v>
      </c>
      <c r="S25" s="1150" t="s">
        <v>151</v>
      </c>
      <c r="T25" s="1142" t="s">
        <v>140</v>
      </c>
      <c r="U25" s="1143" t="s">
        <v>140</v>
      </c>
      <c r="V25" s="1144">
        <v>1</v>
      </c>
      <c r="W25" s="1141">
        <v>1676200327</v>
      </c>
      <c r="X25" s="1145">
        <v>3373</v>
      </c>
      <c r="Y25" s="1145">
        <v>3373.32</v>
      </c>
      <c r="Z25" s="1146">
        <v>9.486203502784285E-5</v>
      </c>
      <c r="AA25" s="1147">
        <v>3373</v>
      </c>
      <c r="AB25" s="1135">
        <v>80</v>
      </c>
      <c r="AC25" s="1135">
        <v>10</v>
      </c>
      <c r="AD25" s="1134">
        <v>16</v>
      </c>
      <c r="AE25" s="1135">
        <v>81</v>
      </c>
      <c r="AF25" s="1135">
        <v>10</v>
      </c>
      <c r="AG25" s="1134">
        <v>15</v>
      </c>
      <c r="AH25" s="1135">
        <v>81</v>
      </c>
      <c r="AI25" s="1135">
        <v>10</v>
      </c>
      <c r="AJ25" s="1134">
        <v>22</v>
      </c>
      <c r="AK25" s="1134" t="s">
        <v>129</v>
      </c>
      <c r="AL25" s="1401" t="s">
        <v>22</v>
      </c>
    </row>
    <row r="26" spans="1:38" s="374" customFormat="1" ht="65.099999999999994" customHeight="1">
      <c r="A26" s="1133" t="s">
        <v>951</v>
      </c>
      <c r="B26" s="1133" t="s">
        <v>952</v>
      </c>
      <c r="C26" s="1134" t="s">
        <v>527</v>
      </c>
      <c r="D26" s="1135" t="s">
        <v>22</v>
      </c>
      <c r="E26" s="1135" t="s">
        <v>22</v>
      </c>
      <c r="F26" s="1135" t="s">
        <v>22</v>
      </c>
      <c r="G26" s="1134" t="s">
        <v>22</v>
      </c>
      <c r="H26" s="375" t="s">
        <v>949</v>
      </c>
      <c r="I26" s="375" t="s">
        <v>954</v>
      </c>
      <c r="J26" s="1136">
        <v>46</v>
      </c>
      <c r="K26" s="1131">
        <v>1</v>
      </c>
      <c r="L26" s="1148" t="s">
        <v>22</v>
      </c>
      <c r="M26" s="1139">
        <v>38658</v>
      </c>
      <c r="N26" s="1130">
        <v>39813</v>
      </c>
      <c r="O26" s="1135" t="s">
        <v>22</v>
      </c>
      <c r="P26" s="1149">
        <v>2008</v>
      </c>
      <c r="Q26" s="1141">
        <v>461500</v>
      </c>
      <c r="R26" s="1150">
        <v>2904906735</v>
      </c>
      <c r="S26" s="1150" t="s">
        <v>151</v>
      </c>
      <c r="T26" s="1142" t="s">
        <v>140</v>
      </c>
      <c r="U26" s="1143" t="s">
        <v>140</v>
      </c>
      <c r="V26" s="1144">
        <v>1</v>
      </c>
      <c r="W26" s="1141">
        <v>2904906735</v>
      </c>
      <c r="X26" s="1145">
        <v>6294</v>
      </c>
      <c r="Y26" s="1145">
        <v>6294.49</v>
      </c>
      <c r="Z26" s="1146">
        <v>7.7845862015757383E-5</v>
      </c>
      <c r="AA26" s="1147">
        <v>6294</v>
      </c>
      <c r="AB26" s="1135">
        <v>80</v>
      </c>
      <c r="AC26" s="1135">
        <v>10</v>
      </c>
      <c r="AD26" s="1134">
        <v>16</v>
      </c>
      <c r="AE26" s="1135">
        <v>81</v>
      </c>
      <c r="AF26" s="1135">
        <v>10</v>
      </c>
      <c r="AG26" s="1134">
        <v>15</v>
      </c>
      <c r="AH26" s="1135">
        <v>81</v>
      </c>
      <c r="AI26" s="1135">
        <v>10</v>
      </c>
      <c r="AJ26" s="1134">
        <v>22</v>
      </c>
      <c r="AK26" s="1134" t="s">
        <v>129</v>
      </c>
      <c r="AL26" s="1401" t="s">
        <v>22</v>
      </c>
    </row>
    <row r="27" spans="1:38" s="374" customFormat="1" ht="104.1" customHeight="1">
      <c r="A27" s="1133" t="s">
        <v>951</v>
      </c>
      <c r="B27" s="1133" t="s">
        <v>952</v>
      </c>
      <c r="C27" s="1134" t="s">
        <v>527</v>
      </c>
      <c r="D27" s="1135" t="s">
        <v>22</v>
      </c>
      <c r="E27" s="1135" t="s">
        <v>22</v>
      </c>
      <c r="F27" s="1135" t="s">
        <v>22</v>
      </c>
      <c r="G27" s="1134" t="s">
        <v>22</v>
      </c>
      <c r="H27" s="375" t="s">
        <v>955</v>
      </c>
      <c r="I27" s="375" t="s">
        <v>956</v>
      </c>
      <c r="J27" s="1136">
        <v>67</v>
      </c>
      <c r="K27" s="1131">
        <v>0.33</v>
      </c>
      <c r="L27" s="1148" t="s">
        <v>22</v>
      </c>
      <c r="M27" s="1139">
        <v>39792</v>
      </c>
      <c r="N27" s="1130">
        <v>40977</v>
      </c>
      <c r="O27" s="1135" t="s">
        <v>22</v>
      </c>
      <c r="P27" s="1149">
        <v>2012</v>
      </c>
      <c r="Q27" s="1141">
        <v>566700</v>
      </c>
      <c r="R27" s="1150">
        <v>4939884563</v>
      </c>
      <c r="S27" s="1150" t="s">
        <v>151</v>
      </c>
      <c r="T27" s="1142" t="s">
        <v>140</v>
      </c>
      <c r="U27" s="1143" t="s">
        <v>140</v>
      </c>
      <c r="V27" s="1144">
        <v>1</v>
      </c>
      <c r="W27" s="1141">
        <v>4939884563</v>
      </c>
      <c r="X27" s="1145">
        <v>8717</v>
      </c>
      <c r="Y27" s="1145">
        <v>8716.93</v>
      </c>
      <c r="Z27" s="1146">
        <v>8.0303501346357109E-6</v>
      </c>
      <c r="AA27" s="1147">
        <v>2877</v>
      </c>
      <c r="AB27" s="1135">
        <v>80</v>
      </c>
      <c r="AC27" s="1135">
        <v>10</v>
      </c>
      <c r="AD27" s="1134">
        <v>16</v>
      </c>
      <c r="AE27" s="1135">
        <v>81</v>
      </c>
      <c r="AF27" s="1135">
        <v>10</v>
      </c>
      <c r="AG27" s="1134">
        <v>15</v>
      </c>
      <c r="AH27" s="1135">
        <v>81</v>
      </c>
      <c r="AI27" s="1135">
        <v>10</v>
      </c>
      <c r="AJ27" s="1134">
        <v>22</v>
      </c>
      <c r="AK27" s="1134" t="s">
        <v>129</v>
      </c>
      <c r="AL27" s="1401" t="s">
        <v>22</v>
      </c>
    </row>
    <row r="28" spans="1:38" s="374" customFormat="1" ht="129.94999999999999" customHeight="1">
      <c r="A28" s="1133" t="s">
        <v>951</v>
      </c>
      <c r="B28" s="1133" t="s">
        <v>952</v>
      </c>
      <c r="C28" s="1134" t="s">
        <v>527</v>
      </c>
      <c r="D28" s="1135" t="s">
        <v>22</v>
      </c>
      <c r="E28" s="1135" t="s">
        <v>22</v>
      </c>
      <c r="F28" s="1135" t="s">
        <v>22</v>
      </c>
      <c r="G28" s="1134" t="s">
        <v>22</v>
      </c>
      <c r="H28" s="375" t="s">
        <v>957</v>
      </c>
      <c r="I28" s="375" t="s">
        <v>769</v>
      </c>
      <c r="J28" s="1136">
        <v>66</v>
      </c>
      <c r="K28" s="1131">
        <v>0.5</v>
      </c>
      <c r="L28" s="1148" t="s">
        <v>22</v>
      </c>
      <c r="M28" s="1139">
        <v>39778</v>
      </c>
      <c r="N28" s="1130">
        <v>41496</v>
      </c>
      <c r="O28" s="1135" t="s">
        <v>22</v>
      </c>
      <c r="P28" s="1149">
        <v>2013</v>
      </c>
      <c r="Q28" s="1141">
        <v>589500</v>
      </c>
      <c r="R28" s="1150">
        <v>5413375107</v>
      </c>
      <c r="S28" s="1150" t="s">
        <v>151</v>
      </c>
      <c r="T28" s="1142" t="s">
        <v>140</v>
      </c>
      <c r="U28" s="1143" t="s">
        <v>140</v>
      </c>
      <c r="V28" s="1144">
        <v>1</v>
      </c>
      <c r="W28" s="1141">
        <v>5413375107</v>
      </c>
      <c r="X28" s="1145">
        <v>9183</v>
      </c>
      <c r="Y28" s="1145">
        <v>9182.99</v>
      </c>
      <c r="Z28" s="1146">
        <v>1.0889699324501123E-6</v>
      </c>
      <c r="AA28" s="1147">
        <v>4592</v>
      </c>
      <c r="AB28" s="1135">
        <v>80</v>
      </c>
      <c r="AC28" s="1135">
        <v>10</v>
      </c>
      <c r="AD28" s="1134">
        <v>16</v>
      </c>
      <c r="AE28" s="1135">
        <v>81</v>
      </c>
      <c r="AF28" s="1135">
        <v>10</v>
      </c>
      <c r="AG28" s="1134">
        <v>15</v>
      </c>
      <c r="AH28" s="1135">
        <v>81</v>
      </c>
      <c r="AI28" s="1135">
        <v>10</v>
      </c>
      <c r="AJ28" s="1134">
        <v>22</v>
      </c>
      <c r="AK28" s="1134" t="s">
        <v>129</v>
      </c>
      <c r="AL28" s="1401" t="s">
        <v>22</v>
      </c>
    </row>
    <row r="29" spans="1:38" s="374" customFormat="1" ht="65.099999999999994" customHeight="1">
      <c r="A29" s="1133" t="s">
        <v>951</v>
      </c>
      <c r="B29" s="1133" t="s">
        <v>952</v>
      </c>
      <c r="C29" s="1134" t="s">
        <v>527</v>
      </c>
      <c r="D29" s="1135" t="s">
        <v>22</v>
      </c>
      <c r="E29" s="1135" t="s">
        <v>22</v>
      </c>
      <c r="F29" s="1135" t="s">
        <v>22</v>
      </c>
      <c r="G29" s="1134" t="s">
        <v>22</v>
      </c>
      <c r="H29" s="375" t="s">
        <v>949</v>
      </c>
      <c r="I29" s="375" t="s">
        <v>958</v>
      </c>
      <c r="J29" s="1136">
        <v>12</v>
      </c>
      <c r="K29" s="1131">
        <v>1</v>
      </c>
      <c r="L29" s="1148" t="s">
        <v>22</v>
      </c>
      <c r="M29" s="1139">
        <v>35171</v>
      </c>
      <c r="N29" s="1130">
        <v>36083</v>
      </c>
      <c r="O29" s="1135" t="s">
        <v>22</v>
      </c>
      <c r="P29" s="1149">
        <v>1998</v>
      </c>
      <c r="Q29" s="1141">
        <v>203826</v>
      </c>
      <c r="R29" s="1150">
        <v>1055716586</v>
      </c>
      <c r="S29" s="1150" t="s">
        <v>151</v>
      </c>
      <c r="T29" s="1142" t="s">
        <v>140</v>
      </c>
      <c r="U29" s="1143" t="s">
        <v>140</v>
      </c>
      <c r="V29" s="1144">
        <v>1</v>
      </c>
      <c r="W29" s="1141">
        <v>1055716586</v>
      </c>
      <c r="X29" s="1145">
        <v>5179</v>
      </c>
      <c r="Y29" s="1145">
        <v>5179.5</v>
      </c>
      <c r="Z29" s="1146">
        <v>9.6534414518734124E-5</v>
      </c>
      <c r="AA29" s="1147">
        <v>5179</v>
      </c>
      <c r="AB29" s="1135">
        <v>80</v>
      </c>
      <c r="AC29" s="1135">
        <v>10</v>
      </c>
      <c r="AD29" s="1134">
        <v>16</v>
      </c>
      <c r="AE29" s="1135">
        <v>81</v>
      </c>
      <c r="AF29" s="1135">
        <v>10</v>
      </c>
      <c r="AG29" s="1134">
        <v>15</v>
      </c>
      <c r="AH29" s="1135">
        <v>81</v>
      </c>
      <c r="AI29" s="1135">
        <v>10</v>
      </c>
      <c r="AJ29" s="1134">
        <v>22</v>
      </c>
      <c r="AK29" s="1134" t="s">
        <v>129</v>
      </c>
      <c r="AL29" s="1401" t="s">
        <v>22</v>
      </c>
    </row>
    <row r="30" spans="1:38" s="374" customFormat="1" ht="114">
      <c r="A30" s="1133" t="s">
        <v>951</v>
      </c>
      <c r="B30" s="1133" t="s">
        <v>952</v>
      </c>
      <c r="C30" s="1134" t="s">
        <v>527</v>
      </c>
      <c r="D30" s="1135" t="s">
        <v>22</v>
      </c>
      <c r="E30" s="1135" t="s">
        <v>22</v>
      </c>
      <c r="F30" s="1135" t="s">
        <v>22</v>
      </c>
      <c r="G30" s="1134" t="s">
        <v>22</v>
      </c>
      <c r="H30" s="375" t="s">
        <v>949</v>
      </c>
      <c r="I30" s="375" t="s">
        <v>959</v>
      </c>
      <c r="J30" s="1136">
        <v>48</v>
      </c>
      <c r="K30" s="1131">
        <v>1</v>
      </c>
      <c r="L30" s="1148" t="s">
        <v>22</v>
      </c>
      <c r="M30" s="1139">
        <v>38673</v>
      </c>
      <c r="N30" s="1130">
        <v>39675</v>
      </c>
      <c r="O30" s="1135" t="s">
        <v>22</v>
      </c>
      <c r="P30" s="1149">
        <v>2008</v>
      </c>
      <c r="Q30" s="1141">
        <v>461500</v>
      </c>
      <c r="R30" s="1150">
        <v>2205036734</v>
      </c>
      <c r="S30" s="1150" t="s">
        <v>151</v>
      </c>
      <c r="T30" s="1142" t="s">
        <v>140</v>
      </c>
      <c r="U30" s="1143" t="s">
        <v>140</v>
      </c>
      <c r="V30" s="1144">
        <v>1</v>
      </c>
      <c r="W30" s="1141">
        <v>2205036734</v>
      </c>
      <c r="X30" s="1145">
        <v>4778</v>
      </c>
      <c r="Y30" s="1145">
        <v>4777.9799999999996</v>
      </c>
      <c r="Z30" s="1146">
        <v>4.1858693422547333E-6</v>
      </c>
      <c r="AA30" s="1147">
        <v>4778</v>
      </c>
      <c r="AB30" s="1135">
        <v>80</v>
      </c>
      <c r="AC30" s="1135">
        <v>10</v>
      </c>
      <c r="AD30" s="1134">
        <v>16</v>
      </c>
      <c r="AE30" s="1135">
        <v>81</v>
      </c>
      <c r="AF30" s="1135">
        <v>10</v>
      </c>
      <c r="AG30" s="1134">
        <v>15</v>
      </c>
      <c r="AH30" s="1135">
        <v>81</v>
      </c>
      <c r="AI30" s="1135">
        <v>10</v>
      </c>
      <c r="AJ30" s="1134">
        <v>22</v>
      </c>
      <c r="AK30" s="1134" t="s">
        <v>129</v>
      </c>
      <c r="AL30" s="1401" t="s">
        <v>22</v>
      </c>
    </row>
    <row r="31" spans="1:38" s="374" customFormat="1" ht="65.099999999999994" customHeight="1">
      <c r="A31" s="1133" t="s">
        <v>960</v>
      </c>
      <c r="B31" s="1133" t="s">
        <v>961</v>
      </c>
      <c r="C31" s="1134" t="s">
        <v>962</v>
      </c>
      <c r="D31" s="1135" t="s">
        <v>22</v>
      </c>
      <c r="E31" s="1135" t="s">
        <v>22</v>
      </c>
      <c r="F31" s="1135" t="s">
        <v>22</v>
      </c>
      <c r="G31" s="1134" t="s">
        <v>22</v>
      </c>
      <c r="H31" s="992" t="s">
        <v>963</v>
      </c>
      <c r="I31" s="375" t="s">
        <v>964</v>
      </c>
      <c r="J31" s="1136">
        <v>21</v>
      </c>
      <c r="K31" s="1131">
        <v>0.5</v>
      </c>
      <c r="L31" s="1148" t="s">
        <v>22</v>
      </c>
      <c r="M31" s="1139">
        <v>39004</v>
      </c>
      <c r="N31" s="1130">
        <v>39667</v>
      </c>
      <c r="O31" s="1135" t="s">
        <v>22</v>
      </c>
      <c r="P31" s="1149">
        <v>2008</v>
      </c>
      <c r="Q31" s="1141">
        <v>461500</v>
      </c>
      <c r="R31" s="1150">
        <v>3848051306</v>
      </c>
      <c r="S31" s="1150" t="s">
        <v>151</v>
      </c>
      <c r="T31" s="1142" t="s">
        <v>140</v>
      </c>
      <c r="U31" s="1143" t="s">
        <v>140</v>
      </c>
      <c r="V31" s="1144">
        <v>1</v>
      </c>
      <c r="W31" s="1141">
        <v>3848051306</v>
      </c>
      <c r="X31" s="1145">
        <v>8338</v>
      </c>
      <c r="Y31" s="1145">
        <v>8338.1299999999992</v>
      </c>
      <c r="Z31" s="1146">
        <v>1.5591025805394843E-5</v>
      </c>
      <c r="AA31" s="1147">
        <v>4169</v>
      </c>
      <c r="AB31" s="1135"/>
      <c r="AC31" s="1135"/>
      <c r="AD31" s="1134"/>
      <c r="AE31" s="1135">
        <v>81</v>
      </c>
      <c r="AF31" s="1135">
        <v>10</v>
      </c>
      <c r="AG31" s="1134">
        <v>15</v>
      </c>
      <c r="AH31" s="1135"/>
      <c r="AI31" s="1135"/>
      <c r="AJ31" s="1134"/>
      <c r="AK31" s="1134" t="s">
        <v>129</v>
      </c>
      <c r="AL31" s="1401" t="s">
        <v>22</v>
      </c>
    </row>
    <row r="32" spans="1:38" s="374" customFormat="1" ht="51.95" customHeight="1">
      <c r="A32" s="1133" t="s">
        <v>960</v>
      </c>
      <c r="B32" s="1133" t="s">
        <v>961</v>
      </c>
      <c r="C32" s="1134" t="s">
        <v>962</v>
      </c>
      <c r="D32" s="1135" t="s">
        <v>22</v>
      </c>
      <c r="E32" s="1135" t="s">
        <v>22</v>
      </c>
      <c r="F32" s="1135" t="s">
        <v>22</v>
      </c>
      <c r="G32" s="1134" t="s">
        <v>22</v>
      </c>
      <c r="H32" s="375" t="s">
        <v>965</v>
      </c>
      <c r="I32" s="375" t="s">
        <v>966</v>
      </c>
      <c r="J32" s="1136">
        <v>108</v>
      </c>
      <c r="K32" s="1131">
        <v>0.33</v>
      </c>
      <c r="L32" s="1148" t="s">
        <v>22</v>
      </c>
      <c r="M32" s="1139">
        <v>40368</v>
      </c>
      <c r="N32" s="1130">
        <v>42094</v>
      </c>
      <c r="O32" s="1135" t="s">
        <v>22</v>
      </c>
      <c r="P32" s="1149">
        <v>2015</v>
      </c>
      <c r="Q32" s="1141">
        <v>644350</v>
      </c>
      <c r="R32" s="1150">
        <v>10689723675</v>
      </c>
      <c r="S32" s="1150" t="s">
        <v>151</v>
      </c>
      <c r="T32" s="1142" t="s">
        <v>140</v>
      </c>
      <c r="U32" s="1143" t="s">
        <v>140</v>
      </c>
      <c r="V32" s="1144">
        <v>1</v>
      </c>
      <c r="W32" s="1141">
        <v>10689723675</v>
      </c>
      <c r="X32" s="1145">
        <v>16590</v>
      </c>
      <c r="Y32" s="1145">
        <v>16589.93</v>
      </c>
      <c r="Z32" s="1146">
        <v>4.2194270861717342E-6</v>
      </c>
      <c r="AA32" s="1147">
        <v>5475</v>
      </c>
      <c r="AB32" s="1135"/>
      <c r="AC32" s="1135"/>
      <c r="AD32" s="1134"/>
      <c r="AE32" s="1135">
        <v>81</v>
      </c>
      <c r="AF32" s="1135">
        <v>10</v>
      </c>
      <c r="AG32" s="1134">
        <v>15</v>
      </c>
      <c r="AH32" s="1135">
        <v>81</v>
      </c>
      <c r="AI32" s="1135">
        <v>10</v>
      </c>
      <c r="AJ32" s="1134">
        <v>22</v>
      </c>
      <c r="AK32" s="1134" t="s">
        <v>129</v>
      </c>
      <c r="AL32" s="1401" t="s">
        <v>22</v>
      </c>
    </row>
    <row r="33" spans="1:38" s="374" customFormat="1" ht="90.95" customHeight="1">
      <c r="A33" s="1133" t="s">
        <v>960</v>
      </c>
      <c r="B33" s="1133" t="s">
        <v>961</v>
      </c>
      <c r="C33" s="1134" t="s">
        <v>962</v>
      </c>
      <c r="D33" s="1135" t="s">
        <v>22</v>
      </c>
      <c r="E33" s="1135" t="s">
        <v>22</v>
      </c>
      <c r="F33" s="1135" t="s">
        <v>22</v>
      </c>
      <c r="G33" s="1134" t="s">
        <v>22</v>
      </c>
      <c r="H33" s="375" t="s">
        <v>963</v>
      </c>
      <c r="I33" s="375" t="s">
        <v>967</v>
      </c>
      <c r="J33" s="1136">
        <v>17</v>
      </c>
      <c r="K33" s="1131">
        <v>0.5</v>
      </c>
      <c r="L33" s="1148" t="s">
        <v>22</v>
      </c>
      <c r="M33" s="1139">
        <v>38754</v>
      </c>
      <c r="N33" s="1130">
        <v>39682</v>
      </c>
      <c r="O33" s="1135" t="s">
        <v>22</v>
      </c>
      <c r="P33" s="1149">
        <v>2008</v>
      </c>
      <c r="Q33" s="1141">
        <v>461500</v>
      </c>
      <c r="R33" s="1150">
        <v>3406916670</v>
      </c>
      <c r="S33" s="1150" t="s">
        <v>151</v>
      </c>
      <c r="T33" s="1142" t="s">
        <v>140</v>
      </c>
      <c r="U33" s="1143" t="s">
        <v>140</v>
      </c>
      <c r="V33" s="1144">
        <v>1</v>
      </c>
      <c r="W33" s="1141">
        <v>3406916670</v>
      </c>
      <c r="X33" s="1145">
        <v>7382</v>
      </c>
      <c r="Y33" s="1145">
        <v>7382.26</v>
      </c>
      <c r="Z33" s="1146">
        <v>3.5219566907773725E-5</v>
      </c>
      <c r="AA33" s="1147">
        <v>3691</v>
      </c>
      <c r="AB33" s="1135"/>
      <c r="AC33" s="1135"/>
      <c r="AD33" s="1134"/>
      <c r="AE33" s="1135">
        <v>81</v>
      </c>
      <c r="AF33" s="1135">
        <v>10</v>
      </c>
      <c r="AG33" s="1134">
        <v>15</v>
      </c>
      <c r="AH33" s="1135"/>
      <c r="AI33" s="1135"/>
      <c r="AJ33" s="1134"/>
      <c r="AK33" s="1134" t="s">
        <v>129</v>
      </c>
      <c r="AL33" s="1401" t="s">
        <v>22</v>
      </c>
    </row>
    <row r="34" spans="1:38" s="374" customFormat="1" ht="51.95" customHeight="1">
      <c r="A34" s="1133" t="s">
        <v>960</v>
      </c>
      <c r="B34" s="1133" t="s">
        <v>968</v>
      </c>
      <c r="C34" s="1134" t="s">
        <v>969</v>
      </c>
      <c r="D34" s="1135" t="s">
        <v>22</v>
      </c>
      <c r="E34" s="1135" t="s">
        <v>22</v>
      </c>
      <c r="F34" s="1135" t="s">
        <v>22</v>
      </c>
      <c r="G34" s="1134" t="s">
        <v>22</v>
      </c>
      <c r="H34" s="375" t="s">
        <v>970</v>
      </c>
      <c r="I34" s="375" t="s">
        <v>971</v>
      </c>
      <c r="J34" s="1136"/>
      <c r="K34" s="1131">
        <v>0.5</v>
      </c>
      <c r="L34" s="1148" t="s">
        <v>22</v>
      </c>
      <c r="M34" s="1139">
        <v>39405</v>
      </c>
      <c r="N34" s="1130">
        <v>40268</v>
      </c>
      <c r="O34" s="1135" t="s">
        <v>22</v>
      </c>
      <c r="P34" s="1149">
        <v>2010</v>
      </c>
      <c r="Q34" s="1141">
        <v>515000</v>
      </c>
      <c r="R34" s="1150">
        <v>1625775</v>
      </c>
      <c r="S34" s="1150" t="s">
        <v>142</v>
      </c>
      <c r="T34" s="1142">
        <v>1.3452999999999999</v>
      </c>
      <c r="U34" s="1143">
        <v>2187155.1074999999</v>
      </c>
      <c r="V34" s="1144">
        <v>1928.59</v>
      </c>
      <c r="W34" s="1141">
        <v>4218125468.7734246</v>
      </c>
      <c r="X34" s="1145">
        <v>8191</v>
      </c>
      <c r="Y34" s="1145">
        <v>7021.75</v>
      </c>
      <c r="Z34" s="1146">
        <v>0.16651831808309892</v>
      </c>
      <c r="AA34" s="1147">
        <v>4096</v>
      </c>
      <c r="AB34" s="1154">
        <v>80</v>
      </c>
      <c r="AC34" s="1154">
        <v>10</v>
      </c>
      <c r="AD34" s="1155">
        <v>16</v>
      </c>
      <c r="AE34" s="1154">
        <v>81</v>
      </c>
      <c r="AF34" s="1154">
        <v>10</v>
      </c>
      <c r="AG34" s="1155">
        <v>15</v>
      </c>
      <c r="AH34" s="1154">
        <v>81</v>
      </c>
      <c r="AI34" s="1154">
        <v>10</v>
      </c>
      <c r="AJ34" s="1155">
        <v>22</v>
      </c>
      <c r="AK34" s="1134" t="s">
        <v>129</v>
      </c>
      <c r="AL34" s="1401" t="s">
        <v>22</v>
      </c>
    </row>
    <row r="35" spans="1:38" s="374" customFormat="1" ht="51.95" customHeight="1">
      <c r="A35" s="1133" t="s">
        <v>960</v>
      </c>
      <c r="B35" s="1133" t="s">
        <v>972</v>
      </c>
      <c r="C35" s="1134" t="s">
        <v>973</v>
      </c>
      <c r="D35" s="1135" t="s">
        <v>22</v>
      </c>
      <c r="E35" s="1135" t="s">
        <v>22</v>
      </c>
      <c r="F35" s="1135" t="s">
        <v>22</v>
      </c>
      <c r="G35" s="1134" t="s">
        <v>22</v>
      </c>
      <c r="H35" s="992" t="s">
        <v>448</v>
      </c>
      <c r="I35" s="375" t="s">
        <v>974</v>
      </c>
      <c r="J35" s="1136">
        <v>16</v>
      </c>
      <c r="K35" s="1131">
        <v>1</v>
      </c>
      <c r="L35" s="1148" t="s">
        <v>22</v>
      </c>
      <c r="M35" s="1139">
        <v>39387</v>
      </c>
      <c r="N35" s="1130">
        <v>40087</v>
      </c>
      <c r="O35" s="1135" t="s">
        <v>22</v>
      </c>
      <c r="P35" s="1149">
        <v>2009</v>
      </c>
      <c r="Q35" s="1141">
        <v>496900</v>
      </c>
      <c r="R35" s="1150">
        <v>1787879811</v>
      </c>
      <c r="S35" s="1150" t="s">
        <v>151</v>
      </c>
      <c r="T35" s="1142" t="s">
        <v>140</v>
      </c>
      <c r="U35" s="1143" t="s">
        <v>140</v>
      </c>
      <c r="V35" s="1144">
        <v>1</v>
      </c>
      <c r="W35" s="1141">
        <v>1787879811</v>
      </c>
      <c r="X35" s="1145">
        <v>3598</v>
      </c>
      <c r="Y35" s="1145">
        <v>3598.07</v>
      </c>
      <c r="Z35" s="1146">
        <v>1.9454874418789458E-5</v>
      </c>
      <c r="AA35" s="1147">
        <v>3598</v>
      </c>
      <c r="AB35" s="1135">
        <v>80</v>
      </c>
      <c r="AC35" s="1135">
        <v>10</v>
      </c>
      <c r="AD35" s="1134">
        <v>16</v>
      </c>
      <c r="AE35" s="1135">
        <v>81</v>
      </c>
      <c r="AF35" s="1135">
        <v>10</v>
      </c>
      <c r="AG35" s="1134">
        <v>15</v>
      </c>
      <c r="AH35" s="1135">
        <v>81</v>
      </c>
      <c r="AI35" s="1135">
        <v>10</v>
      </c>
      <c r="AJ35" s="1134">
        <v>22</v>
      </c>
      <c r="AK35" s="1134" t="s">
        <v>129</v>
      </c>
      <c r="AL35" s="1401" t="s">
        <v>22</v>
      </c>
    </row>
    <row r="36" spans="1:38" s="374" customFormat="1" ht="90.95" customHeight="1">
      <c r="A36" s="1133" t="s">
        <v>960</v>
      </c>
      <c r="B36" s="1133" t="s">
        <v>972</v>
      </c>
      <c r="C36" s="1134" t="s">
        <v>973</v>
      </c>
      <c r="D36" s="1135" t="s">
        <v>22</v>
      </c>
      <c r="E36" s="1135" t="s">
        <v>22</v>
      </c>
      <c r="F36" s="1135" t="s">
        <v>22</v>
      </c>
      <c r="G36" s="1134" t="s">
        <v>22</v>
      </c>
      <c r="H36" s="992" t="s">
        <v>975</v>
      </c>
      <c r="I36" s="375" t="s">
        <v>976</v>
      </c>
      <c r="J36" s="1136">
        <v>141</v>
      </c>
      <c r="K36" s="1131">
        <v>0.5</v>
      </c>
      <c r="L36" s="1148" t="s">
        <v>22</v>
      </c>
      <c r="M36" s="1139">
        <v>40568</v>
      </c>
      <c r="N36" s="1130">
        <v>41409</v>
      </c>
      <c r="O36" s="1135" t="s">
        <v>22</v>
      </c>
      <c r="P36" s="1149">
        <v>2013</v>
      </c>
      <c r="Q36" s="1141">
        <v>589500</v>
      </c>
      <c r="R36" s="1150">
        <v>1923790393.9000001</v>
      </c>
      <c r="S36" s="1150" t="s">
        <v>151</v>
      </c>
      <c r="T36" s="1142" t="s">
        <v>140</v>
      </c>
      <c r="U36" s="1143" t="s">
        <v>140</v>
      </c>
      <c r="V36" s="1144">
        <v>1</v>
      </c>
      <c r="W36" s="1141">
        <v>1923790393.9000001</v>
      </c>
      <c r="X36" s="1145">
        <v>3263</v>
      </c>
      <c r="Y36" s="1145">
        <v>1629.1</v>
      </c>
      <c r="Z36" s="1146">
        <v>1.0029464121293965</v>
      </c>
      <c r="AA36" s="1147">
        <v>1632</v>
      </c>
      <c r="AB36" s="1135">
        <v>80</v>
      </c>
      <c r="AC36" s="1135">
        <v>10</v>
      </c>
      <c r="AD36" s="1134">
        <v>16</v>
      </c>
      <c r="AE36" s="1135">
        <v>81</v>
      </c>
      <c r="AF36" s="1135">
        <v>10</v>
      </c>
      <c r="AG36" s="1134">
        <v>15</v>
      </c>
      <c r="AH36" s="1135">
        <v>81</v>
      </c>
      <c r="AI36" s="1135">
        <v>10</v>
      </c>
      <c r="AJ36" s="1134">
        <v>22</v>
      </c>
      <c r="AK36" s="1134" t="s">
        <v>129</v>
      </c>
      <c r="AL36" s="1401" t="s">
        <v>22</v>
      </c>
    </row>
    <row r="37" spans="1:38" s="374" customFormat="1" ht="182.1" customHeight="1">
      <c r="A37" s="1133" t="s">
        <v>977</v>
      </c>
      <c r="B37" s="1133" t="s">
        <v>978</v>
      </c>
      <c r="C37" s="1134" t="s">
        <v>979</v>
      </c>
      <c r="D37" s="1135" t="s">
        <v>22</v>
      </c>
      <c r="E37" s="1135" t="s">
        <v>22</v>
      </c>
      <c r="F37" s="1135" t="s">
        <v>129</v>
      </c>
      <c r="G37" s="1134" t="s">
        <v>22</v>
      </c>
      <c r="H37" s="375" t="s">
        <v>980</v>
      </c>
      <c r="I37" s="375" t="s">
        <v>981</v>
      </c>
      <c r="J37" s="1136">
        <v>3</v>
      </c>
      <c r="K37" s="1131">
        <v>1</v>
      </c>
      <c r="L37" s="1148" t="s">
        <v>22</v>
      </c>
      <c r="M37" s="1139">
        <v>38322</v>
      </c>
      <c r="N37" s="1130">
        <v>39082</v>
      </c>
      <c r="O37" s="1135" t="s">
        <v>22</v>
      </c>
      <c r="P37" s="1149">
        <v>2006</v>
      </c>
      <c r="Q37" s="1141">
        <v>408000</v>
      </c>
      <c r="R37" s="1150">
        <v>449899.22</v>
      </c>
      <c r="S37" s="1150" t="s">
        <v>142</v>
      </c>
      <c r="T37" s="1142">
        <v>1.3192999999999999</v>
      </c>
      <c r="U37" s="1143">
        <v>593552.04094599991</v>
      </c>
      <c r="V37" s="1144">
        <v>2238.79</v>
      </c>
      <c r="W37" s="1141">
        <v>1328838373.749495</v>
      </c>
      <c r="X37" s="1145">
        <v>3257</v>
      </c>
      <c r="Y37" s="1157">
        <v>3381.33</v>
      </c>
      <c r="Z37" s="1146">
        <v>3.6769555175034663E-2</v>
      </c>
      <c r="AA37" s="1147">
        <v>3257</v>
      </c>
      <c r="AB37" s="1135"/>
      <c r="AC37" s="1135"/>
      <c r="AD37" s="1134"/>
      <c r="AE37" s="1135">
        <v>81</v>
      </c>
      <c r="AF37" s="1135">
        <v>10</v>
      </c>
      <c r="AG37" s="1134">
        <v>15</v>
      </c>
      <c r="AH37" s="1135"/>
      <c r="AI37" s="1135"/>
      <c r="AJ37" s="1134"/>
      <c r="AK37" s="1134" t="s">
        <v>129</v>
      </c>
      <c r="AL37" s="1401" t="s">
        <v>22</v>
      </c>
    </row>
    <row r="38" spans="1:38" s="374" customFormat="1" ht="51.95" customHeight="1">
      <c r="A38" s="1133" t="s">
        <v>977</v>
      </c>
      <c r="B38" s="1133" t="s">
        <v>978</v>
      </c>
      <c r="C38" s="1134" t="s">
        <v>979</v>
      </c>
      <c r="D38" s="1135" t="s">
        <v>22</v>
      </c>
      <c r="E38" s="1135" t="s">
        <v>22</v>
      </c>
      <c r="F38" s="1135" t="s">
        <v>129</v>
      </c>
      <c r="G38" s="1134" t="s">
        <v>22</v>
      </c>
      <c r="H38" s="375" t="s">
        <v>982</v>
      </c>
      <c r="I38" s="375" t="s">
        <v>983</v>
      </c>
      <c r="J38" s="1136" t="s">
        <v>903</v>
      </c>
      <c r="K38" s="1131">
        <v>0.4</v>
      </c>
      <c r="L38" s="1148" t="s">
        <v>22</v>
      </c>
      <c r="M38" s="1139">
        <v>41282</v>
      </c>
      <c r="N38" s="1130">
        <v>42279</v>
      </c>
      <c r="O38" s="1135" t="s">
        <v>22</v>
      </c>
      <c r="P38" s="1149">
        <v>2015</v>
      </c>
      <c r="Q38" s="1141">
        <v>644350</v>
      </c>
      <c r="R38" s="1150">
        <v>13726499698</v>
      </c>
      <c r="S38" s="1150" t="s">
        <v>151</v>
      </c>
      <c r="T38" s="1142" t="s">
        <v>140</v>
      </c>
      <c r="U38" s="1143" t="s">
        <v>140</v>
      </c>
      <c r="V38" s="1144">
        <v>1</v>
      </c>
      <c r="W38" s="1141">
        <v>13726499698</v>
      </c>
      <c r="X38" s="1145">
        <v>21303</v>
      </c>
      <c r="Y38" s="379"/>
      <c r="Z38" s="1146" t="s">
        <v>140</v>
      </c>
      <c r="AA38" s="1147">
        <v>8521</v>
      </c>
      <c r="AB38" s="1135"/>
      <c r="AC38" s="1135"/>
      <c r="AD38" s="1134"/>
      <c r="AE38" s="1135"/>
      <c r="AF38" s="1135"/>
      <c r="AG38" s="1134"/>
      <c r="AH38" s="1135"/>
      <c r="AI38" s="1135"/>
      <c r="AJ38" s="1134"/>
      <c r="AK38" s="1134" t="s">
        <v>22</v>
      </c>
      <c r="AL38" s="1401" t="s">
        <v>22</v>
      </c>
    </row>
    <row r="39" spans="1:38" s="374" customFormat="1" ht="65.099999999999994" customHeight="1">
      <c r="A39" s="1133" t="s">
        <v>977</v>
      </c>
      <c r="B39" s="1133" t="s">
        <v>984</v>
      </c>
      <c r="C39" s="380" t="s">
        <v>985</v>
      </c>
      <c r="D39" s="1135" t="s">
        <v>22</v>
      </c>
      <c r="E39" s="1135" t="s">
        <v>22</v>
      </c>
      <c r="F39" s="1135" t="s">
        <v>129</v>
      </c>
      <c r="G39" s="1134" t="s">
        <v>22</v>
      </c>
      <c r="H39" s="375" t="s">
        <v>986</v>
      </c>
      <c r="I39" s="375" t="s">
        <v>987</v>
      </c>
      <c r="J39" s="1136">
        <v>63</v>
      </c>
      <c r="K39" s="1131">
        <v>1</v>
      </c>
      <c r="L39" s="1148" t="s">
        <v>22</v>
      </c>
      <c r="M39" s="1139">
        <v>39001</v>
      </c>
      <c r="N39" s="1130">
        <v>40354</v>
      </c>
      <c r="O39" s="1135" t="s">
        <v>22</v>
      </c>
      <c r="P39" s="1149">
        <v>2010</v>
      </c>
      <c r="Q39" s="1141">
        <v>515000</v>
      </c>
      <c r="R39" s="1150">
        <v>6389802.9699999997</v>
      </c>
      <c r="S39" s="1150" t="s">
        <v>142</v>
      </c>
      <c r="T39" s="1142">
        <v>1.2317</v>
      </c>
      <c r="U39" s="1143">
        <v>7870320.3181489995</v>
      </c>
      <c r="V39" s="1144">
        <v>1896.87</v>
      </c>
      <c r="W39" s="1141">
        <v>14928974501.887291</v>
      </c>
      <c r="X39" s="1145">
        <v>28988</v>
      </c>
      <c r="Y39" s="1157">
        <v>28934.17</v>
      </c>
      <c r="Z39" s="1146">
        <v>1.8604300728171097E-3</v>
      </c>
      <c r="AA39" s="1147">
        <v>28988</v>
      </c>
      <c r="AB39" s="1135">
        <v>80</v>
      </c>
      <c r="AC39" s="1135">
        <v>10</v>
      </c>
      <c r="AD39" s="1134">
        <v>16</v>
      </c>
      <c r="AE39" s="1135">
        <v>81</v>
      </c>
      <c r="AF39" s="1135">
        <v>10</v>
      </c>
      <c r="AG39" s="1134">
        <v>15</v>
      </c>
      <c r="AH39" s="1135">
        <v>81</v>
      </c>
      <c r="AI39" s="1135">
        <v>10</v>
      </c>
      <c r="AJ39" s="1134">
        <v>22</v>
      </c>
      <c r="AK39" s="1134" t="s">
        <v>129</v>
      </c>
      <c r="AL39" s="1401" t="s">
        <v>22</v>
      </c>
    </row>
    <row r="40" spans="1:38" s="374" customFormat="1" ht="104.1" customHeight="1">
      <c r="A40" s="1133" t="s">
        <v>977</v>
      </c>
      <c r="B40" s="1133" t="s">
        <v>984</v>
      </c>
      <c r="C40" s="380" t="s">
        <v>985</v>
      </c>
      <c r="D40" s="1135" t="s">
        <v>22</v>
      </c>
      <c r="E40" s="1135" t="s">
        <v>22</v>
      </c>
      <c r="F40" s="1135" t="s">
        <v>129</v>
      </c>
      <c r="G40" s="1134" t="s">
        <v>22</v>
      </c>
      <c r="H40" s="375" t="s">
        <v>988</v>
      </c>
      <c r="I40" s="375" t="s">
        <v>989</v>
      </c>
      <c r="J40" s="1136">
        <v>4</v>
      </c>
      <c r="K40" s="1131">
        <v>1</v>
      </c>
      <c r="L40" s="1148" t="s">
        <v>22</v>
      </c>
      <c r="M40" s="1139">
        <v>38051</v>
      </c>
      <c r="N40" s="1130">
        <v>41071</v>
      </c>
      <c r="O40" s="1135" t="s">
        <v>22</v>
      </c>
      <c r="P40" s="1149">
        <v>2012</v>
      </c>
      <c r="Q40" s="1141">
        <v>566700</v>
      </c>
      <c r="R40" s="1150">
        <v>4711321.91</v>
      </c>
      <c r="S40" s="1150" t="s">
        <v>142</v>
      </c>
      <c r="T40" s="1142">
        <v>1.2534000000000001</v>
      </c>
      <c r="U40" s="1143">
        <v>5905170.8819940006</v>
      </c>
      <c r="V40" s="1144">
        <v>1776.26</v>
      </c>
      <c r="W40" s="1141">
        <v>10489118830.850664</v>
      </c>
      <c r="X40" s="1145">
        <v>18509</v>
      </c>
      <c r="Y40" s="1157">
        <v>18523.89</v>
      </c>
      <c r="Z40" s="1146">
        <v>8.0382684198621046E-4</v>
      </c>
      <c r="AA40" s="1147">
        <v>18509</v>
      </c>
      <c r="AB40" s="1135">
        <v>80</v>
      </c>
      <c r="AC40" s="1135">
        <v>10</v>
      </c>
      <c r="AD40" s="1134">
        <v>16</v>
      </c>
      <c r="AE40" s="1135">
        <v>81</v>
      </c>
      <c r="AF40" s="1135">
        <v>10</v>
      </c>
      <c r="AG40" s="1134">
        <v>15</v>
      </c>
      <c r="AH40" s="1135">
        <v>81</v>
      </c>
      <c r="AI40" s="1135">
        <v>10</v>
      </c>
      <c r="AJ40" s="1134">
        <v>22</v>
      </c>
      <c r="AK40" s="1134" t="s">
        <v>129</v>
      </c>
      <c r="AL40" s="1401" t="s">
        <v>22</v>
      </c>
    </row>
    <row r="41" spans="1:38" s="374" customFormat="1" ht="65.099999999999994" customHeight="1">
      <c r="A41" s="1133" t="s">
        <v>977</v>
      </c>
      <c r="B41" s="1133" t="s">
        <v>984</v>
      </c>
      <c r="C41" s="380" t="s">
        <v>985</v>
      </c>
      <c r="D41" s="1135" t="s">
        <v>22</v>
      </c>
      <c r="E41" s="1135" t="s">
        <v>22</v>
      </c>
      <c r="F41" s="1135" t="s">
        <v>129</v>
      </c>
      <c r="G41" s="1134" t="s">
        <v>22</v>
      </c>
      <c r="H41" s="375" t="s">
        <v>147</v>
      </c>
      <c r="I41" s="375" t="s">
        <v>990</v>
      </c>
      <c r="J41" s="1136" t="s">
        <v>991</v>
      </c>
      <c r="K41" s="1131">
        <v>0.85</v>
      </c>
      <c r="L41" s="1148" t="s">
        <v>22</v>
      </c>
      <c r="M41" s="1139">
        <v>39792</v>
      </c>
      <c r="N41" s="1130">
        <v>40887</v>
      </c>
      <c r="O41" s="1135" t="s">
        <v>22</v>
      </c>
      <c r="P41" s="1149">
        <v>2011</v>
      </c>
      <c r="Q41" s="1141">
        <v>535600</v>
      </c>
      <c r="R41" s="1150">
        <v>3750285173</v>
      </c>
      <c r="S41" s="1150" t="s">
        <v>151</v>
      </c>
      <c r="T41" s="1142" t="s">
        <v>140</v>
      </c>
      <c r="U41" s="1143" t="s">
        <v>140</v>
      </c>
      <c r="V41" s="1144">
        <v>1</v>
      </c>
      <c r="W41" s="1141">
        <v>3750285173</v>
      </c>
      <c r="X41" s="1145">
        <v>7002</v>
      </c>
      <c r="Y41" s="1145"/>
      <c r="Z41" s="1146" t="s">
        <v>140</v>
      </c>
      <c r="AA41" s="1147">
        <v>5952</v>
      </c>
      <c r="AB41" s="1135"/>
      <c r="AC41" s="1135"/>
      <c r="AD41" s="1134"/>
      <c r="AE41" s="1135"/>
      <c r="AF41" s="1135"/>
      <c r="AG41" s="1134"/>
      <c r="AH41" s="1135"/>
      <c r="AI41" s="1135"/>
      <c r="AJ41" s="1134"/>
      <c r="AK41" s="1134" t="s">
        <v>22</v>
      </c>
      <c r="AL41" s="1401" t="s">
        <v>22</v>
      </c>
    </row>
    <row r="42" spans="1:38" s="374" customFormat="1" ht="90.95" customHeight="1">
      <c r="A42" s="1133" t="s">
        <v>977</v>
      </c>
      <c r="B42" s="1133" t="s">
        <v>984</v>
      </c>
      <c r="C42" s="380" t="s">
        <v>985</v>
      </c>
      <c r="D42" s="1135" t="s">
        <v>22</v>
      </c>
      <c r="E42" s="1135" t="s">
        <v>22</v>
      </c>
      <c r="F42" s="1135" t="s">
        <v>129</v>
      </c>
      <c r="G42" s="1134" t="s">
        <v>22</v>
      </c>
      <c r="H42" s="375" t="s">
        <v>992</v>
      </c>
      <c r="I42" s="375" t="s">
        <v>993</v>
      </c>
      <c r="J42" s="1136">
        <v>7</v>
      </c>
      <c r="K42" s="1131">
        <v>1</v>
      </c>
      <c r="L42" s="1148" t="s">
        <v>22</v>
      </c>
      <c r="M42" s="1139">
        <v>38077</v>
      </c>
      <c r="N42" s="1130">
        <v>39538</v>
      </c>
      <c r="O42" s="1135" t="s">
        <v>22</v>
      </c>
      <c r="P42" s="1149">
        <v>2008</v>
      </c>
      <c r="Q42" s="1141">
        <v>461500</v>
      </c>
      <c r="R42" s="1150">
        <v>2258437.59</v>
      </c>
      <c r="S42" s="1150" t="s">
        <v>142</v>
      </c>
      <c r="T42" s="1142">
        <v>1.579</v>
      </c>
      <c r="U42" s="1143">
        <v>3566072.9546099999</v>
      </c>
      <c r="V42" s="1144">
        <v>1821.6</v>
      </c>
      <c r="W42" s="1141">
        <v>6495958494.1175756</v>
      </c>
      <c r="X42" s="1145">
        <v>14076</v>
      </c>
      <c r="Y42" s="1145">
        <v>14095.36</v>
      </c>
      <c r="Z42" s="1146">
        <v>1.3735016345804985E-3</v>
      </c>
      <c r="AA42" s="1147">
        <v>14076</v>
      </c>
      <c r="AB42" s="1135">
        <v>80</v>
      </c>
      <c r="AC42" s="1135">
        <v>10</v>
      </c>
      <c r="AD42" s="1134">
        <v>16</v>
      </c>
      <c r="AE42" s="1135">
        <v>81</v>
      </c>
      <c r="AF42" s="1135">
        <v>10</v>
      </c>
      <c r="AG42" s="1134">
        <v>15</v>
      </c>
      <c r="AH42" s="1135">
        <v>81</v>
      </c>
      <c r="AI42" s="1135">
        <v>10</v>
      </c>
      <c r="AJ42" s="1134">
        <v>22</v>
      </c>
      <c r="AK42" s="1134" t="s">
        <v>129</v>
      </c>
      <c r="AL42" s="1401" t="s">
        <v>22</v>
      </c>
    </row>
    <row r="43" spans="1:38" s="374" customFormat="1" ht="51.95" customHeight="1">
      <c r="A43" s="1133" t="s">
        <v>994</v>
      </c>
      <c r="B43" s="1133" t="s">
        <v>995</v>
      </c>
      <c r="C43" s="380" t="s">
        <v>996</v>
      </c>
      <c r="D43" s="1135" t="s">
        <v>22</v>
      </c>
      <c r="E43" s="1135" t="s">
        <v>22</v>
      </c>
      <c r="F43" s="1135" t="s">
        <v>22</v>
      </c>
      <c r="G43" s="1134" t="s">
        <v>22</v>
      </c>
      <c r="H43" s="375" t="s">
        <v>997</v>
      </c>
      <c r="I43" s="375" t="s">
        <v>998</v>
      </c>
      <c r="J43" s="1136">
        <v>2</v>
      </c>
      <c r="K43" s="1131">
        <v>1</v>
      </c>
      <c r="L43" s="1148" t="s">
        <v>22</v>
      </c>
      <c r="M43" s="1128">
        <v>34991</v>
      </c>
      <c r="N43" s="1156">
        <v>35919</v>
      </c>
      <c r="O43" s="1135" t="s">
        <v>22</v>
      </c>
      <c r="P43" s="1149">
        <v>1998</v>
      </c>
      <c r="Q43" s="1141">
        <v>203826</v>
      </c>
      <c r="R43" s="1150">
        <v>2786155923</v>
      </c>
      <c r="S43" s="1150" t="s">
        <v>151</v>
      </c>
      <c r="T43" s="1142" t="s">
        <v>140</v>
      </c>
      <c r="U43" s="1143" t="s">
        <v>140</v>
      </c>
      <c r="V43" s="1144">
        <v>1</v>
      </c>
      <c r="W43" s="1141">
        <v>2786155923</v>
      </c>
      <c r="X43" s="1145">
        <v>13669</v>
      </c>
      <c r="Y43" s="1145">
        <v>13669.29</v>
      </c>
      <c r="Z43" s="1146">
        <v>2.1215439865662766E-5</v>
      </c>
      <c r="AA43" s="1147">
        <v>13669</v>
      </c>
      <c r="AB43" s="1135">
        <v>80</v>
      </c>
      <c r="AC43" s="1135">
        <v>10</v>
      </c>
      <c r="AD43" s="1134">
        <v>16</v>
      </c>
      <c r="AE43" s="1135">
        <v>81</v>
      </c>
      <c r="AF43" s="1135">
        <v>10</v>
      </c>
      <c r="AG43" s="1134">
        <v>15</v>
      </c>
      <c r="AH43" s="1135">
        <v>81</v>
      </c>
      <c r="AI43" s="1135">
        <v>10</v>
      </c>
      <c r="AJ43" s="1134">
        <v>22</v>
      </c>
      <c r="AK43" s="1134" t="s">
        <v>129</v>
      </c>
      <c r="AL43" s="1401" t="s">
        <v>22</v>
      </c>
    </row>
    <row r="44" spans="1:38" s="374" customFormat="1" ht="51.95" customHeight="1">
      <c r="A44" s="1133" t="s">
        <v>994</v>
      </c>
      <c r="B44" s="1133" t="s">
        <v>995</v>
      </c>
      <c r="C44" s="380" t="s">
        <v>996</v>
      </c>
      <c r="D44" s="1135" t="s">
        <v>22</v>
      </c>
      <c r="E44" s="1135" t="s">
        <v>22</v>
      </c>
      <c r="F44" s="1135" t="s">
        <v>22</v>
      </c>
      <c r="G44" s="1134" t="s">
        <v>22</v>
      </c>
      <c r="H44" s="375" t="s">
        <v>949</v>
      </c>
      <c r="I44" s="375" t="s">
        <v>999</v>
      </c>
      <c r="J44" s="1136">
        <v>9</v>
      </c>
      <c r="K44" s="1131">
        <v>1</v>
      </c>
      <c r="L44" s="1148" t="s">
        <v>22</v>
      </c>
      <c r="M44" s="1128">
        <v>36950</v>
      </c>
      <c r="N44" s="1130">
        <v>37422</v>
      </c>
      <c r="O44" s="1135" t="s">
        <v>22</v>
      </c>
      <c r="P44" s="1149">
        <v>2002</v>
      </c>
      <c r="Q44" s="1141">
        <v>309000</v>
      </c>
      <c r="R44" s="1150">
        <v>1329179800.6500001</v>
      </c>
      <c r="S44" s="1150" t="s">
        <v>151</v>
      </c>
      <c r="T44" s="1142" t="s">
        <v>140</v>
      </c>
      <c r="U44" s="1143" t="s">
        <v>140</v>
      </c>
      <c r="V44" s="1144">
        <v>1</v>
      </c>
      <c r="W44" s="1141">
        <v>1329179800.6500001</v>
      </c>
      <c r="X44" s="1145">
        <v>4302</v>
      </c>
      <c r="Y44" s="1145">
        <v>4301.55</v>
      </c>
      <c r="Z44" s="1146">
        <v>1.0461345329004779E-4</v>
      </c>
      <c r="AA44" s="1147">
        <v>4302</v>
      </c>
      <c r="AB44" s="1135">
        <v>80</v>
      </c>
      <c r="AC44" s="1135">
        <v>10</v>
      </c>
      <c r="AD44" s="1134">
        <v>16</v>
      </c>
      <c r="AE44" s="1135">
        <v>81</v>
      </c>
      <c r="AF44" s="1135">
        <v>10</v>
      </c>
      <c r="AG44" s="1134">
        <v>15</v>
      </c>
      <c r="AH44" s="1135">
        <v>81</v>
      </c>
      <c r="AI44" s="1135">
        <v>10</v>
      </c>
      <c r="AJ44" s="1134">
        <v>22</v>
      </c>
      <c r="AK44" s="1134" t="s">
        <v>129</v>
      </c>
      <c r="AL44" s="1401" t="s">
        <v>22</v>
      </c>
    </row>
    <row r="45" spans="1:38" s="374" customFormat="1" ht="117" customHeight="1">
      <c r="A45" s="1133" t="s">
        <v>994</v>
      </c>
      <c r="B45" s="1133" t="s">
        <v>995</v>
      </c>
      <c r="C45" s="380" t="s">
        <v>996</v>
      </c>
      <c r="D45" s="1135" t="s">
        <v>22</v>
      </c>
      <c r="E45" s="1135" t="s">
        <v>22</v>
      </c>
      <c r="F45" s="1135" t="s">
        <v>22</v>
      </c>
      <c r="G45" s="1134" t="s">
        <v>22</v>
      </c>
      <c r="H45" s="375" t="s">
        <v>949</v>
      </c>
      <c r="I45" s="375" t="s">
        <v>1000</v>
      </c>
      <c r="J45" s="1136">
        <v>13</v>
      </c>
      <c r="K45" s="1131">
        <v>1</v>
      </c>
      <c r="L45" s="1148" t="s">
        <v>22</v>
      </c>
      <c r="M45" s="1139">
        <v>37308</v>
      </c>
      <c r="N45" s="1130">
        <v>37970</v>
      </c>
      <c r="O45" s="1135" t="s">
        <v>22</v>
      </c>
      <c r="P45" s="1149">
        <v>2003</v>
      </c>
      <c r="Q45" s="1141">
        <v>332000</v>
      </c>
      <c r="R45" s="1150">
        <v>1207857240.7</v>
      </c>
      <c r="S45" s="1150" t="s">
        <v>151</v>
      </c>
      <c r="T45" s="1142" t="s">
        <v>140</v>
      </c>
      <c r="U45" s="1143" t="s">
        <v>140</v>
      </c>
      <c r="V45" s="1144">
        <v>1</v>
      </c>
      <c r="W45" s="1141">
        <v>1207857240.7</v>
      </c>
      <c r="X45" s="1145">
        <v>3638</v>
      </c>
      <c r="Y45" s="1145">
        <v>3638.12</v>
      </c>
      <c r="Z45" s="1146">
        <v>3.2984068694785762E-5</v>
      </c>
      <c r="AA45" s="1147">
        <v>3638</v>
      </c>
      <c r="AB45" s="1135">
        <v>80</v>
      </c>
      <c r="AC45" s="1135">
        <v>10</v>
      </c>
      <c r="AD45" s="1134">
        <v>16</v>
      </c>
      <c r="AE45" s="1135">
        <v>81</v>
      </c>
      <c r="AF45" s="1135">
        <v>10</v>
      </c>
      <c r="AG45" s="1134">
        <v>15</v>
      </c>
      <c r="AH45" s="1135">
        <v>81</v>
      </c>
      <c r="AI45" s="1135">
        <v>10</v>
      </c>
      <c r="AJ45" s="1134">
        <v>22</v>
      </c>
      <c r="AK45" s="1134" t="s">
        <v>129</v>
      </c>
      <c r="AL45" s="1401" t="s">
        <v>22</v>
      </c>
    </row>
    <row r="46" spans="1:38" s="374" customFormat="1" ht="104.1" customHeight="1">
      <c r="A46" s="1133" t="s">
        <v>994</v>
      </c>
      <c r="B46" s="1133" t="s">
        <v>1001</v>
      </c>
      <c r="C46" s="1134" t="s">
        <v>1002</v>
      </c>
      <c r="D46" s="1135" t="s">
        <v>22</v>
      </c>
      <c r="E46" s="1135" t="s">
        <v>22</v>
      </c>
      <c r="F46" s="1135" t="s">
        <v>22</v>
      </c>
      <c r="G46" s="1134" t="s">
        <v>22</v>
      </c>
      <c r="H46" s="375" t="s">
        <v>949</v>
      </c>
      <c r="I46" s="375" t="s">
        <v>1003</v>
      </c>
      <c r="J46" s="1136" t="s">
        <v>1004</v>
      </c>
      <c r="K46" s="1131">
        <v>1</v>
      </c>
      <c r="L46" s="1148" t="s">
        <v>22</v>
      </c>
      <c r="M46" s="1128">
        <v>35019</v>
      </c>
      <c r="N46" s="1156">
        <v>36114</v>
      </c>
      <c r="O46" s="1135" t="s">
        <v>22</v>
      </c>
      <c r="P46" s="1149">
        <v>1998</v>
      </c>
      <c r="Q46" s="1141">
        <v>203826</v>
      </c>
      <c r="R46" s="1150">
        <v>1910421539</v>
      </c>
      <c r="S46" s="1150" t="s">
        <v>151</v>
      </c>
      <c r="T46" s="1142" t="s">
        <v>140</v>
      </c>
      <c r="U46" s="1143" t="s">
        <v>140</v>
      </c>
      <c r="V46" s="1144">
        <v>1</v>
      </c>
      <c r="W46" s="1141">
        <v>1910421539</v>
      </c>
      <c r="X46" s="1145">
        <v>9373</v>
      </c>
      <c r="Y46" s="1145"/>
      <c r="Z46" s="1146" t="s">
        <v>140</v>
      </c>
      <c r="AA46" s="1147">
        <v>9373</v>
      </c>
      <c r="AB46" s="1135"/>
      <c r="AC46" s="1135"/>
      <c r="AD46" s="1134"/>
      <c r="AE46" s="1135"/>
      <c r="AF46" s="1135"/>
      <c r="AG46" s="1134"/>
      <c r="AH46" s="1135"/>
      <c r="AI46" s="1135"/>
      <c r="AJ46" s="1134"/>
      <c r="AK46" s="1134" t="s">
        <v>22</v>
      </c>
      <c r="AL46" s="1401" t="s">
        <v>22</v>
      </c>
    </row>
    <row r="47" spans="1:38" s="374" customFormat="1" ht="51.95" customHeight="1">
      <c r="A47" s="1133" t="s">
        <v>994</v>
      </c>
      <c r="B47" s="1133" t="s">
        <v>1001</v>
      </c>
      <c r="C47" s="1134" t="s">
        <v>1002</v>
      </c>
      <c r="D47" s="1135" t="s">
        <v>22</v>
      </c>
      <c r="E47" s="1135" t="s">
        <v>22</v>
      </c>
      <c r="F47" s="1135" t="s">
        <v>22</v>
      </c>
      <c r="G47" s="1134" t="s">
        <v>22</v>
      </c>
      <c r="H47" s="375" t="s">
        <v>1005</v>
      </c>
      <c r="I47" s="375" t="s">
        <v>1006</v>
      </c>
      <c r="J47" s="1136" t="s">
        <v>903</v>
      </c>
      <c r="K47" s="1131">
        <v>0.4</v>
      </c>
      <c r="L47" s="1148" t="s">
        <v>22</v>
      </c>
      <c r="M47" s="1128">
        <v>41012</v>
      </c>
      <c r="N47" s="1130">
        <v>42124</v>
      </c>
      <c r="O47" s="1135" t="s">
        <v>22</v>
      </c>
      <c r="P47" s="1149">
        <v>2014</v>
      </c>
      <c r="Q47" s="1141">
        <v>616000</v>
      </c>
      <c r="R47" s="1150">
        <v>24067899177</v>
      </c>
      <c r="S47" s="1150" t="s">
        <v>151</v>
      </c>
      <c r="T47" s="1142" t="s">
        <v>140</v>
      </c>
      <c r="U47" s="1143" t="s">
        <v>140</v>
      </c>
      <c r="V47" s="1144">
        <v>1</v>
      </c>
      <c r="W47" s="1141">
        <v>24067899177</v>
      </c>
      <c r="X47" s="1145">
        <v>39071</v>
      </c>
      <c r="Y47" s="1145"/>
      <c r="Z47" s="1146" t="s">
        <v>140</v>
      </c>
      <c r="AA47" s="1147">
        <v>15628</v>
      </c>
      <c r="AB47" s="1135"/>
      <c r="AC47" s="1135"/>
      <c r="AD47" s="1134"/>
      <c r="AE47" s="1135"/>
      <c r="AF47" s="1135"/>
      <c r="AG47" s="1134"/>
      <c r="AH47" s="1135"/>
      <c r="AI47" s="1135"/>
      <c r="AJ47" s="1134"/>
      <c r="AK47" s="1134" t="s">
        <v>22</v>
      </c>
      <c r="AL47" s="1401" t="s">
        <v>22</v>
      </c>
    </row>
    <row r="48" spans="1:38" s="374" customFormat="1" ht="65.099999999999994" customHeight="1">
      <c r="A48" s="1133" t="s">
        <v>994</v>
      </c>
      <c r="B48" s="1133" t="s">
        <v>1001</v>
      </c>
      <c r="C48" s="1134" t="s">
        <v>1002</v>
      </c>
      <c r="D48" s="1135" t="s">
        <v>22</v>
      </c>
      <c r="E48" s="1135" t="s">
        <v>22</v>
      </c>
      <c r="F48" s="1135" t="s">
        <v>22</v>
      </c>
      <c r="G48" s="1134" t="s">
        <v>22</v>
      </c>
      <c r="H48" s="375" t="s">
        <v>949</v>
      </c>
      <c r="I48" s="375" t="s">
        <v>1007</v>
      </c>
      <c r="J48" s="1136" t="s">
        <v>1008</v>
      </c>
      <c r="K48" s="1158">
        <v>0.81799999999999995</v>
      </c>
      <c r="L48" s="1148" t="s">
        <v>22</v>
      </c>
      <c r="M48" s="1139">
        <v>35507</v>
      </c>
      <c r="N48" s="1130">
        <v>36543</v>
      </c>
      <c r="O48" s="1135" t="s">
        <v>22</v>
      </c>
      <c r="P48" s="1149">
        <v>2000</v>
      </c>
      <c r="Q48" s="1141">
        <v>260100</v>
      </c>
      <c r="R48" s="1150">
        <v>4449058497.6599998</v>
      </c>
      <c r="S48" s="1150" t="s">
        <v>151</v>
      </c>
      <c r="T48" s="1142" t="s">
        <v>140</v>
      </c>
      <c r="U48" s="1143" t="s">
        <v>140</v>
      </c>
      <c r="V48" s="1144">
        <v>1</v>
      </c>
      <c r="W48" s="1141">
        <v>4449058497.6599998</v>
      </c>
      <c r="X48" s="1145">
        <v>17105</v>
      </c>
      <c r="Y48" s="1145"/>
      <c r="Z48" s="1146" t="s">
        <v>140</v>
      </c>
      <c r="AA48" s="1147">
        <v>13992</v>
      </c>
      <c r="AB48" s="1135"/>
      <c r="AC48" s="1135"/>
      <c r="AD48" s="1134"/>
      <c r="AE48" s="1135"/>
      <c r="AF48" s="1135"/>
      <c r="AG48" s="1134"/>
      <c r="AH48" s="1135"/>
      <c r="AI48" s="1135"/>
      <c r="AJ48" s="1134"/>
      <c r="AK48" s="1134" t="s">
        <v>22</v>
      </c>
      <c r="AL48" s="1401" t="s">
        <v>22</v>
      </c>
    </row>
    <row r="49" spans="1:38" s="374" customFormat="1" ht="90.95" customHeight="1">
      <c r="A49" s="1133" t="s">
        <v>1009</v>
      </c>
      <c r="B49" s="1133" t="s">
        <v>1010</v>
      </c>
      <c r="C49" s="380" t="s">
        <v>1011</v>
      </c>
      <c r="D49" s="1135" t="s">
        <v>22</v>
      </c>
      <c r="E49" s="1135" t="s">
        <v>22</v>
      </c>
      <c r="F49" s="1135" t="s">
        <v>22</v>
      </c>
      <c r="G49" s="1134" t="s">
        <v>22</v>
      </c>
      <c r="H49" s="375" t="s">
        <v>517</v>
      </c>
      <c r="I49" s="375" t="s">
        <v>1012</v>
      </c>
      <c r="J49" s="1136" t="s">
        <v>903</v>
      </c>
      <c r="K49" s="1131">
        <v>0.5</v>
      </c>
      <c r="L49" s="1148" t="s">
        <v>22</v>
      </c>
      <c r="M49" s="1139">
        <v>39595</v>
      </c>
      <c r="N49" s="1130">
        <v>42083</v>
      </c>
      <c r="O49" s="1135" t="s">
        <v>22</v>
      </c>
      <c r="P49" s="1149">
        <v>2015</v>
      </c>
      <c r="Q49" s="1141">
        <v>644350</v>
      </c>
      <c r="R49" s="1150">
        <v>36074618420</v>
      </c>
      <c r="S49" s="1150" t="s">
        <v>151</v>
      </c>
      <c r="T49" s="1142" t="s">
        <v>140</v>
      </c>
      <c r="U49" s="1143" t="s">
        <v>140</v>
      </c>
      <c r="V49" s="1144">
        <v>1</v>
      </c>
      <c r="W49" s="1141">
        <v>36074618420</v>
      </c>
      <c r="X49" s="1145">
        <v>55986</v>
      </c>
      <c r="Y49" s="1145"/>
      <c r="Z49" s="1146" t="s">
        <v>140</v>
      </c>
      <c r="AA49" s="1147">
        <v>27993</v>
      </c>
      <c r="AB49" s="1135"/>
      <c r="AC49" s="1135"/>
      <c r="AD49" s="1134"/>
      <c r="AE49" s="1135"/>
      <c r="AF49" s="1135"/>
      <c r="AG49" s="1134"/>
      <c r="AH49" s="1135"/>
      <c r="AI49" s="1135"/>
      <c r="AJ49" s="1134"/>
      <c r="AK49" s="1134" t="s">
        <v>22</v>
      </c>
      <c r="AL49" s="1401" t="s">
        <v>22</v>
      </c>
    </row>
    <row r="50" spans="1:38" s="374" customFormat="1" ht="65.099999999999994" customHeight="1">
      <c r="A50" s="1133" t="s">
        <v>1009</v>
      </c>
      <c r="B50" s="1133" t="s">
        <v>1013</v>
      </c>
      <c r="C50" s="1134" t="s">
        <v>1014</v>
      </c>
      <c r="D50" s="1135" t="s">
        <v>22</v>
      </c>
      <c r="E50" s="1135" t="s">
        <v>22</v>
      </c>
      <c r="F50" s="1135" t="s">
        <v>22</v>
      </c>
      <c r="G50" s="1134" t="s">
        <v>22</v>
      </c>
      <c r="H50" s="375" t="s">
        <v>448</v>
      </c>
      <c r="I50" s="375" t="s">
        <v>1015</v>
      </c>
      <c r="J50" s="381">
        <v>19</v>
      </c>
      <c r="K50" s="1131">
        <v>0.4</v>
      </c>
      <c r="L50" s="381" t="s">
        <v>22</v>
      </c>
      <c r="M50" s="382">
        <v>39157</v>
      </c>
      <c r="N50" s="383">
        <v>39948</v>
      </c>
      <c r="O50" s="1135" t="s">
        <v>22</v>
      </c>
      <c r="P50" s="381">
        <v>2009</v>
      </c>
      <c r="Q50" s="1141">
        <v>496900</v>
      </c>
      <c r="R50" s="1151">
        <v>3056044919</v>
      </c>
      <c r="S50" s="384" t="s">
        <v>151</v>
      </c>
      <c r="T50" s="1142" t="s">
        <v>140</v>
      </c>
      <c r="U50" s="1143" t="s">
        <v>140</v>
      </c>
      <c r="V50" s="1144">
        <v>1</v>
      </c>
      <c r="W50" s="1141">
        <v>3056044919</v>
      </c>
      <c r="X50" s="1145">
        <v>6150</v>
      </c>
      <c r="Y50" s="1145">
        <v>6150.22</v>
      </c>
      <c r="Z50" s="1146">
        <v>3.5771078107815768E-5</v>
      </c>
      <c r="AA50" s="1147">
        <v>2460</v>
      </c>
      <c r="AB50" s="384"/>
      <c r="AC50" s="384"/>
      <c r="AD50" s="385"/>
      <c r="AE50" s="1135">
        <v>81</v>
      </c>
      <c r="AF50" s="1135">
        <v>10</v>
      </c>
      <c r="AG50" s="1134">
        <v>15</v>
      </c>
      <c r="AH50" s="384"/>
      <c r="AI50" s="384"/>
      <c r="AJ50" s="385"/>
      <c r="AK50" s="1134" t="s">
        <v>129</v>
      </c>
      <c r="AL50" s="1401" t="s">
        <v>22</v>
      </c>
    </row>
    <row r="51" spans="1:38" s="374" customFormat="1" ht="78" customHeight="1">
      <c r="A51" s="1133" t="s">
        <v>1009</v>
      </c>
      <c r="B51" s="1133" t="s">
        <v>1016</v>
      </c>
      <c r="C51" s="386" t="s">
        <v>154</v>
      </c>
      <c r="D51" s="1135" t="s">
        <v>22</v>
      </c>
      <c r="E51" s="1135" t="s">
        <v>22</v>
      </c>
      <c r="F51" s="1135" t="s">
        <v>22</v>
      </c>
      <c r="G51" s="1134" t="s">
        <v>22</v>
      </c>
      <c r="H51" s="375" t="s">
        <v>155</v>
      </c>
      <c r="I51" s="375" t="s">
        <v>1017</v>
      </c>
      <c r="J51" s="1136">
        <v>16</v>
      </c>
      <c r="K51" s="1131">
        <v>0.75</v>
      </c>
      <c r="L51" s="1148" t="s">
        <v>22</v>
      </c>
      <c r="M51" s="1139">
        <v>38681</v>
      </c>
      <c r="N51" s="1130">
        <v>40083</v>
      </c>
      <c r="O51" s="1135" t="s">
        <v>22</v>
      </c>
      <c r="P51" s="1149">
        <v>2009</v>
      </c>
      <c r="Q51" s="1141">
        <v>496900</v>
      </c>
      <c r="R51" s="1150">
        <v>2040217206</v>
      </c>
      <c r="S51" s="1150" t="s">
        <v>151</v>
      </c>
      <c r="T51" s="1142" t="s">
        <v>140</v>
      </c>
      <c r="U51" s="1143" t="s">
        <v>140</v>
      </c>
      <c r="V51" s="1144">
        <v>1</v>
      </c>
      <c r="W51" s="1141">
        <v>2040217206</v>
      </c>
      <c r="X51" s="1145">
        <v>4106</v>
      </c>
      <c r="Y51" s="1145">
        <v>4105.8900000000003</v>
      </c>
      <c r="Z51" s="1146">
        <v>2.679078104850241E-5</v>
      </c>
      <c r="AA51" s="1147">
        <v>3080</v>
      </c>
      <c r="AB51" s="1135">
        <v>80</v>
      </c>
      <c r="AC51" s="1135">
        <v>10</v>
      </c>
      <c r="AD51" s="1134">
        <v>16</v>
      </c>
      <c r="AE51" s="1135">
        <v>81</v>
      </c>
      <c r="AF51" s="1135">
        <v>10</v>
      </c>
      <c r="AG51" s="1134">
        <v>15</v>
      </c>
      <c r="AH51" s="1135">
        <v>81</v>
      </c>
      <c r="AI51" s="1135">
        <v>10</v>
      </c>
      <c r="AJ51" s="1134">
        <v>22</v>
      </c>
      <c r="AK51" s="1134" t="s">
        <v>129</v>
      </c>
      <c r="AL51" s="1401" t="s">
        <v>22</v>
      </c>
    </row>
    <row r="52" spans="1:38" s="374" customFormat="1" ht="65.099999999999994" customHeight="1">
      <c r="A52" s="1133" t="s">
        <v>1009</v>
      </c>
      <c r="B52" s="1133" t="s">
        <v>1016</v>
      </c>
      <c r="C52" s="386" t="s">
        <v>154</v>
      </c>
      <c r="D52" s="1135" t="s">
        <v>22</v>
      </c>
      <c r="E52" s="1135" t="s">
        <v>22</v>
      </c>
      <c r="F52" s="1135" t="s">
        <v>22</v>
      </c>
      <c r="G52" s="1134" t="s">
        <v>22</v>
      </c>
      <c r="H52" s="375" t="s">
        <v>155</v>
      </c>
      <c r="I52" s="375" t="s">
        <v>1018</v>
      </c>
      <c r="J52" s="1136">
        <v>22</v>
      </c>
      <c r="K52" s="1131">
        <v>0.9</v>
      </c>
      <c r="L52" s="1148" t="s">
        <v>22</v>
      </c>
      <c r="M52" s="1139">
        <v>39770</v>
      </c>
      <c r="N52" s="1130">
        <v>40711</v>
      </c>
      <c r="O52" s="1135" t="s">
        <v>22</v>
      </c>
      <c r="P52" s="1149">
        <v>2011</v>
      </c>
      <c r="Q52" s="1141">
        <v>535600</v>
      </c>
      <c r="R52" s="1150">
        <v>2159192501</v>
      </c>
      <c r="S52" s="1150" t="s">
        <v>151</v>
      </c>
      <c r="T52" s="1142" t="s">
        <v>140</v>
      </c>
      <c r="U52" s="1143" t="s">
        <v>140</v>
      </c>
      <c r="V52" s="1144">
        <v>1</v>
      </c>
      <c r="W52" s="1141">
        <v>2159192501</v>
      </c>
      <c r="X52" s="1145">
        <v>4031</v>
      </c>
      <c r="Y52" s="1145">
        <v>4031.35</v>
      </c>
      <c r="Z52" s="1146">
        <v>8.6819551763039904E-5</v>
      </c>
      <c r="AA52" s="1147">
        <v>3628</v>
      </c>
      <c r="AB52" s="1135">
        <v>80</v>
      </c>
      <c r="AC52" s="1135">
        <v>10</v>
      </c>
      <c r="AD52" s="1134">
        <v>16</v>
      </c>
      <c r="AE52" s="1135">
        <v>81</v>
      </c>
      <c r="AF52" s="1135">
        <v>10</v>
      </c>
      <c r="AG52" s="1134">
        <v>15</v>
      </c>
      <c r="AH52" s="1135">
        <v>81</v>
      </c>
      <c r="AI52" s="1135">
        <v>10</v>
      </c>
      <c r="AJ52" s="1134">
        <v>22</v>
      </c>
      <c r="AK52" s="1134" t="s">
        <v>129</v>
      </c>
      <c r="AL52" s="1401" t="s">
        <v>22</v>
      </c>
    </row>
    <row r="53" spans="1:38" s="374" customFormat="1" ht="65.099999999999994" customHeight="1">
      <c r="A53" s="1133" t="s">
        <v>1009</v>
      </c>
      <c r="B53" s="1133" t="s">
        <v>1016</v>
      </c>
      <c r="C53" s="386" t="s">
        <v>154</v>
      </c>
      <c r="D53" s="1135" t="s">
        <v>22</v>
      </c>
      <c r="E53" s="1135" t="s">
        <v>22</v>
      </c>
      <c r="F53" s="1135" t="s">
        <v>22</v>
      </c>
      <c r="G53" s="1134" t="s">
        <v>22</v>
      </c>
      <c r="H53" s="375" t="s">
        <v>155</v>
      </c>
      <c r="I53" s="375" t="s">
        <v>1019</v>
      </c>
      <c r="J53" s="1136">
        <v>15</v>
      </c>
      <c r="K53" s="1131">
        <v>1</v>
      </c>
      <c r="L53" s="1148" t="s">
        <v>22</v>
      </c>
      <c r="M53" s="1139">
        <v>37995</v>
      </c>
      <c r="N53" s="1130">
        <v>38883</v>
      </c>
      <c r="O53" s="1135" t="s">
        <v>22</v>
      </c>
      <c r="P53" s="1149">
        <v>2006</v>
      </c>
      <c r="Q53" s="1141">
        <v>408000</v>
      </c>
      <c r="R53" s="1150">
        <v>1167976336</v>
      </c>
      <c r="S53" s="1150" t="s">
        <v>151</v>
      </c>
      <c r="T53" s="1142" t="s">
        <v>140</v>
      </c>
      <c r="U53" s="1143" t="s">
        <v>140</v>
      </c>
      <c r="V53" s="1144">
        <v>1</v>
      </c>
      <c r="W53" s="1141">
        <v>1167976336</v>
      </c>
      <c r="X53" s="1145">
        <v>2863</v>
      </c>
      <c r="Y53" s="1145">
        <v>2862.69</v>
      </c>
      <c r="Z53" s="1146">
        <v>1.0828975543986097E-4</v>
      </c>
      <c r="AA53" s="1147">
        <v>2863</v>
      </c>
      <c r="AB53" s="1135">
        <v>80</v>
      </c>
      <c r="AC53" s="1135">
        <v>10</v>
      </c>
      <c r="AD53" s="1134">
        <v>16</v>
      </c>
      <c r="AE53" s="1135">
        <v>81</v>
      </c>
      <c r="AF53" s="1135">
        <v>10</v>
      </c>
      <c r="AG53" s="1134">
        <v>15</v>
      </c>
      <c r="AH53" s="1135">
        <v>81</v>
      </c>
      <c r="AI53" s="1135">
        <v>10</v>
      </c>
      <c r="AJ53" s="1134">
        <v>22</v>
      </c>
      <c r="AK53" s="1134" t="s">
        <v>129</v>
      </c>
      <c r="AL53" s="1401" t="s">
        <v>22</v>
      </c>
    </row>
    <row r="54" spans="1:38" s="384" customFormat="1" ht="78" customHeight="1">
      <c r="A54" s="1133" t="s">
        <v>1009</v>
      </c>
      <c r="B54" s="1133" t="s">
        <v>1016</v>
      </c>
      <c r="C54" s="386" t="s">
        <v>154</v>
      </c>
      <c r="D54" s="1135" t="s">
        <v>22</v>
      </c>
      <c r="E54" s="1135" t="s">
        <v>22</v>
      </c>
      <c r="F54" s="1135" t="s">
        <v>22</v>
      </c>
      <c r="G54" s="1134" t="s">
        <v>22</v>
      </c>
      <c r="H54" s="375" t="s">
        <v>155</v>
      </c>
      <c r="I54" s="375" t="s">
        <v>1020</v>
      </c>
      <c r="J54" s="1136">
        <v>26</v>
      </c>
      <c r="K54" s="1131">
        <v>1</v>
      </c>
      <c r="L54" s="1148" t="s">
        <v>22</v>
      </c>
      <c r="M54" s="1139">
        <v>39847</v>
      </c>
      <c r="N54" s="1130">
        <v>40286</v>
      </c>
      <c r="O54" s="1135" t="s">
        <v>22</v>
      </c>
      <c r="P54" s="1149">
        <v>2010</v>
      </c>
      <c r="Q54" s="1141">
        <v>515000</v>
      </c>
      <c r="R54" s="1150">
        <v>874532190</v>
      </c>
      <c r="S54" s="1150" t="s">
        <v>151</v>
      </c>
      <c r="T54" s="1142" t="s">
        <v>140</v>
      </c>
      <c r="U54" s="1143" t="s">
        <v>140</v>
      </c>
      <c r="V54" s="1144">
        <v>1</v>
      </c>
      <c r="W54" s="1141">
        <v>874532190</v>
      </c>
      <c r="X54" s="1145">
        <v>1698</v>
      </c>
      <c r="Y54" s="1145">
        <v>1698.12</v>
      </c>
      <c r="Z54" s="1146">
        <v>7.0666384001105698E-5</v>
      </c>
      <c r="AA54" s="1147">
        <v>1698</v>
      </c>
      <c r="AB54" s="1154">
        <v>80</v>
      </c>
      <c r="AC54" s="1154">
        <v>10</v>
      </c>
      <c r="AD54" s="1155">
        <v>16</v>
      </c>
      <c r="AE54" s="1154">
        <v>81</v>
      </c>
      <c r="AF54" s="1154">
        <v>10</v>
      </c>
      <c r="AG54" s="1155">
        <v>15</v>
      </c>
      <c r="AH54" s="1135">
        <v>81</v>
      </c>
      <c r="AI54" s="1135">
        <v>10</v>
      </c>
      <c r="AJ54" s="1134">
        <v>22</v>
      </c>
      <c r="AK54" s="1134" t="s">
        <v>129</v>
      </c>
      <c r="AL54" s="1401" t="s">
        <v>22</v>
      </c>
    </row>
    <row r="55" spans="1:38" s="384" customFormat="1" ht="51.95" customHeight="1">
      <c r="A55" s="1133" t="s">
        <v>1021</v>
      </c>
      <c r="B55" s="1133" t="s">
        <v>1022</v>
      </c>
      <c r="C55" s="386" t="s">
        <v>1023</v>
      </c>
      <c r="D55" s="1135" t="s">
        <v>22</v>
      </c>
      <c r="E55" s="1135" t="s">
        <v>22</v>
      </c>
      <c r="F55" s="1135" t="s">
        <v>22</v>
      </c>
      <c r="G55" s="1134" t="s">
        <v>22</v>
      </c>
      <c r="H55" s="375" t="s">
        <v>949</v>
      </c>
      <c r="I55" s="375" t="s">
        <v>1024</v>
      </c>
      <c r="J55" s="1136">
        <v>12</v>
      </c>
      <c r="K55" s="1131">
        <v>0.5</v>
      </c>
      <c r="L55" s="1148" t="s">
        <v>22</v>
      </c>
      <c r="M55" s="1139">
        <v>37271</v>
      </c>
      <c r="N55" s="1130">
        <v>38507</v>
      </c>
      <c r="O55" s="1135" t="s">
        <v>22</v>
      </c>
      <c r="P55" s="1149">
        <v>2005</v>
      </c>
      <c r="Q55" s="1141">
        <v>381500</v>
      </c>
      <c r="R55" s="1150">
        <v>2372844012.1999998</v>
      </c>
      <c r="S55" s="1150" t="s">
        <v>151</v>
      </c>
      <c r="T55" s="1142" t="s">
        <v>140</v>
      </c>
      <c r="U55" s="1143" t="s">
        <v>140</v>
      </c>
      <c r="V55" s="1144">
        <v>1</v>
      </c>
      <c r="W55" s="1141">
        <v>2372844012.1999998</v>
      </c>
      <c r="X55" s="1145">
        <v>6220</v>
      </c>
      <c r="Y55" s="1145">
        <v>6219.77</v>
      </c>
      <c r="Z55" s="1146">
        <v>3.6978859346836757E-5</v>
      </c>
      <c r="AA55" s="1147">
        <v>3110</v>
      </c>
      <c r="AB55" s="1135"/>
      <c r="AC55" s="1135"/>
      <c r="AD55" s="1134"/>
      <c r="AE55" s="1135">
        <v>81</v>
      </c>
      <c r="AF55" s="1135">
        <v>10</v>
      </c>
      <c r="AG55" s="1134">
        <v>15</v>
      </c>
      <c r="AH55" s="1135">
        <v>81</v>
      </c>
      <c r="AI55" s="1135">
        <v>10</v>
      </c>
      <c r="AJ55" s="1134">
        <v>22</v>
      </c>
      <c r="AK55" s="1134" t="s">
        <v>129</v>
      </c>
      <c r="AL55" s="1401" t="s">
        <v>22</v>
      </c>
    </row>
    <row r="56" spans="1:38" s="384" customFormat="1" ht="78" customHeight="1">
      <c r="A56" s="1133" t="s">
        <v>1021</v>
      </c>
      <c r="B56" s="1133" t="s">
        <v>1022</v>
      </c>
      <c r="C56" s="386" t="s">
        <v>1023</v>
      </c>
      <c r="D56" s="1135" t="s">
        <v>22</v>
      </c>
      <c r="E56" s="1135" t="s">
        <v>22</v>
      </c>
      <c r="F56" s="1135" t="s">
        <v>22</v>
      </c>
      <c r="G56" s="1134" t="s">
        <v>22</v>
      </c>
      <c r="H56" s="375" t="s">
        <v>448</v>
      </c>
      <c r="I56" s="375" t="s">
        <v>1025</v>
      </c>
      <c r="J56" s="1136">
        <v>27</v>
      </c>
      <c r="K56" s="1131">
        <v>0.4</v>
      </c>
      <c r="L56" s="1148" t="s">
        <v>22</v>
      </c>
      <c r="M56" s="1139">
        <v>35859</v>
      </c>
      <c r="N56" s="1130">
        <v>36345</v>
      </c>
      <c r="O56" s="1135" t="s">
        <v>22</v>
      </c>
      <c r="P56" s="1149">
        <v>1999</v>
      </c>
      <c r="Q56" s="1141">
        <v>236460</v>
      </c>
      <c r="R56" s="1150">
        <v>1881895787</v>
      </c>
      <c r="S56" s="1150" t="s">
        <v>151</v>
      </c>
      <c r="T56" s="1142" t="s">
        <v>140</v>
      </c>
      <c r="U56" s="1143" t="s">
        <v>140</v>
      </c>
      <c r="V56" s="1144">
        <v>1</v>
      </c>
      <c r="W56" s="1141">
        <v>1881895787</v>
      </c>
      <c r="X56" s="1145">
        <v>7959</v>
      </c>
      <c r="Y56" s="1145">
        <v>7958.62</v>
      </c>
      <c r="Z56" s="1146">
        <v>4.7746971208573186E-5</v>
      </c>
      <c r="AA56" s="1147">
        <v>3184</v>
      </c>
      <c r="AB56" s="1135"/>
      <c r="AC56" s="1135"/>
      <c r="AD56" s="1134"/>
      <c r="AE56" s="1135">
        <v>81</v>
      </c>
      <c r="AF56" s="1135">
        <v>10</v>
      </c>
      <c r="AG56" s="1134">
        <v>15</v>
      </c>
      <c r="AH56" s="1135">
        <v>81</v>
      </c>
      <c r="AI56" s="1135">
        <v>10</v>
      </c>
      <c r="AJ56" s="1134">
        <v>22</v>
      </c>
      <c r="AK56" s="1134" t="s">
        <v>129</v>
      </c>
      <c r="AL56" s="1401" t="s">
        <v>22</v>
      </c>
    </row>
    <row r="57" spans="1:38" s="384" customFormat="1" ht="51.95" customHeight="1">
      <c r="A57" s="1133" t="s">
        <v>1021</v>
      </c>
      <c r="B57" s="1133" t="s">
        <v>1022</v>
      </c>
      <c r="C57" s="386" t="s">
        <v>1023</v>
      </c>
      <c r="D57" s="1135" t="s">
        <v>22</v>
      </c>
      <c r="E57" s="1135" t="s">
        <v>22</v>
      </c>
      <c r="F57" s="1135" t="s">
        <v>22</v>
      </c>
      <c r="G57" s="1134" t="s">
        <v>22</v>
      </c>
      <c r="H57" s="375" t="s">
        <v>448</v>
      </c>
      <c r="I57" s="375" t="s">
        <v>1026</v>
      </c>
      <c r="J57" s="1136">
        <v>34</v>
      </c>
      <c r="K57" s="1131">
        <v>1</v>
      </c>
      <c r="L57" s="1148" t="s">
        <v>22</v>
      </c>
      <c r="M57" s="1139">
        <v>39133</v>
      </c>
      <c r="N57" s="1130">
        <v>39636</v>
      </c>
      <c r="O57" s="1135" t="s">
        <v>22</v>
      </c>
      <c r="P57" s="1149">
        <v>2008</v>
      </c>
      <c r="Q57" s="1141">
        <v>461500</v>
      </c>
      <c r="R57" s="1150">
        <v>1330028412</v>
      </c>
      <c r="S57" s="1150" t="s">
        <v>151</v>
      </c>
      <c r="T57" s="1142" t="s">
        <v>140</v>
      </c>
      <c r="U57" s="1143" t="s">
        <v>140</v>
      </c>
      <c r="V57" s="1144">
        <v>1</v>
      </c>
      <c r="W57" s="1141">
        <v>1330028412</v>
      </c>
      <c r="X57" s="1145">
        <v>2882</v>
      </c>
      <c r="Y57" s="1145">
        <v>2881.97</v>
      </c>
      <c r="Z57" s="1146">
        <v>1.0409546247869272E-5</v>
      </c>
      <c r="AA57" s="1147">
        <v>2882</v>
      </c>
      <c r="AB57" s="1135"/>
      <c r="AC57" s="1135"/>
      <c r="AD57" s="1134"/>
      <c r="AE57" s="1135">
        <v>81</v>
      </c>
      <c r="AF57" s="1135">
        <v>10</v>
      </c>
      <c r="AG57" s="1134">
        <v>15</v>
      </c>
      <c r="AH57" s="1135">
        <v>81</v>
      </c>
      <c r="AI57" s="1135">
        <v>10</v>
      </c>
      <c r="AJ57" s="1134">
        <v>22</v>
      </c>
      <c r="AK57" s="1134" t="s">
        <v>129</v>
      </c>
      <c r="AL57" s="1401" t="s">
        <v>22</v>
      </c>
    </row>
    <row r="58" spans="1:38" s="384" customFormat="1" ht="78" customHeight="1">
      <c r="A58" s="1133" t="s">
        <v>1021</v>
      </c>
      <c r="B58" s="1133" t="s">
        <v>1022</v>
      </c>
      <c r="C58" s="386" t="s">
        <v>1023</v>
      </c>
      <c r="D58" s="1135" t="s">
        <v>22</v>
      </c>
      <c r="E58" s="1135" t="s">
        <v>22</v>
      </c>
      <c r="F58" s="1135" t="s">
        <v>22</v>
      </c>
      <c r="G58" s="1134" t="s">
        <v>22</v>
      </c>
      <c r="H58" s="375" t="s">
        <v>949</v>
      </c>
      <c r="I58" s="375" t="s">
        <v>1027</v>
      </c>
      <c r="J58" s="1136">
        <v>14</v>
      </c>
      <c r="K58" s="1131">
        <v>0.5</v>
      </c>
      <c r="L58" s="1148" t="s">
        <v>22</v>
      </c>
      <c r="M58" s="1139">
        <v>36950</v>
      </c>
      <c r="N58" s="1130">
        <v>37361</v>
      </c>
      <c r="O58" s="1135" t="s">
        <v>22</v>
      </c>
      <c r="P58" s="1149">
        <v>2002</v>
      </c>
      <c r="Q58" s="1141">
        <v>309000</v>
      </c>
      <c r="R58" s="1150">
        <v>1079573956</v>
      </c>
      <c r="S58" s="1150" t="s">
        <v>151</v>
      </c>
      <c r="T58" s="1142" t="s">
        <v>140</v>
      </c>
      <c r="U58" s="1143" t="s">
        <v>140</v>
      </c>
      <c r="V58" s="1144">
        <v>1</v>
      </c>
      <c r="W58" s="1141">
        <v>1079573956</v>
      </c>
      <c r="X58" s="1145">
        <v>3494</v>
      </c>
      <c r="Y58" s="1145">
        <v>3493.77</v>
      </c>
      <c r="Z58" s="1146">
        <v>6.5831465723364957E-5</v>
      </c>
      <c r="AA58" s="1147">
        <v>1747</v>
      </c>
      <c r="AB58" s="1135"/>
      <c r="AC58" s="1135"/>
      <c r="AD58" s="1134"/>
      <c r="AE58" s="1135">
        <v>81</v>
      </c>
      <c r="AF58" s="1135">
        <v>10</v>
      </c>
      <c r="AG58" s="1134">
        <v>15</v>
      </c>
      <c r="AH58" s="1135">
        <v>81</v>
      </c>
      <c r="AI58" s="1135">
        <v>10</v>
      </c>
      <c r="AJ58" s="1134">
        <v>22</v>
      </c>
      <c r="AK58" s="1134" t="s">
        <v>129</v>
      </c>
      <c r="AL58" s="1401" t="s">
        <v>22</v>
      </c>
    </row>
    <row r="59" spans="1:38" s="384" customFormat="1" ht="78" customHeight="1">
      <c r="A59" s="1133" t="s">
        <v>1021</v>
      </c>
      <c r="B59" s="1133" t="s">
        <v>1022</v>
      </c>
      <c r="C59" s="386" t="s">
        <v>1023</v>
      </c>
      <c r="D59" s="1135" t="s">
        <v>22</v>
      </c>
      <c r="E59" s="1135" t="s">
        <v>22</v>
      </c>
      <c r="F59" s="1135" t="s">
        <v>22</v>
      </c>
      <c r="G59" s="1134" t="s">
        <v>22</v>
      </c>
      <c r="H59" s="375" t="s">
        <v>949</v>
      </c>
      <c r="I59" s="375" t="s">
        <v>1028</v>
      </c>
      <c r="J59" s="1136" t="s">
        <v>903</v>
      </c>
      <c r="K59" s="1131">
        <v>0.37</v>
      </c>
      <c r="L59" s="1148" t="s">
        <v>22</v>
      </c>
      <c r="M59" s="1139">
        <v>41257</v>
      </c>
      <c r="N59" s="1130">
        <v>42143</v>
      </c>
      <c r="O59" s="1135" t="s">
        <v>22</v>
      </c>
      <c r="P59" s="1149">
        <v>2015</v>
      </c>
      <c r="Q59" s="1141">
        <v>644350</v>
      </c>
      <c r="R59" s="1150">
        <v>3552485674.1999998</v>
      </c>
      <c r="S59" s="1150" t="s">
        <v>151</v>
      </c>
      <c r="T59" s="1142" t="s">
        <v>140</v>
      </c>
      <c r="U59" s="1143" t="s">
        <v>140</v>
      </c>
      <c r="V59" s="1144">
        <v>1</v>
      </c>
      <c r="W59" s="1141">
        <v>3552485674.1999998</v>
      </c>
      <c r="X59" s="1145">
        <v>5513</v>
      </c>
      <c r="Y59" s="1145"/>
      <c r="Z59" s="1146" t="s">
        <v>140</v>
      </c>
      <c r="AA59" s="1147">
        <v>2040</v>
      </c>
      <c r="AB59" s="1135"/>
      <c r="AC59" s="1135"/>
      <c r="AD59" s="1134"/>
      <c r="AE59" s="1135"/>
      <c r="AF59" s="1135"/>
      <c r="AG59" s="1134"/>
      <c r="AH59" s="1135"/>
      <c r="AI59" s="1135"/>
      <c r="AJ59" s="1134"/>
      <c r="AK59" s="1134" t="s">
        <v>22</v>
      </c>
      <c r="AL59" s="1401" t="s">
        <v>22</v>
      </c>
    </row>
    <row r="60" spans="1:38" s="374" customFormat="1" ht="57">
      <c r="A60" s="1133" t="s">
        <v>1021</v>
      </c>
      <c r="B60" s="1133" t="s">
        <v>1029</v>
      </c>
      <c r="C60" s="1134" t="s">
        <v>1030</v>
      </c>
      <c r="D60" s="1135" t="s">
        <v>22</v>
      </c>
      <c r="E60" s="1135" t="s">
        <v>22</v>
      </c>
      <c r="F60" s="1135" t="s">
        <v>22</v>
      </c>
      <c r="G60" s="1134" t="s">
        <v>22</v>
      </c>
      <c r="H60" s="375" t="s">
        <v>517</v>
      </c>
      <c r="I60" s="375" t="s">
        <v>1031</v>
      </c>
      <c r="J60" s="1136">
        <v>31</v>
      </c>
      <c r="K60" s="1131">
        <v>0.75</v>
      </c>
      <c r="L60" s="1148" t="s">
        <v>22</v>
      </c>
      <c r="M60" s="1139">
        <v>39521</v>
      </c>
      <c r="N60" s="1130">
        <v>40999</v>
      </c>
      <c r="O60" s="1135" t="s">
        <v>22</v>
      </c>
      <c r="P60" s="1149">
        <v>2012</v>
      </c>
      <c r="Q60" s="1141">
        <v>566700</v>
      </c>
      <c r="R60" s="1150">
        <v>7072964150</v>
      </c>
      <c r="S60" s="1150" t="s">
        <v>151</v>
      </c>
      <c r="T60" s="1142" t="s">
        <v>140</v>
      </c>
      <c r="U60" s="1143" t="s">
        <v>140</v>
      </c>
      <c r="V60" s="1144">
        <v>1</v>
      </c>
      <c r="W60" s="1141">
        <v>7072964150</v>
      </c>
      <c r="X60" s="1145">
        <v>12481</v>
      </c>
      <c r="Y60" s="1145">
        <v>12480.97</v>
      </c>
      <c r="Z60" s="1146">
        <v>2.4036593309073595E-6</v>
      </c>
      <c r="AA60" s="1147">
        <v>9361</v>
      </c>
      <c r="AB60" s="1417"/>
      <c r="AC60" s="1152"/>
      <c r="AD60" s="1153"/>
      <c r="AE60" s="1135">
        <v>81</v>
      </c>
      <c r="AF60" s="1135">
        <v>10</v>
      </c>
      <c r="AG60" s="1134">
        <v>15</v>
      </c>
      <c r="AH60" s="1135">
        <v>81</v>
      </c>
      <c r="AI60" s="1135">
        <v>10</v>
      </c>
      <c r="AJ60" s="1134">
        <v>22</v>
      </c>
      <c r="AK60" s="1134" t="s">
        <v>129</v>
      </c>
      <c r="AL60" s="1401" t="s">
        <v>22</v>
      </c>
    </row>
    <row r="61" spans="1:38" s="374" customFormat="1" ht="78" customHeight="1">
      <c r="A61" s="1133" t="s">
        <v>1032</v>
      </c>
      <c r="B61" s="1133" t="s">
        <v>1033</v>
      </c>
      <c r="C61" s="1134" t="s">
        <v>1034</v>
      </c>
      <c r="D61" s="1135" t="s">
        <v>22</v>
      </c>
      <c r="E61" s="1135" t="s">
        <v>22</v>
      </c>
      <c r="F61" s="1135" t="s">
        <v>22</v>
      </c>
      <c r="G61" s="1134" t="s">
        <v>22</v>
      </c>
      <c r="H61" s="375" t="s">
        <v>1035</v>
      </c>
      <c r="I61" s="375" t="s">
        <v>1036</v>
      </c>
      <c r="J61" s="1136">
        <v>2</v>
      </c>
      <c r="K61" s="1131">
        <v>1</v>
      </c>
      <c r="L61" s="1148" t="s">
        <v>22</v>
      </c>
      <c r="M61" s="1139">
        <v>34335</v>
      </c>
      <c r="N61" s="1130">
        <v>34608</v>
      </c>
      <c r="O61" s="1135" t="s">
        <v>22</v>
      </c>
      <c r="P61" s="1149">
        <v>1994</v>
      </c>
      <c r="Q61" s="1141">
        <v>98700</v>
      </c>
      <c r="R61" s="1150">
        <v>320063303</v>
      </c>
      <c r="S61" s="1150" t="s">
        <v>151</v>
      </c>
      <c r="T61" s="1142" t="s">
        <v>140</v>
      </c>
      <c r="U61" s="1143" t="s">
        <v>140</v>
      </c>
      <c r="V61" s="1144">
        <v>1</v>
      </c>
      <c r="W61" s="1141">
        <v>320063303</v>
      </c>
      <c r="X61" s="1145">
        <v>3243</v>
      </c>
      <c r="Y61" s="1145">
        <v>3242.79</v>
      </c>
      <c r="Z61" s="1146">
        <v>6.4759050077300984E-5</v>
      </c>
      <c r="AA61" s="1147">
        <v>3243</v>
      </c>
      <c r="AB61" s="1135">
        <v>80</v>
      </c>
      <c r="AC61" s="1135">
        <v>10</v>
      </c>
      <c r="AD61" s="1134">
        <v>16</v>
      </c>
      <c r="AE61" s="1135">
        <v>81</v>
      </c>
      <c r="AF61" s="1135">
        <v>10</v>
      </c>
      <c r="AG61" s="1134">
        <v>15</v>
      </c>
      <c r="AH61" s="1135"/>
      <c r="AI61" s="1135"/>
      <c r="AJ61" s="1134"/>
      <c r="AK61" s="1134" t="s">
        <v>129</v>
      </c>
      <c r="AL61" s="1401" t="s">
        <v>22</v>
      </c>
    </row>
    <row r="62" spans="1:38" s="374" customFormat="1" ht="78" customHeight="1">
      <c r="A62" s="1133" t="s">
        <v>1032</v>
      </c>
      <c r="B62" s="1133" t="s">
        <v>1033</v>
      </c>
      <c r="C62" s="1134" t="s">
        <v>1034</v>
      </c>
      <c r="D62" s="1135" t="s">
        <v>22</v>
      </c>
      <c r="E62" s="1135" t="s">
        <v>22</v>
      </c>
      <c r="F62" s="1135" t="s">
        <v>22</v>
      </c>
      <c r="G62" s="1134" t="s">
        <v>22</v>
      </c>
      <c r="H62" s="375" t="s">
        <v>1035</v>
      </c>
      <c r="I62" s="375" t="s">
        <v>1037</v>
      </c>
      <c r="J62" s="1136">
        <v>1</v>
      </c>
      <c r="K62" s="1131">
        <v>1</v>
      </c>
      <c r="L62" s="1148" t="s">
        <v>22</v>
      </c>
      <c r="M62" s="1139">
        <v>34743</v>
      </c>
      <c r="N62" s="1130">
        <v>35291</v>
      </c>
      <c r="O62" s="1135" t="s">
        <v>22</v>
      </c>
      <c r="P62" s="1149">
        <v>1996</v>
      </c>
      <c r="Q62" s="1141">
        <v>142125</v>
      </c>
      <c r="R62" s="1150">
        <v>602820317.29999995</v>
      </c>
      <c r="S62" s="1150" t="s">
        <v>151</v>
      </c>
      <c r="T62" s="1142" t="s">
        <v>140</v>
      </c>
      <c r="U62" s="1143" t="s">
        <v>140</v>
      </c>
      <c r="V62" s="1144">
        <v>1</v>
      </c>
      <c r="W62" s="1141">
        <v>602820317.29999995</v>
      </c>
      <c r="X62" s="1145">
        <v>4241</v>
      </c>
      <c r="Y62" s="1145">
        <v>4241.4799999999996</v>
      </c>
      <c r="Z62" s="1146">
        <v>1.1316804511618539E-4</v>
      </c>
      <c r="AA62" s="1147">
        <v>4241</v>
      </c>
      <c r="AB62" s="1135">
        <v>80</v>
      </c>
      <c r="AC62" s="1135">
        <v>10</v>
      </c>
      <c r="AD62" s="1134">
        <v>16</v>
      </c>
      <c r="AE62" s="1135">
        <v>81</v>
      </c>
      <c r="AF62" s="1135">
        <v>10</v>
      </c>
      <c r="AG62" s="1134">
        <v>15</v>
      </c>
      <c r="AH62" s="1135"/>
      <c r="AI62" s="1135"/>
      <c r="AJ62" s="1134"/>
      <c r="AK62" s="1134" t="s">
        <v>129</v>
      </c>
      <c r="AL62" s="1401" t="s">
        <v>22</v>
      </c>
    </row>
    <row r="63" spans="1:38" s="374" customFormat="1" ht="85.5">
      <c r="A63" s="1133" t="s">
        <v>1032</v>
      </c>
      <c r="B63" s="1133" t="s">
        <v>1033</v>
      </c>
      <c r="C63" s="1134" t="s">
        <v>1034</v>
      </c>
      <c r="D63" s="1135" t="s">
        <v>22</v>
      </c>
      <c r="E63" s="1135" t="s">
        <v>22</v>
      </c>
      <c r="F63" s="1135" t="s">
        <v>22</v>
      </c>
      <c r="G63" s="1134" t="s">
        <v>22</v>
      </c>
      <c r="H63" s="375" t="s">
        <v>1038</v>
      </c>
      <c r="I63" s="375" t="s">
        <v>1039</v>
      </c>
      <c r="J63" s="1136">
        <v>11</v>
      </c>
      <c r="K63" s="1131">
        <v>0.5</v>
      </c>
      <c r="L63" s="1148" t="s">
        <v>22</v>
      </c>
      <c r="M63" s="1139">
        <v>38338</v>
      </c>
      <c r="N63" s="1130">
        <v>40296</v>
      </c>
      <c r="O63" s="1135" t="s">
        <v>22</v>
      </c>
      <c r="P63" s="1149">
        <v>2010</v>
      </c>
      <c r="Q63" s="1141">
        <v>515000</v>
      </c>
      <c r="R63" s="1150">
        <v>5611007439</v>
      </c>
      <c r="S63" s="1150" t="s">
        <v>151</v>
      </c>
      <c r="T63" s="1142" t="s">
        <v>140</v>
      </c>
      <c r="U63" s="1143" t="s">
        <v>140</v>
      </c>
      <c r="V63" s="1144">
        <v>1</v>
      </c>
      <c r="W63" s="1141">
        <v>5611007439</v>
      </c>
      <c r="X63" s="1145">
        <v>10895</v>
      </c>
      <c r="Y63" s="1145">
        <v>10895.16</v>
      </c>
      <c r="Z63" s="1146">
        <v>1.4685419947979561E-5</v>
      </c>
      <c r="AA63" s="1147">
        <v>5448</v>
      </c>
      <c r="AB63" s="1154">
        <v>80</v>
      </c>
      <c r="AC63" s="1154">
        <v>10</v>
      </c>
      <c r="AD63" s="1155">
        <v>16</v>
      </c>
      <c r="AE63" s="1154">
        <v>81</v>
      </c>
      <c r="AF63" s="1154">
        <v>10</v>
      </c>
      <c r="AG63" s="1155">
        <v>15</v>
      </c>
      <c r="AH63" s="1135"/>
      <c r="AI63" s="1135"/>
      <c r="AJ63" s="1134"/>
      <c r="AK63" s="1134" t="s">
        <v>129</v>
      </c>
      <c r="AL63" s="1401" t="s">
        <v>22</v>
      </c>
    </row>
    <row r="64" spans="1:38" s="374" customFormat="1" ht="71.25">
      <c r="A64" s="1133" t="s">
        <v>1032</v>
      </c>
      <c r="B64" s="1133" t="s">
        <v>1040</v>
      </c>
      <c r="C64" s="386" t="s">
        <v>1041</v>
      </c>
      <c r="D64" s="1135" t="s">
        <v>22</v>
      </c>
      <c r="E64" s="1135" t="s">
        <v>22</v>
      </c>
      <c r="F64" s="1135" t="s">
        <v>22</v>
      </c>
      <c r="G64" s="1134" t="s">
        <v>22</v>
      </c>
      <c r="H64" s="375" t="s">
        <v>1042</v>
      </c>
      <c r="I64" s="992" t="s">
        <v>1043</v>
      </c>
      <c r="J64" s="1136" t="s">
        <v>903</v>
      </c>
      <c r="K64" s="1131">
        <v>0.95</v>
      </c>
      <c r="L64" s="1148" t="s">
        <v>22</v>
      </c>
      <c r="M64" s="1159">
        <v>41815</v>
      </c>
      <c r="N64" s="1160">
        <v>42240</v>
      </c>
      <c r="O64" s="1135" t="s">
        <v>22</v>
      </c>
      <c r="P64" s="1149">
        <v>2015</v>
      </c>
      <c r="Q64" s="1141">
        <v>644350</v>
      </c>
      <c r="R64" s="1151">
        <v>8585159768</v>
      </c>
      <c r="S64" s="1161" t="s">
        <v>151</v>
      </c>
      <c r="T64" s="1142" t="s">
        <v>140</v>
      </c>
      <c r="U64" s="1143" t="s">
        <v>140</v>
      </c>
      <c r="V64" s="1144">
        <v>1</v>
      </c>
      <c r="W64" s="1141">
        <v>8585159768</v>
      </c>
      <c r="X64" s="1145">
        <v>13324</v>
      </c>
      <c r="Y64" s="1151"/>
      <c r="Z64" s="1146" t="s">
        <v>140</v>
      </c>
      <c r="AA64" s="1147">
        <v>12658</v>
      </c>
      <c r="AB64" s="1417"/>
      <c r="AC64" s="1152"/>
      <c r="AD64" s="1153"/>
      <c r="AE64" s="1417"/>
      <c r="AF64" s="1152"/>
      <c r="AG64" s="1153"/>
      <c r="AH64" s="1417"/>
      <c r="AI64" s="1152"/>
      <c r="AJ64" s="1153"/>
      <c r="AK64" s="1162" t="s">
        <v>22</v>
      </c>
      <c r="AL64" s="1401" t="s">
        <v>22</v>
      </c>
    </row>
    <row r="65" spans="1:38" s="374" customFormat="1" ht="39" customHeight="1">
      <c r="A65" s="1133" t="s">
        <v>1044</v>
      </c>
      <c r="B65" s="1133" t="s">
        <v>1045</v>
      </c>
      <c r="C65" s="386" t="s">
        <v>1046</v>
      </c>
      <c r="D65" s="1135" t="s">
        <v>129</v>
      </c>
      <c r="E65" s="1135" t="s">
        <v>22</v>
      </c>
      <c r="F65" s="1135" t="s">
        <v>22</v>
      </c>
      <c r="G65" s="1134" t="s">
        <v>22</v>
      </c>
      <c r="H65" s="375" t="s">
        <v>1047</v>
      </c>
      <c r="I65" s="375" t="s">
        <v>1048</v>
      </c>
      <c r="J65" s="1136">
        <v>24</v>
      </c>
      <c r="K65" s="1131">
        <v>0.7</v>
      </c>
      <c r="L65" s="1148" t="s">
        <v>22</v>
      </c>
      <c r="M65" s="1139">
        <v>40561</v>
      </c>
      <c r="N65" s="1130">
        <v>41500</v>
      </c>
      <c r="O65" s="1135" t="s">
        <v>22</v>
      </c>
      <c r="P65" s="1149">
        <v>2013</v>
      </c>
      <c r="Q65" s="1141">
        <v>589500</v>
      </c>
      <c r="R65" s="1150">
        <v>4481543752</v>
      </c>
      <c r="S65" s="1150" t="s">
        <v>151</v>
      </c>
      <c r="T65" s="1142" t="s">
        <v>140</v>
      </c>
      <c r="U65" s="1143" t="s">
        <v>140</v>
      </c>
      <c r="V65" s="1144">
        <v>1</v>
      </c>
      <c r="W65" s="1141">
        <v>4481543752</v>
      </c>
      <c r="X65" s="1145">
        <v>7602</v>
      </c>
      <c r="Y65" s="1145">
        <v>7602.28</v>
      </c>
      <c r="Z65" s="1146">
        <v>3.6831055946318081E-5</v>
      </c>
      <c r="AA65" s="1147">
        <v>5321</v>
      </c>
      <c r="AB65" s="1135"/>
      <c r="AC65" s="1135"/>
      <c r="AD65" s="1134"/>
      <c r="AE65" s="1135">
        <v>81</v>
      </c>
      <c r="AF65" s="1135">
        <v>10</v>
      </c>
      <c r="AG65" s="1134">
        <v>15</v>
      </c>
      <c r="AH65" s="1135"/>
      <c r="AI65" s="1135"/>
      <c r="AJ65" s="1134"/>
      <c r="AK65" s="1134" t="s">
        <v>129</v>
      </c>
      <c r="AL65" s="1401" t="s">
        <v>22</v>
      </c>
    </row>
    <row r="66" spans="1:38" s="374" customFormat="1" ht="78" customHeight="1">
      <c r="A66" s="1133" t="s">
        <v>1044</v>
      </c>
      <c r="B66" s="1133" t="s">
        <v>1045</v>
      </c>
      <c r="C66" s="386" t="s">
        <v>1046</v>
      </c>
      <c r="D66" s="1135" t="s">
        <v>129</v>
      </c>
      <c r="E66" s="1135" t="s">
        <v>22</v>
      </c>
      <c r="F66" s="1135" t="s">
        <v>22</v>
      </c>
      <c r="G66" s="1134" t="s">
        <v>22</v>
      </c>
      <c r="H66" s="375" t="s">
        <v>1047</v>
      </c>
      <c r="I66" s="375" t="s">
        <v>1048</v>
      </c>
      <c r="J66" s="1136">
        <v>19</v>
      </c>
      <c r="K66" s="1131">
        <v>0.7</v>
      </c>
      <c r="L66" s="1148" t="s">
        <v>22</v>
      </c>
      <c r="M66" s="1139">
        <v>40186</v>
      </c>
      <c r="N66" s="1130">
        <v>40561</v>
      </c>
      <c r="O66" s="1135" t="s">
        <v>22</v>
      </c>
      <c r="P66" s="1149">
        <v>2011</v>
      </c>
      <c r="Q66" s="1141">
        <v>535600</v>
      </c>
      <c r="R66" s="1150">
        <v>3104182180</v>
      </c>
      <c r="S66" s="1150" t="s">
        <v>151</v>
      </c>
      <c r="T66" s="1142" t="s">
        <v>140</v>
      </c>
      <c r="U66" s="1143" t="s">
        <v>140</v>
      </c>
      <c r="V66" s="1144">
        <v>1</v>
      </c>
      <c r="W66" s="1141">
        <v>3104182180</v>
      </c>
      <c r="X66" s="1145">
        <v>5796</v>
      </c>
      <c r="Y66" s="1145">
        <v>5795.71</v>
      </c>
      <c r="Z66" s="1146">
        <v>5.0037010133285875E-5</v>
      </c>
      <c r="AA66" s="1147">
        <v>4057</v>
      </c>
      <c r="AB66" s="1135"/>
      <c r="AC66" s="1135"/>
      <c r="AD66" s="1134"/>
      <c r="AE66" s="1135">
        <v>81</v>
      </c>
      <c r="AF66" s="1135">
        <v>10</v>
      </c>
      <c r="AG66" s="1134">
        <v>15</v>
      </c>
      <c r="AH66" s="1135"/>
      <c r="AI66" s="1135"/>
      <c r="AJ66" s="1134"/>
      <c r="AK66" s="1134" t="s">
        <v>129</v>
      </c>
      <c r="AL66" s="1401" t="s">
        <v>22</v>
      </c>
    </row>
    <row r="67" spans="1:38" s="374" customFormat="1" ht="90.95" customHeight="1">
      <c r="A67" s="1133" t="s">
        <v>1044</v>
      </c>
      <c r="B67" s="1133" t="s">
        <v>1045</v>
      </c>
      <c r="C67" s="386" t="s">
        <v>1046</v>
      </c>
      <c r="D67" s="1135" t="s">
        <v>129</v>
      </c>
      <c r="E67" s="1135" t="s">
        <v>22</v>
      </c>
      <c r="F67" s="1135" t="s">
        <v>22</v>
      </c>
      <c r="G67" s="1134" t="s">
        <v>22</v>
      </c>
      <c r="H67" s="375" t="s">
        <v>155</v>
      </c>
      <c r="I67" s="375" t="s">
        <v>1049</v>
      </c>
      <c r="J67" s="1136">
        <v>16</v>
      </c>
      <c r="K67" s="1131">
        <v>0.5</v>
      </c>
      <c r="L67" s="1148" t="s">
        <v>22</v>
      </c>
      <c r="M67" s="1139">
        <v>38986</v>
      </c>
      <c r="N67" s="1130">
        <v>39629</v>
      </c>
      <c r="O67" s="1135" t="s">
        <v>22</v>
      </c>
      <c r="P67" s="1149">
        <v>2008</v>
      </c>
      <c r="Q67" s="1141">
        <v>461500</v>
      </c>
      <c r="R67" s="1150">
        <v>1036966559</v>
      </c>
      <c r="S67" s="1150" t="s">
        <v>151</v>
      </c>
      <c r="T67" s="1142" t="s">
        <v>140</v>
      </c>
      <c r="U67" s="1143" t="s">
        <v>140</v>
      </c>
      <c r="V67" s="1144">
        <v>1</v>
      </c>
      <c r="W67" s="1141">
        <v>1036966559</v>
      </c>
      <c r="X67" s="1145">
        <v>2247</v>
      </c>
      <c r="Y67" s="1145">
        <v>2246.9499999999998</v>
      </c>
      <c r="Z67" s="1146">
        <v>2.2252386568499816E-5</v>
      </c>
      <c r="AA67" s="1147">
        <v>1124</v>
      </c>
      <c r="AB67" s="1135">
        <v>80</v>
      </c>
      <c r="AC67" s="1135">
        <v>10</v>
      </c>
      <c r="AD67" s="1134">
        <v>16</v>
      </c>
      <c r="AE67" s="1135">
        <v>81</v>
      </c>
      <c r="AF67" s="1135">
        <v>10</v>
      </c>
      <c r="AG67" s="1134">
        <v>15</v>
      </c>
      <c r="AH67" s="1135">
        <v>81</v>
      </c>
      <c r="AI67" s="1135">
        <v>10</v>
      </c>
      <c r="AJ67" s="1134">
        <v>22</v>
      </c>
      <c r="AK67" s="1134" t="s">
        <v>129</v>
      </c>
      <c r="AL67" s="1401" t="s">
        <v>22</v>
      </c>
    </row>
    <row r="68" spans="1:38" s="374" customFormat="1" ht="65.099999999999994" customHeight="1">
      <c r="A68" s="1133" t="s">
        <v>1044</v>
      </c>
      <c r="B68" s="1133" t="s">
        <v>1050</v>
      </c>
      <c r="C68" s="1134" t="s">
        <v>1051</v>
      </c>
      <c r="D68" s="1135" t="s">
        <v>129</v>
      </c>
      <c r="E68" s="1135" t="s">
        <v>22</v>
      </c>
      <c r="F68" s="1135" t="s">
        <v>22</v>
      </c>
      <c r="G68" s="1134" t="s">
        <v>22</v>
      </c>
      <c r="H68" s="375" t="s">
        <v>1052</v>
      </c>
      <c r="I68" s="375" t="s">
        <v>1053</v>
      </c>
      <c r="J68" s="1136" t="s">
        <v>903</v>
      </c>
      <c r="K68" s="1131">
        <v>0.5</v>
      </c>
      <c r="L68" s="1148" t="s">
        <v>22</v>
      </c>
      <c r="M68" s="1139">
        <v>39595</v>
      </c>
      <c r="N68" s="1130">
        <v>42083</v>
      </c>
      <c r="O68" s="1135" t="s">
        <v>22</v>
      </c>
      <c r="P68" s="1149">
        <v>2015</v>
      </c>
      <c r="Q68" s="1141">
        <v>644350</v>
      </c>
      <c r="R68" s="1150">
        <v>36074618420</v>
      </c>
      <c r="S68" s="1150" t="s">
        <v>151</v>
      </c>
      <c r="T68" s="1142" t="s">
        <v>140</v>
      </c>
      <c r="U68" s="1143" t="s">
        <v>140</v>
      </c>
      <c r="V68" s="1144">
        <v>1</v>
      </c>
      <c r="W68" s="1141">
        <v>36074618420</v>
      </c>
      <c r="X68" s="1145">
        <v>55986</v>
      </c>
      <c r="Y68" s="1145"/>
      <c r="Z68" s="1146" t="s">
        <v>140</v>
      </c>
      <c r="AA68" s="1147">
        <v>27993</v>
      </c>
      <c r="AB68" s="1135">
        <v>80</v>
      </c>
      <c r="AC68" s="1135">
        <v>10</v>
      </c>
      <c r="AD68" s="1134">
        <v>16</v>
      </c>
      <c r="AE68" s="1135"/>
      <c r="AF68" s="1135"/>
      <c r="AG68" s="1134"/>
      <c r="AH68" s="1135"/>
      <c r="AI68" s="1135"/>
      <c r="AJ68" s="1134"/>
      <c r="AK68" s="1134" t="s">
        <v>22</v>
      </c>
      <c r="AL68" s="1401" t="s">
        <v>22</v>
      </c>
    </row>
    <row r="69" spans="1:38" s="374" customFormat="1" ht="117" customHeight="1">
      <c r="A69" s="1133" t="s">
        <v>1044</v>
      </c>
      <c r="B69" s="1133" t="s">
        <v>1054</v>
      </c>
      <c r="C69" s="386" t="s">
        <v>1055</v>
      </c>
      <c r="D69" s="1135" t="s">
        <v>129</v>
      </c>
      <c r="E69" s="1135" t="s">
        <v>22</v>
      </c>
      <c r="F69" s="1135" t="s">
        <v>22</v>
      </c>
      <c r="G69" s="1134" t="s">
        <v>22</v>
      </c>
      <c r="H69" s="375" t="s">
        <v>919</v>
      </c>
      <c r="I69" s="375" t="s">
        <v>1056</v>
      </c>
      <c r="J69" s="1136">
        <v>2</v>
      </c>
      <c r="K69" s="1131">
        <v>1</v>
      </c>
      <c r="L69" s="1148" t="s">
        <v>22</v>
      </c>
      <c r="M69" s="1139">
        <v>40190</v>
      </c>
      <c r="N69" s="1130">
        <v>41240</v>
      </c>
      <c r="O69" s="1135" t="s">
        <v>22</v>
      </c>
      <c r="P69" s="1149">
        <v>2012</v>
      </c>
      <c r="Q69" s="1141">
        <v>566700</v>
      </c>
      <c r="R69" s="1150">
        <v>3164576487</v>
      </c>
      <c r="S69" s="1150" t="s">
        <v>151</v>
      </c>
      <c r="T69" s="1142" t="s">
        <v>140</v>
      </c>
      <c r="U69" s="1143" t="s">
        <v>140</v>
      </c>
      <c r="V69" s="1144">
        <v>1</v>
      </c>
      <c r="W69" s="1141">
        <v>3164576487</v>
      </c>
      <c r="X69" s="1145">
        <v>5584</v>
      </c>
      <c r="Y69" s="1145">
        <v>5584.22</v>
      </c>
      <c r="Z69" s="1146">
        <v>3.9396728638951828E-5</v>
      </c>
      <c r="AA69" s="1147">
        <v>5584</v>
      </c>
      <c r="AB69" s="1135">
        <v>80</v>
      </c>
      <c r="AC69" s="1135">
        <v>10</v>
      </c>
      <c r="AD69" s="1134">
        <v>16</v>
      </c>
      <c r="AE69" s="1135">
        <v>81</v>
      </c>
      <c r="AF69" s="1135">
        <v>10</v>
      </c>
      <c r="AG69" s="1134">
        <v>15</v>
      </c>
      <c r="AH69" s="1135">
        <v>81</v>
      </c>
      <c r="AI69" s="1135">
        <v>10</v>
      </c>
      <c r="AJ69" s="1134">
        <v>22</v>
      </c>
      <c r="AK69" s="1134" t="s">
        <v>129</v>
      </c>
      <c r="AL69" s="1401" t="s">
        <v>22</v>
      </c>
    </row>
    <row r="70" spans="1:38" s="374" customFormat="1" ht="99.75">
      <c r="A70" s="1133" t="s">
        <v>1057</v>
      </c>
      <c r="B70" s="1133" t="s">
        <v>1058</v>
      </c>
      <c r="C70" s="386" t="s">
        <v>1059</v>
      </c>
      <c r="D70" s="1135" t="s">
        <v>22</v>
      </c>
      <c r="E70" s="1135" t="s">
        <v>22</v>
      </c>
      <c r="F70" s="1135" t="s">
        <v>22</v>
      </c>
      <c r="G70" s="1134" t="s">
        <v>22</v>
      </c>
      <c r="H70" s="375" t="s">
        <v>517</v>
      </c>
      <c r="I70" s="375" t="s">
        <v>1060</v>
      </c>
      <c r="J70" s="1136" t="s">
        <v>903</v>
      </c>
      <c r="K70" s="1131">
        <v>0.6</v>
      </c>
      <c r="L70" s="1148" t="s">
        <v>22</v>
      </c>
      <c r="M70" s="1139">
        <v>41075</v>
      </c>
      <c r="N70" s="1130">
        <v>42052</v>
      </c>
      <c r="O70" s="1135" t="s">
        <v>22</v>
      </c>
      <c r="P70" s="1149">
        <v>2015</v>
      </c>
      <c r="Q70" s="1141">
        <v>644350</v>
      </c>
      <c r="R70" s="1150">
        <v>20766942881</v>
      </c>
      <c r="S70" s="1150" t="s">
        <v>151</v>
      </c>
      <c r="T70" s="1142" t="s">
        <v>140</v>
      </c>
      <c r="U70" s="1143" t="s">
        <v>140</v>
      </c>
      <c r="V70" s="1144">
        <v>1</v>
      </c>
      <c r="W70" s="1141">
        <v>20766942881</v>
      </c>
      <c r="X70" s="1145">
        <v>32229</v>
      </c>
      <c r="Y70" s="1157"/>
      <c r="Z70" s="1146" t="s">
        <v>140</v>
      </c>
      <c r="AA70" s="1147">
        <v>19337</v>
      </c>
      <c r="AB70" s="1135"/>
      <c r="AC70" s="1135"/>
      <c r="AD70" s="1134"/>
      <c r="AE70" s="1135"/>
      <c r="AF70" s="1135"/>
      <c r="AG70" s="1134"/>
      <c r="AH70" s="1135"/>
      <c r="AI70" s="1135"/>
      <c r="AJ70" s="1134"/>
      <c r="AK70" s="1134" t="s">
        <v>22</v>
      </c>
      <c r="AL70" s="1401" t="s">
        <v>22</v>
      </c>
    </row>
    <row r="71" spans="1:38" s="374" customFormat="1" ht="104.1" customHeight="1">
      <c r="A71" s="1133" t="s">
        <v>1057</v>
      </c>
      <c r="B71" s="1133" t="s">
        <v>1058</v>
      </c>
      <c r="C71" s="386" t="s">
        <v>1059</v>
      </c>
      <c r="D71" s="1135" t="s">
        <v>22</v>
      </c>
      <c r="E71" s="1135" t="s">
        <v>22</v>
      </c>
      <c r="F71" s="1135" t="s">
        <v>22</v>
      </c>
      <c r="G71" s="1134" t="s">
        <v>22</v>
      </c>
      <c r="H71" s="375" t="s">
        <v>1061</v>
      </c>
      <c r="I71" s="375" t="s">
        <v>1062</v>
      </c>
      <c r="J71" s="1136" t="s">
        <v>1063</v>
      </c>
      <c r="K71" s="1131">
        <v>1</v>
      </c>
      <c r="L71" s="1148" t="s">
        <v>22</v>
      </c>
      <c r="M71" s="1139">
        <v>39671</v>
      </c>
      <c r="N71" s="1130">
        <v>40273</v>
      </c>
      <c r="O71" s="1135" t="s">
        <v>22</v>
      </c>
      <c r="P71" s="1149">
        <v>2010</v>
      </c>
      <c r="Q71" s="1141">
        <v>515000</v>
      </c>
      <c r="R71" s="1163">
        <v>1184567</v>
      </c>
      <c r="S71" s="1150" t="s">
        <v>179</v>
      </c>
      <c r="T71" s="1142">
        <v>1</v>
      </c>
      <c r="U71" s="1143">
        <v>1184567</v>
      </c>
      <c r="V71" s="1144">
        <v>1921.88</v>
      </c>
      <c r="W71" s="1141">
        <v>2276595625.96</v>
      </c>
      <c r="X71" s="1145">
        <v>4421</v>
      </c>
      <c r="Y71" s="1157">
        <v>4420.57</v>
      </c>
      <c r="Z71" s="1146">
        <v>9.7272523679192702E-5</v>
      </c>
      <c r="AA71" s="1147">
        <v>4421</v>
      </c>
      <c r="AB71" s="1135"/>
      <c r="AC71" s="1135"/>
      <c r="AD71" s="1134"/>
      <c r="AE71" s="1135">
        <v>81</v>
      </c>
      <c r="AF71" s="1135">
        <v>10</v>
      </c>
      <c r="AG71" s="1134">
        <v>15</v>
      </c>
      <c r="AH71" s="1135">
        <v>81</v>
      </c>
      <c r="AI71" s="1135">
        <v>10</v>
      </c>
      <c r="AJ71" s="1134">
        <v>22</v>
      </c>
      <c r="AK71" s="1134" t="s">
        <v>22</v>
      </c>
      <c r="AL71" s="1401" t="s">
        <v>22</v>
      </c>
    </row>
    <row r="72" spans="1:38" s="374" customFormat="1" ht="65.099999999999994" customHeight="1">
      <c r="A72" s="1133" t="s">
        <v>1057</v>
      </c>
      <c r="B72" s="1133" t="s">
        <v>1058</v>
      </c>
      <c r="C72" s="386" t="s">
        <v>1059</v>
      </c>
      <c r="D72" s="1135" t="s">
        <v>22</v>
      </c>
      <c r="E72" s="1135" t="s">
        <v>22</v>
      </c>
      <c r="F72" s="1135" t="s">
        <v>22</v>
      </c>
      <c r="G72" s="1134" t="s">
        <v>22</v>
      </c>
      <c r="H72" s="375" t="s">
        <v>173</v>
      </c>
      <c r="I72" s="375" t="s">
        <v>1064</v>
      </c>
      <c r="J72" s="1136" t="s">
        <v>1065</v>
      </c>
      <c r="K72" s="1137">
        <v>1</v>
      </c>
      <c r="L72" s="1138" t="s">
        <v>22</v>
      </c>
      <c r="M72" s="1164">
        <v>39548</v>
      </c>
      <c r="N72" s="1130">
        <v>40317</v>
      </c>
      <c r="O72" s="1135" t="s">
        <v>22</v>
      </c>
      <c r="P72" s="1140">
        <v>2010</v>
      </c>
      <c r="Q72" s="1141">
        <v>515000</v>
      </c>
      <c r="R72" s="1165">
        <v>986957</v>
      </c>
      <c r="S72" s="1141" t="s">
        <v>179</v>
      </c>
      <c r="T72" s="1142">
        <v>1</v>
      </c>
      <c r="U72" s="1143">
        <v>986957</v>
      </c>
      <c r="V72" s="1144">
        <v>1976.46</v>
      </c>
      <c r="W72" s="1141">
        <v>1950681032.22</v>
      </c>
      <c r="X72" s="1145">
        <v>3788</v>
      </c>
      <c r="Y72" s="1157">
        <v>3787.73</v>
      </c>
      <c r="Z72" s="1146">
        <v>7.1282799988470202E-5</v>
      </c>
      <c r="AA72" s="1147">
        <v>3788</v>
      </c>
      <c r="AB72" s="1135"/>
      <c r="AC72" s="1135"/>
      <c r="AD72" s="1134"/>
      <c r="AE72" s="1135">
        <v>81</v>
      </c>
      <c r="AF72" s="1135">
        <v>10</v>
      </c>
      <c r="AG72" s="1134">
        <v>15</v>
      </c>
      <c r="AH72" s="1135">
        <v>81</v>
      </c>
      <c r="AI72" s="1135">
        <v>10</v>
      </c>
      <c r="AJ72" s="1134">
        <v>22</v>
      </c>
      <c r="AK72" s="1134" t="s">
        <v>22</v>
      </c>
      <c r="AL72" s="1401" t="s">
        <v>22</v>
      </c>
    </row>
    <row r="73" spans="1:38" s="374" customFormat="1" ht="99.75">
      <c r="A73" s="1133" t="s">
        <v>1057</v>
      </c>
      <c r="B73" s="1133" t="s">
        <v>1066</v>
      </c>
      <c r="C73" s="1134" t="s">
        <v>1067</v>
      </c>
      <c r="D73" s="1135" t="s">
        <v>22</v>
      </c>
      <c r="E73" s="1135" t="s">
        <v>22</v>
      </c>
      <c r="F73" s="1135" t="s">
        <v>22</v>
      </c>
      <c r="G73" s="1134" t="s">
        <v>22</v>
      </c>
      <c r="H73" s="375" t="s">
        <v>448</v>
      </c>
      <c r="I73" s="375" t="s">
        <v>1068</v>
      </c>
      <c r="J73" s="1136">
        <v>5</v>
      </c>
      <c r="K73" s="1137">
        <v>1</v>
      </c>
      <c r="L73" s="1138" t="s">
        <v>22</v>
      </c>
      <c r="M73" s="1164">
        <v>39211</v>
      </c>
      <c r="N73" s="1130">
        <v>40227</v>
      </c>
      <c r="O73" s="1135" t="s">
        <v>22</v>
      </c>
      <c r="P73" s="1140">
        <v>2010</v>
      </c>
      <c r="Q73" s="1141">
        <v>515000</v>
      </c>
      <c r="R73" s="1165">
        <v>4313621278</v>
      </c>
      <c r="S73" s="1141" t="s">
        <v>151</v>
      </c>
      <c r="T73" s="1142" t="s">
        <v>140</v>
      </c>
      <c r="U73" s="1143" t="s">
        <v>140</v>
      </c>
      <c r="V73" s="1144">
        <v>1</v>
      </c>
      <c r="W73" s="1141">
        <v>4313621278</v>
      </c>
      <c r="X73" s="1145">
        <v>8376</v>
      </c>
      <c r="Y73" s="1157">
        <v>8375.9599999999991</v>
      </c>
      <c r="Z73" s="1146">
        <v>4.7755719942976782E-6</v>
      </c>
      <c r="AA73" s="1147">
        <v>8376</v>
      </c>
      <c r="AB73" s="1135"/>
      <c r="AC73" s="1135"/>
      <c r="AD73" s="1134"/>
      <c r="AE73" s="1135">
        <v>81</v>
      </c>
      <c r="AF73" s="1135">
        <v>10</v>
      </c>
      <c r="AG73" s="1134">
        <v>15</v>
      </c>
      <c r="AH73" s="1135">
        <v>81</v>
      </c>
      <c r="AI73" s="1135">
        <v>10</v>
      </c>
      <c r="AJ73" s="1134">
        <v>22</v>
      </c>
      <c r="AK73" s="1134" t="s">
        <v>129</v>
      </c>
      <c r="AL73" s="1401" t="s">
        <v>22</v>
      </c>
    </row>
    <row r="74" spans="1:38" s="374" customFormat="1" ht="85.5">
      <c r="A74" s="1133" t="s">
        <v>1057</v>
      </c>
      <c r="B74" s="1133" t="s">
        <v>1066</v>
      </c>
      <c r="C74" s="1134" t="s">
        <v>1067</v>
      </c>
      <c r="D74" s="1135" t="s">
        <v>22</v>
      </c>
      <c r="E74" s="1135" t="s">
        <v>22</v>
      </c>
      <c r="F74" s="1135" t="s">
        <v>22</v>
      </c>
      <c r="G74" s="1134" t="s">
        <v>22</v>
      </c>
      <c r="H74" s="375" t="s">
        <v>1038</v>
      </c>
      <c r="I74" s="375" t="s">
        <v>1069</v>
      </c>
      <c r="J74" s="1136">
        <v>6</v>
      </c>
      <c r="K74" s="1131">
        <v>1</v>
      </c>
      <c r="L74" s="1148" t="s">
        <v>22</v>
      </c>
      <c r="M74" s="1139">
        <v>39776</v>
      </c>
      <c r="N74" s="1130">
        <v>40809</v>
      </c>
      <c r="O74" s="1135" t="s">
        <v>22</v>
      </c>
      <c r="P74" s="1149">
        <v>2011</v>
      </c>
      <c r="Q74" s="1141">
        <v>535600</v>
      </c>
      <c r="R74" s="1163">
        <v>3888865854</v>
      </c>
      <c r="S74" s="1150" t="s">
        <v>151</v>
      </c>
      <c r="T74" s="1142" t="s">
        <v>140</v>
      </c>
      <c r="U74" s="1143" t="s">
        <v>140</v>
      </c>
      <c r="V74" s="1144">
        <v>1</v>
      </c>
      <c r="W74" s="1141">
        <v>3888865854</v>
      </c>
      <c r="X74" s="1145">
        <v>7261</v>
      </c>
      <c r="Y74" s="1157">
        <v>7260.76</v>
      </c>
      <c r="Z74" s="1146">
        <v>3.3054391000320038E-5</v>
      </c>
      <c r="AA74" s="1147">
        <v>7261</v>
      </c>
      <c r="AB74" s="1135"/>
      <c r="AC74" s="1135"/>
      <c r="AD74" s="1134"/>
      <c r="AE74" s="1154">
        <v>81</v>
      </c>
      <c r="AF74" s="1154">
        <v>10</v>
      </c>
      <c r="AG74" s="1155">
        <v>15</v>
      </c>
      <c r="AH74" s="1135">
        <v>81</v>
      </c>
      <c r="AI74" s="1135">
        <v>10</v>
      </c>
      <c r="AJ74" s="1134">
        <v>22</v>
      </c>
      <c r="AK74" s="1134" t="s">
        <v>129</v>
      </c>
      <c r="AL74" s="1401" t="s">
        <v>22</v>
      </c>
    </row>
    <row r="75" spans="1:38" s="374" customFormat="1" ht="71.25">
      <c r="A75" s="1133" t="s">
        <v>1057</v>
      </c>
      <c r="B75" s="1133" t="s">
        <v>1066</v>
      </c>
      <c r="C75" s="1134" t="s">
        <v>1067</v>
      </c>
      <c r="D75" s="1135" t="s">
        <v>22</v>
      </c>
      <c r="E75" s="1135" t="s">
        <v>22</v>
      </c>
      <c r="F75" s="1135" t="s">
        <v>22</v>
      </c>
      <c r="G75" s="1134" t="s">
        <v>22</v>
      </c>
      <c r="H75" s="375" t="s">
        <v>448</v>
      </c>
      <c r="I75" s="375" t="s">
        <v>1070</v>
      </c>
      <c r="J75" s="1136">
        <v>12</v>
      </c>
      <c r="K75" s="1131">
        <v>0.6</v>
      </c>
      <c r="L75" s="1148" t="s">
        <v>22</v>
      </c>
      <c r="M75" s="1139">
        <v>37432</v>
      </c>
      <c r="N75" s="1130">
        <v>38352</v>
      </c>
      <c r="O75" s="1135" t="s">
        <v>22</v>
      </c>
      <c r="P75" s="1149">
        <v>2004</v>
      </c>
      <c r="Q75" s="1141">
        <v>358000</v>
      </c>
      <c r="R75" s="1163">
        <v>2437834762</v>
      </c>
      <c r="S75" s="1150" t="s">
        <v>151</v>
      </c>
      <c r="T75" s="1142" t="s">
        <v>140</v>
      </c>
      <c r="U75" s="1143" t="s">
        <v>140</v>
      </c>
      <c r="V75" s="1144">
        <v>1</v>
      </c>
      <c r="W75" s="1141">
        <v>2437834762</v>
      </c>
      <c r="X75" s="1145">
        <v>6810</v>
      </c>
      <c r="Y75" s="1157">
        <v>6809.59</v>
      </c>
      <c r="Z75" s="1146">
        <v>6.0209204959527085E-5</v>
      </c>
      <c r="AA75" s="1147">
        <v>4086</v>
      </c>
      <c r="AB75" s="1135"/>
      <c r="AC75" s="1135"/>
      <c r="AD75" s="1134"/>
      <c r="AE75" s="1154">
        <v>81</v>
      </c>
      <c r="AF75" s="1154">
        <v>10</v>
      </c>
      <c r="AG75" s="1155">
        <v>15</v>
      </c>
      <c r="AH75" s="1135">
        <v>81</v>
      </c>
      <c r="AI75" s="1135">
        <v>10</v>
      </c>
      <c r="AJ75" s="1134">
        <v>22</v>
      </c>
      <c r="AK75" s="1134" t="s">
        <v>129</v>
      </c>
      <c r="AL75" s="1401" t="s">
        <v>22</v>
      </c>
    </row>
    <row r="76" spans="1:38" s="374" customFormat="1" ht="65.099999999999994" customHeight="1">
      <c r="A76" s="1133" t="s">
        <v>1071</v>
      </c>
      <c r="B76" s="1133" t="s">
        <v>1072</v>
      </c>
      <c r="C76" s="386" t="s">
        <v>1073</v>
      </c>
      <c r="D76" s="1135" t="s">
        <v>22</v>
      </c>
      <c r="E76" s="1135" t="s">
        <v>22</v>
      </c>
      <c r="F76" s="1135" t="s">
        <v>22</v>
      </c>
      <c r="G76" s="1134" t="s">
        <v>22</v>
      </c>
      <c r="H76" s="375" t="s">
        <v>517</v>
      </c>
      <c r="I76" s="375" t="s">
        <v>1074</v>
      </c>
      <c r="J76" s="1136" t="s">
        <v>903</v>
      </c>
      <c r="K76" s="1131">
        <v>0.35</v>
      </c>
      <c r="L76" s="1148" t="s">
        <v>22</v>
      </c>
      <c r="M76" s="1139">
        <v>41075</v>
      </c>
      <c r="N76" s="1130">
        <v>42246</v>
      </c>
      <c r="O76" s="1135" t="s">
        <v>22</v>
      </c>
      <c r="P76" s="1149">
        <v>2015</v>
      </c>
      <c r="Q76" s="1141">
        <v>644350</v>
      </c>
      <c r="R76" s="1150">
        <v>6668665130</v>
      </c>
      <c r="S76" s="1150" t="s">
        <v>151</v>
      </c>
      <c r="T76" s="1142" t="s">
        <v>140</v>
      </c>
      <c r="U76" s="1143" t="s">
        <v>140</v>
      </c>
      <c r="V76" s="1144">
        <v>1</v>
      </c>
      <c r="W76" s="1141">
        <v>6668665130</v>
      </c>
      <c r="X76" s="1145">
        <v>10349</v>
      </c>
      <c r="Y76" s="1145"/>
      <c r="Z76" s="1146" t="s">
        <v>140</v>
      </c>
      <c r="AA76" s="1147">
        <v>3622</v>
      </c>
      <c r="AB76" s="1135"/>
      <c r="AC76" s="1135"/>
      <c r="AD76" s="1134"/>
      <c r="AE76" s="1135"/>
      <c r="AF76" s="1135"/>
      <c r="AG76" s="1134"/>
      <c r="AH76" s="1135"/>
      <c r="AI76" s="1135"/>
      <c r="AJ76" s="1134"/>
      <c r="AK76" s="1134" t="s">
        <v>22</v>
      </c>
      <c r="AL76" s="1401" t="s">
        <v>22</v>
      </c>
    </row>
    <row r="77" spans="1:38" s="374" customFormat="1" ht="78" customHeight="1">
      <c r="A77" s="1133" t="s">
        <v>1071</v>
      </c>
      <c r="B77" s="1133" t="s">
        <v>1072</v>
      </c>
      <c r="C77" s="386" t="s">
        <v>1073</v>
      </c>
      <c r="D77" s="1135" t="s">
        <v>22</v>
      </c>
      <c r="E77" s="1135" t="s">
        <v>22</v>
      </c>
      <c r="F77" s="1135" t="s">
        <v>22</v>
      </c>
      <c r="G77" s="1134" t="s">
        <v>22</v>
      </c>
      <c r="H77" s="375" t="s">
        <v>214</v>
      </c>
      <c r="I77" s="375" t="s">
        <v>1075</v>
      </c>
      <c r="J77" s="1136">
        <v>5</v>
      </c>
      <c r="K77" s="1131">
        <v>1</v>
      </c>
      <c r="L77" s="1148" t="s">
        <v>22</v>
      </c>
      <c r="M77" s="1139">
        <v>39295</v>
      </c>
      <c r="N77" s="1130">
        <v>40209</v>
      </c>
      <c r="O77" s="1135" t="s">
        <v>22</v>
      </c>
      <c r="P77" s="1149">
        <v>2010</v>
      </c>
      <c r="Q77" s="1141">
        <v>515000</v>
      </c>
      <c r="R77" s="1150">
        <v>1403754.99</v>
      </c>
      <c r="S77" s="1150" t="s">
        <v>142</v>
      </c>
      <c r="T77" s="1142">
        <v>1.3857999999999999</v>
      </c>
      <c r="U77" s="1143">
        <v>1945323.665142</v>
      </c>
      <c r="V77" s="1144">
        <v>1982.29</v>
      </c>
      <c r="W77" s="1141">
        <v>3856195648.174335</v>
      </c>
      <c r="X77" s="1145">
        <v>7488</v>
      </c>
      <c r="Y77" s="1145">
        <v>7441.89</v>
      </c>
      <c r="Z77" s="1146">
        <v>6.1960066595985186E-3</v>
      </c>
      <c r="AA77" s="1147">
        <v>7488</v>
      </c>
      <c r="AB77" s="1135">
        <v>80</v>
      </c>
      <c r="AC77" s="1135">
        <v>10</v>
      </c>
      <c r="AD77" s="1134">
        <v>16</v>
      </c>
      <c r="AE77" s="1135">
        <v>81</v>
      </c>
      <c r="AF77" s="1135">
        <v>10</v>
      </c>
      <c r="AG77" s="1134">
        <v>15</v>
      </c>
      <c r="AH77" s="1135">
        <v>81</v>
      </c>
      <c r="AI77" s="1135">
        <v>10</v>
      </c>
      <c r="AJ77" s="1134">
        <v>22</v>
      </c>
      <c r="AK77" s="1134" t="s">
        <v>129</v>
      </c>
      <c r="AL77" s="1401" t="s">
        <v>22</v>
      </c>
    </row>
    <row r="78" spans="1:38" s="374" customFormat="1" ht="65.099999999999994" customHeight="1">
      <c r="A78" s="1133" t="s">
        <v>1071</v>
      </c>
      <c r="B78" s="1133" t="s">
        <v>1072</v>
      </c>
      <c r="C78" s="386" t="s">
        <v>1073</v>
      </c>
      <c r="D78" s="1135" t="s">
        <v>22</v>
      </c>
      <c r="E78" s="1135" t="s">
        <v>22</v>
      </c>
      <c r="F78" s="1135" t="s">
        <v>22</v>
      </c>
      <c r="G78" s="1134" t="s">
        <v>22</v>
      </c>
      <c r="H78" s="375" t="s">
        <v>214</v>
      </c>
      <c r="I78" s="375" t="s">
        <v>1076</v>
      </c>
      <c r="J78" s="1136">
        <v>11</v>
      </c>
      <c r="K78" s="1131">
        <v>1</v>
      </c>
      <c r="L78" s="1148" t="s">
        <v>22</v>
      </c>
      <c r="M78" s="1139">
        <v>39385</v>
      </c>
      <c r="N78" s="1130">
        <v>41182</v>
      </c>
      <c r="O78" s="1135" t="s">
        <v>22</v>
      </c>
      <c r="P78" s="1149">
        <v>2012</v>
      </c>
      <c r="Q78" s="1141">
        <v>566700</v>
      </c>
      <c r="R78" s="1150">
        <v>1943712.48</v>
      </c>
      <c r="S78" s="1150" t="s">
        <v>142</v>
      </c>
      <c r="T78" s="1142">
        <v>1.2855000000000001</v>
      </c>
      <c r="U78" s="1143">
        <v>2498642.39304</v>
      </c>
      <c r="V78" s="1144">
        <v>1800.52</v>
      </c>
      <c r="W78" s="1141">
        <v>4498855601.5163803</v>
      </c>
      <c r="X78" s="1145">
        <v>7939</v>
      </c>
      <c r="Y78" s="1145">
        <v>7923.43</v>
      </c>
      <c r="Z78" s="1146">
        <v>1.9650580619756663E-3</v>
      </c>
      <c r="AA78" s="1147">
        <v>7939</v>
      </c>
      <c r="AB78" s="1135">
        <v>80</v>
      </c>
      <c r="AC78" s="1135">
        <v>10</v>
      </c>
      <c r="AD78" s="1134">
        <v>16</v>
      </c>
      <c r="AE78" s="1135">
        <v>81</v>
      </c>
      <c r="AF78" s="1135">
        <v>10</v>
      </c>
      <c r="AG78" s="1134">
        <v>15</v>
      </c>
      <c r="AH78" s="1135">
        <v>81</v>
      </c>
      <c r="AI78" s="1135">
        <v>10</v>
      </c>
      <c r="AJ78" s="1134">
        <v>22</v>
      </c>
      <c r="AK78" s="1134" t="s">
        <v>129</v>
      </c>
      <c r="AL78" s="1401" t="s">
        <v>22</v>
      </c>
    </row>
    <row r="79" spans="1:38" s="374" customFormat="1" ht="39" customHeight="1">
      <c r="A79" s="1133" t="s">
        <v>1071</v>
      </c>
      <c r="B79" s="1133" t="s">
        <v>1077</v>
      </c>
      <c r="C79" s="1134" t="s">
        <v>1078</v>
      </c>
      <c r="D79" s="1135" t="s">
        <v>22</v>
      </c>
      <c r="E79" s="1135" t="s">
        <v>22</v>
      </c>
      <c r="F79" s="1135" t="s">
        <v>22</v>
      </c>
      <c r="G79" s="1134" t="s">
        <v>22</v>
      </c>
      <c r="H79" s="375" t="s">
        <v>949</v>
      </c>
      <c r="I79" s="375" t="s">
        <v>1079</v>
      </c>
      <c r="J79" s="1136">
        <v>20</v>
      </c>
      <c r="K79" s="1131">
        <v>0.75</v>
      </c>
      <c r="L79" s="1148" t="s">
        <v>22</v>
      </c>
      <c r="M79" s="1139">
        <v>38327</v>
      </c>
      <c r="N79" s="1130">
        <v>40668</v>
      </c>
      <c r="O79" s="1135" t="s">
        <v>22</v>
      </c>
      <c r="P79" s="1149">
        <v>2011</v>
      </c>
      <c r="Q79" s="1141">
        <v>535600</v>
      </c>
      <c r="R79" s="1150">
        <v>6564670344</v>
      </c>
      <c r="S79" s="1150" t="s">
        <v>151</v>
      </c>
      <c r="T79" s="1142" t="s">
        <v>140</v>
      </c>
      <c r="U79" s="1143" t="s">
        <v>140</v>
      </c>
      <c r="V79" s="1144">
        <v>1</v>
      </c>
      <c r="W79" s="1141">
        <v>6564670344</v>
      </c>
      <c r="X79" s="1145">
        <v>12257</v>
      </c>
      <c r="Y79" s="1145">
        <v>12256.66</v>
      </c>
      <c r="Z79" s="1146">
        <v>2.7740020527522447E-5</v>
      </c>
      <c r="AA79" s="1147">
        <v>9193</v>
      </c>
      <c r="AB79" s="1135"/>
      <c r="AC79" s="1135"/>
      <c r="AD79" s="1134"/>
      <c r="AE79" s="1135">
        <v>81</v>
      </c>
      <c r="AF79" s="1135">
        <v>10</v>
      </c>
      <c r="AG79" s="1134">
        <v>15</v>
      </c>
      <c r="AH79" s="1135"/>
      <c r="AI79" s="1135"/>
      <c r="AJ79" s="1134"/>
      <c r="AK79" s="1134" t="s">
        <v>129</v>
      </c>
      <c r="AL79" s="1401" t="s">
        <v>22</v>
      </c>
    </row>
    <row r="80" spans="1:38" s="374" customFormat="1" ht="39" customHeight="1">
      <c r="A80" s="1133" t="s">
        <v>1080</v>
      </c>
      <c r="B80" s="1133" t="s">
        <v>1081</v>
      </c>
      <c r="C80" s="1134" t="s">
        <v>1082</v>
      </c>
      <c r="D80" s="1135" t="s">
        <v>22</v>
      </c>
      <c r="E80" s="1135" t="s">
        <v>22</v>
      </c>
      <c r="F80" s="1135" t="s">
        <v>22</v>
      </c>
      <c r="G80" s="1134" t="s">
        <v>22</v>
      </c>
      <c r="H80" s="375" t="s">
        <v>448</v>
      </c>
      <c r="I80" s="375" t="s">
        <v>1083</v>
      </c>
      <c r="J80" s="1136">
        <v>1</v>
      </c>
      <c r="K80" s="1131">
        <v>0.7</v>
      </c>
      <c r="L80" s="1148" t="s">
        <v>22</v>
      </c>
      <c r="M80" s="1139">
        <v>39615</v>
      </c>
      <c r="N80" s="1130">
        <v>41502</v>
      </c>
      <c r="O80" s="1135" t="s">
        <v>22</v>
      </c>
      <c r="P80" s="1149">
        <v>2013</v>
      </c>
      <c r="Q80" s="1141">
        <v>589500</v>
      </c>
      <c r="R80" s="1150">
        <v>28736581560</v>
      </c>
      <c r="S80" s="1150" t="s">
        <v>151</v>
      </c>
      <c r="T80" s="1142" t="s">
        <v>140</v>
      </c>
      <c r="U80" s="1143" t="s">
        <v>140</v>
      </c>
      <c r="V80" s="1144">
        <v>1</v>
      </c>
      <c r="W80" s="1141">
        <v>28736581560</v>
      </c>
      <c r="X80" s="1145">
        <v>48747</v>
      </c>
      <c r="Y80" s="1145">
        <v>50224.35</v>
      </c>
      <c r="Z80" s="1146">
        <v>2.9415014828464647E-2</v>
      </c>
      <c r="AA80" s="1147">
        <v>34123</v>
      </c>
      <c r="AB80" s="1135">
        <v>80</v>
      </c>
      <c r="AC80" s="1135">
        <v>10</v>
      </c>
      <c r="AD80" s="1134">
        <v>16</v>
      </c>
      <c r="AE80" s="1135">
        <v>81</v>
      </c>
      <c r="AF80" s="1135">
        <v>10</v>
      </c>
      <c r="AG80" s="1134">
        <v>15</v>
      </c>
      <c r="AH80" s="1135">
        <v>81</v>
      </c>
      <c r="AI80" s="1135">
        <v>10</v>
      </c>
      <c r="AJ80" s="1134">
        <v>22</v>
      </c>
      <c r="AK80" s="1134" t="s">
        <v>129</v>
      </c>
      <c r="AL80" s="1401" t="s">
        <v>22</v>
      </c>
    </row>
    <row r="81" spans="1:38" s="384" customFormat="1" ht="42.75">
      <c r="A81" s="1133" t="s">
        <v>1084</v>
      </c>
      <c r="B81" s="1133" t="s">
        <v>1085</v>
      </c>
      <c r="C81" s="1134" t="s">
        <v>1086</v>
      </c>
      <c r="D81" s="1135" t="s">
        <v>22</v>
      </c>
      <c r="E81" s="1135" t="s">
        <v>22</v>
      </c>
      <c r="F81" s="1135" t="s">
        <v>22</v>
      </c>
      <c r="G81" s="1134" t="s">
        <v>22</v>
      </c>
      <c r="H81" s="375" t="s">
        <v>1038</v>
      </c>
      <c r="I81" s="375" t="s">
        <v>1087</v>
      </c>
      <c r="J81" s="1136">
        <v>23</v>
      </c>
      <c r="K81" s="1131">
        <v>0.2</v>
      </c>
      <c r="L81" s="1148" t="s">
        <v>22</v>
      </c>
      <c r="M81" s="1139">
        <v>40079</v>
      </c>
      <c r="N81" s="1130">
        <v>42094</v>
      </c>
      <c r="O81" s="1135" t="s">
        <v>22</v>
      </c>
      <c r="P81" s="1149">
        <v>2015</v>
      </c>
      <c r="Q81" s="1141">
        <v>644350</v>
      </c>
      <c r="R81" s="1150">
        <v>14008976863</v>
      </c>
      <c r="S81" s="1150" t="s">
        <v>151</v>
      </c>
      <c r="T81" s="1142" t="s">
        <v>140</v>
      </c>
      <c r="U81" s="1143" t="s">
        <v>140</v>
      </c>
      <c r="V81" s="1144">
        <v>1</v>
      </c>
      <c r="W81" s="1141">
        <v>14008976863</v>
      </c>
      <c r="X81" s="1145">
        <v>21741</v>
      </c>
      <c r="Y81" s="1145">
        <v>21741.32</v>
      </c>
      <c r="Z81" s="1146">
        <v>1.4718517550860177E-5</v>
      </c>
      <c r="AA81" s="1147">
        <v>4348</v>
      </c>
      <c r="AB81" s="1154">
        <v>80</v>
      </c>
      <c r="AC81" s="1154">
        <v>10</v>
      </c>
      <c r="AD81" s="1155">
        <v>16</v>
      </c>
      <c r="AE81" s="1154">
        <v>81</v>
      </c>
      <c r="AF81" s="1154">
        <v>10</v>
      </c>
      <c r="AG81" s="1155">
        <v>15</v>
      </c>
      <c r="AH81" s="1154">
        <v>81</v>
      </c>
      <c r="AI81" s="1154">
        <v>10</v>
      </c>
      <c r="AJ81" s="1155">
        <v>22</v>
      </c>
      <c r="AK81" s="1134" t="s">
        <v>129</v>
      </c>
      <c r="AL81" s="1401" t="s">
        <v>22</v>
      </c>
    </row>
    <row r="82" spans="1:38" s="374" customFormat="1" ht="78" customHeight="1">
      <c r="A82" s="1133" t="s">
        <v>1084</v>
      </c>
      <c r="B82" s="1133" t="s">
        <v>1085</v>
      </c>
      <c r="C82" s="1134" t="s">
        <v>1086</v>
      </c>
      <c r="D82" s="1135" t="s">
        <v>22</v>
      </c>
      <c r="E82" s="1135" t="s">
        <v>22</v>
      </c>
      <c r="F82" s="1135" t="s">
        <v>22</v>
      </c>
      <c r="G82" s="1134" t="s">
        <v>22</v>
      </c>
      <c r="H82" s="375" t="s">
        <v>1038</v>
      </c>
      <c r="I82" s="375" t="s">
        <v>1088</v>
      </c>
      <c r="J82" s="1136">
        <v>24</v>
      </c>
      <c r="K82" s="1131">
        <v>0.4</v>
      </c>
      <c r="L82" s="1148" t="s">
        <v>22</v>
      </c>
      <c r="M82" s="1139">
        <v>41256</v>
      </c>
      <c r="N82" s="1130">
        <v>42124</v>
      </c>
      <c r="O82" s="1135" t="s">
        <v>22</v>
      </c>
      <c r="P82" s="1149">
        <v>2015</v>
      </c>
      <c r="Q82" s="1141">
        <v>644350</v>
      </c>
      <c r="R82" s="1150">
        <v>3358277355.0300002</v>
      </c>
      <c r="S82" s="1150" t="s">
        <v>151</v>
      </c>
      <c r="T82" s="1142" t="s">
        <v>140</v>
      </c>
      <c r="U82" s="1143" t="s">
        <v>140</v>
      </c>
      <c r="V82" s="1144">
        <v>1</v>
      </c>
      <c r="W82" s="1141">
        <v>3358277355.0300002</v>
      </c>
      <c r="X82" s="1145">
        <v>5212</v>
      </c>
      <c r="Y82" s="1145">
        <v>5211.88</v>
      </c>
      <c r="Z82" s="1146">
        <v>2.3024321358144917E-5</v>
      </c>
      <c r="AA82" s="1147">
        <v>2085</v>
      </c>
      <c r="AB82" s="1135">
        <v>80</v>
      </c>
      <c r="AC82" s="1135">
        <v>10</v>
      </c>
      <c r="AD82" s="1134">
        <v>16</v>
      </c>
      <c r="AE82" s="1135">
        <v>81</v>
      </c>
      <c r="AF82" s="1135">
        <v>10</v>
      </c>
      <c r="AG82" s="1134">
        <v>15</v>
      </c>
      <c r="AH82" s="1135">
        <v>81</v>
      </c>
      <c r="AI82" s="1135">
        <v>10</v>
      </c>
      <c r="AJ82" s="1134">
        <v>22</v>
      </c>
      <c r="AK82" s="1134" t="s">
        <v>129</v>
      </c>
      <c r="AL82" s="1401" t="s">
        <v>22</v>
      </c>
    </row>
    <row r="83" spans="1:38" s="374" customFormat="1" ht="78" customHeight="1">
      <c r="A83" s="1133" t="s">
        <v>1084</v>
      </c>
      <c r="B83" s="1133" t="s">
        <v>1085</v>
      </c>
      <c r="C83" s="1134" t="s">
        <v>1086</v>
      </c>
      <c r="D83" s="1135" t="s">
        <v>22</v>
      </c>
      <c r="E83" s="1135" t="s">
        <v>22</v>
      </c>
      <c r="F83" s="1135" t="s">
        <v>22</v>
      </c>
      <c r="G83" s="1134" t="s">
        <v>22</v>
      </c>
      <c r="H83" s="375" t="s">
        <v>448</v>
      </c>
      <c r="I83" s="375" t="s">
        <v>1089</v>
      </c>
      <c r="J83" s="1136">
        <v>1</v>
      </c>
      <c r="K83" s="1131">
        <v>0.7</v>
      </c>
      <c r="L83" s="1148" t="s">
        <v>22</v>
      </c>
      <c r="M83" s="1139">
        <v>39426</v>
      </c>
      <c r="N83" s="1130">
        <v>40219</v>
      </c>
      <c r="O83" s="1135" t="s">
        <v>22</v>
      </c>
      <c r="P83" s="1149">
        <v>2010</v>
      </c>
      <c r="Q83" s="1141">
        <v>515000</v>
      </c>
      <c r="R83" s="1150">
        <v>2014584790</v>
      </c>
      <c r="S83" s="1150" t="s">
        <v>151</v>
      </c>
      <c r="T83" s="1142" t="s">
        <v>140</v>
      </c>
      <c r="U83" s="1143" t="s">
        <v>140</v>
      </c>
      <c r="V83" s="1144">
        <v>1</v>
      </c>
      <c r="W83" s="1141">
        <v>2014584790</v>
      </c>
      <c r="X83" s="1145">
        <v>3912</v>
      </c>
      <c r="Y83" s="1145">
        <v>3911.82</v>
      </c>
      <c r="Z83" s="1146">
        <v>4.6014387165005388E-5</v>
      </c>
      <c r="AA83" s="1147">
        <v>2738</v>
      </c>
      <c r="AB83" s="1135">
        <v>80</v>
      </c>
      <c r="AC83" s="1135">
        <v>10</v>
      </c>
      <c r="AD83" s="1134">
        <v>16</v>
      </c>
      <c r="AE83" s="1135">
        <v>81</v>
      </c>
      <c r="AF83" s="1135">
        <v>10</v>
      </c>
      <c r="AG83" s="1134">
        <v>15</v>
      </c>
      <c r="AH83" s="1135">
        <v>81</v>
      </c>
      <c r="AI83" s="1135">
        <v>10</v>
      </c>
      <c r="AJ83" s="1134">
        <v>22</v>
      </c>
      <c r="AK83" s="1134" t="s">
        <v>129</v>
      </c>
      <c r="AL83" s="1401" t="s">
        <v>22</v>
      </c>
    </row>
    <row r="84" spans="1:38" s="374" customFormat="1" ht="156" customHeight="1">
      <c r="A84" s="1133" t="s">
        <v>1084</v>
      </c>
      <c r="B84" s="1133" t="s">
        <v>1085</v>
      </c>
      <c r="C84" s="1134" t="s">
        <v>1086</v>
      </c>
      <c r="D84" s="1135" t="s">
        <v>22</v>
      </c>
      <c r="E84" s="1135" t="s">
        <v>22</v>
      </c>
      <c r="F84" s="1135" t="s">
        <v>22</v>
      </c>
      <c r="G84" s="1134" t="s">
        <v>22</v>
      </c>
      <c r="H84" s="375" t="s">
        <v>1038</v>
      </c>
      <c r="I84" s="375" t="s">
        <v>1090</v>
      </c>
      <c r="J84" s="1136" t="s">
        <v>903</v>
      </c>
      <c r="K84" s="1131">
        <v>0.4</v>
      </c>
      <c r="L84" s="1148" t="s">
        <v>22</v>
      </c>
      <c r="M84" s="1139">
        <v>41257</v>
      </c>
      <c r="N84" s="1130">
        <v>42104</v>
      </c>
      <c r="O84" s="1135" t="s">
        <v>22</v>
      </c>
      <c r="P84" s="1149">
        <v>2015</v>
      </c>
      <c r="Q84" s="1141">
        <v>644350</v>
      </c>
      <c r="R84" s="1150">
        <v>3281113149</v>
      </c>
      <c r="S84" s="1150" t="s">
        <v>151</v>
      </c>
      <c r="T84" s="1142" t="s">
        <v>140</v>
      </c>
      <c r="U84" s="1143" t="s">
        <v>140</v>
      </c>
      <c r="V84" s="1144">
        <v>1</v>
      </c>
      <c r="W84" s="1141">
        <v>3281113149</v>
      </c>
      <c r="X84" s="1145">
        <v>5092</v>
      </c>
      <c r="Y84" s="1145"/>
      <c r="Z84" s="1146" t="s">
        <v>140</v>
      </c>
      <c r="AA84" s="1147">
        <v>2037</v>
      </c>
      <c r="AB84" s="1135"/>
      <c r="AC84" s="1135"/>
      <c r="AD84" s="1134"/>
      <c r="AE84" s="1135"/>
      <c r="AF84" s="1135"/>
      <c r="AG84" s="1134"/>
      <c r="AH84" s="1135"/>
      <c r="AI84" s="1135"/>
      <c r="AJ84" s="1134"/>
      <c r="AK84" s="1134" t="s">
        <v>22</v>
      </c>
      <c r="AL84" s="1401" t="s">
        <v>22</v>
      </c>
    </row>
    <row r="85" spans="1:38" s="374" customFormat="1" ht="42.75">
      <c r="A85" s="1133" t="s">
        <v>1084</v>
      </c>
      <c r="B85" s="1133" t="s">
        <v>1091</v>
      </c>
      <c r="C85" s="386" t="s">
        <v>1092</v>
      </c>
      <c r="D85" s="1135" t="s">
        <v>22</v>
      </c>
      <c r="E85" s="1135" t="s">
        <v>22</v>
      </c>
      <c r="F85" s="1135" t="s">
        <v>22</v>
      </c>
      <c r="G85" s="1134" t="s">
        <v>22</v>
      </c>
      <c r="H85" s="375" t="s">
        <v>1093</v>
      </c>
      <c r="I85" s="375" t="s">
        <v>1094</v>
      </c>
      <c r="J85" s="1136">
        <v>3</v>
      </c>
      <c r="K85" s="1131">
        <v>1</v>
      </c>
      <c r="L85" s="1148" t="s">
        <v>22</v>
      </c>
      <c r="M85" s="1139">
        <v>38596</v>
      </c>
      <c r="N85" s="1130">
        <v>40298</v>
      </c>
      <c r="O85" s="1135" t="s">
        <v>22</v>
      </c>
      <c r="P85" s="1149">
        <v>2010</v>
      </c>
      <c r="Q85" s="1141">
        <v>515000</v>
      </c>
      <c r="R85" s="1150">
        <v>4600000</v>
      </c>
      <c r="S85" s="1150" t="s">
        <v>179</v>
      </c>
      <c r="T85" s="1142">
        <v>1</v>
      </c>
      <c r="U85" s="1143">
        <v>4600000</v>
      </c>
      <c r="V85" s="1144">
        <v>1969.75</v>
      </c>
      <c r="W85" s="1141">
        <v>9060850000</v>
      </c>
      <c r="X85" s="1145">
        <v>17594</v>
      </c>
      <c r="Y85" s="1145">
        <v>17593.88</v>
      </c>
      <c r="Z85" s="1146">
        <v>6.8205535106447002E-6</v>
      </c>
      <c r="AA85" s="1147">
        <v>17594</v>
      </c>
      <c r="AB85" s="1135">
        <v>80</v>
      </c>
      <c r="AC85" s="1135">
        <v>10</v>
      </c>
      <c r="AD85" s="1134">
        <v>16</v>
      </c>
      <c r="AE85" s="1135">
        <v>81</v>
      </c>
      <c r="AF85" s="1135">
        <v>10</v>
      </c>
      <c r="AG85" s="1134">
        <v>15</v>
      </c>
      <c r="AH85" s="1135">
        <v>81</v>
      </c>
      <c r="AI85" s="1135">
        <v>10</v>
      </c>
      <c r="AJ85" s="1134">
        <v>22</v>
      </c>
      <c r="AK85" s="1134" t="s">
        <v>129</v>
      </c>
      <c r="AL85" s="1401" t="s">
        <v>22</v>
      </c>
    </row>
    <row r="86" spans="1:38" s="374" customFormat="1" ht="90.95" customHeight="1">
      <c r="A86" s="1133" t="s">
        <v>1084</v>
      </c>
      <c r="B86" s="1133" t="s">
        <v>1095</v>
      </c>
      <c r="C86" s="386" t="s">
        <v>1096</v>
      </c>
      <c r="D86" s="1135" t="s">
        <v>22</v>
      </c>
      <c r="E86" s="1135" t="s">
        <v>22</v>
      </c>
      <c r="F86" s="1135" t="s">
        <v>22</v>
      </c>
      <c r="G86" s="1134" t="s">
        <v>22</v>
      </c>
      <c r="H86" s="375" t="s">
        <v>418</v>
      </c>
      <c r="I86" s="375" t="s">
        <v>420</v>
      </c>
      <c r="J86" s="1136">
        <v>17</v>
      </c>
      <c r="K86" s="1131">
        <v>0.60419999999999996</v>
      </c>
      <c r="L86" s="1148" t="s">
        <v>22</v>
      </c>
      <c r="M86" s="1139">
        <v>38397</v>
      </c>
      <c r="N86" s="1130">
        <v>40529</v>
      </c>
      <c r="O86" s="1135" t="s">
        <v>22</v>
      </c>
      <c r="P86" s="1149">
        <v>2010</v>
      </c>
      <c r="Q86" s="1141">
        <v>515000</v>
      </c>
      <c r="R86" s="1150">
        <v>1449512.87</v>
      </c>
      <c r="S86" s="1150" t="s">
        <v>142</v>
      </c>
      <c r="T86" s="1142">
        <v>1.3224</v>
      </c>
      <c r="U86" s="1143">
        <v>1916835.8192880002</v>
      </c>
      <c r="V86" s="1144">
        <v>1916.09</v>
      </c>
      <c r="W86" s="1141">
        <v>3672829944.9795442</v>
      </c>
      <c r="X86" s="1145">
        <v>7132</v>
      </c>
      <c r="Y86" s="1145">
        <v>8361.4699999999993</v>
      </c>
      <c r="Z86" s="1146">
        <v>0.14703993436560792</v>
      </c>
      <c r="AA86" s="1147">
        <v>4309</v>
      </c>
      <c r="AB86" s="1135">
        <v>80</v>
      </c>
      <c r="AC86" s="1135">
        <v>10</v>
      </c>
      <c r="AD86" s="1134">
        <v>16</v>
      </c>
      <c r="AE86" s="1135">
        <v>81</v>
      </c>
      <c r="AF86" s="1135">
        <v>10</v>
      </c>
      <c r="AG86" s="1134">
        <v>15</v>
      </c>
      <c r="AH86" s="1135">
        <v>81</v>
      </c>
      <c r="AI86" s="1135">
        <v>10</v>
      </c>
      <c r="AJ86" s="1134">
        <v>22</v>
      </c>
      <c r="AK86" s="1134" t="s">
        <v>129</v>
      </c>
      <c r="AL86" s="1401" t="s">
        <v>22</v>
      </c>
    </row>
    <row r="87" spans="1:38" s="374" customFormat="1" ht="65.099999999999994" customHeight="1">
      <c r="A87" s="1133" t="s">
        <v>1097</v>
      </c>
      <c r="B87" s="1133" t="s">
        <v>1098</v>
      </c>
      <c r="C87" s="386" t="s">
        <v>1099</v>
      </c>
      <c r="D87" s="1135" t="s">
        <v>22</v>
      </c>
      <c r="E87" s="1135" t="s">
        <v>22</v>
      </c>
      <c r="F87" s="1135" t="s">
        <v>22</v>
      </c>
      <c r="G87" s="1134" t="s">
        <v>22</v>
      </c>
      <c r="H87" s="375" t="s">
        <v>448</v>
      </c>
      <c r="I87" s="375" t="s">
        <v>1100</v>
      </c>
      <c r="J87" s="1136">
        <v>1</v>
      </c>
      <c r="K87" s="1131">
        <v>1</v>
      </c>
      <c r="L87" s="1148" t="s">
        <v>22</v>
      </c>
      <c r="M87" s="1139">
        <v>39062</v>
      </c>
      <c r="N87" s="1130">
        <v>40476</v>
      </c>
      <c r="O87" s="1135" t="s">
        <v>22</v>
      </c>
      <c r="P87" s="1149">
        <v>2010</v>
      </c>
      <c r="Q87" s="1141">
        <v>515000</v>
      </c>
      <c r="R87" s="1150">
        <v>2398644428</v>
      </c>
      <c r="S87" s="1150" t="s">
        <v>151</v>
      </c>
      <c r="T87" s="1142" t="s">
        <v>140</v>
      </c>
      <c r="U87" s="1143" t="s">
        <v>140</v>
      </c>
      <c r="V87" s="1144">
        <v>1</v>
      </c>
      <c r="W87" s="1141">
        <v>2398644428</v>
      </c>
      <c r="X87" s="1145">
        <v>4658</v>
      </c>
      <c r="Y87" s="1145">
        <v>4667.5600000000004</v>
      </c>
      <c r="Z87" s="1146">
        <v>2.0481793485247479E-3</v>
      </c>
      <c r="AA87" s="1147">
        <v>4658</v>
      </c>
      <c r="AB87" s="1135">
        <v>80</v>
      </c>
      <c r="AC87" s="1135">
        <v>10</v>
      </c>
      <c r="AD87" s="1134">
        <v>16</v>
      </c>
      <c r="AE87" s="1135">
        <v>81</v>
      </c>
      <c r="AF87" s="1135">
        <v>10</v>
      </c>
      <c r="AG87" s="1134">
        <v>15</v>
      </c>
      <c r="AH87" s="1135">
        <v>81</v>
      </c>
      <c r="AI87" s="1135">
        <v>10</v>
      </c>
      <c r="AJ87" s="1134">
        <v>22</v>
      </c>
      <c r="AK87" s="1134" t="s">
        <v>129</v>
      </c>
      <c r="AL87" s="1401" t="s">
        <v>22</v>
      </c>
    </row>
    <row r="88" spans="1:38" s="374" customFormat="1" ht="78" customHeight="1">
      <c r="A88" s="1133" t="s">
        <v>1097</v>
      </c>
      <c r="B88" s="1133" t="s">
        <v>1098</v>
      </c>
      <c r="C88" s="386" t="s">
        <v>1099</v>
      </c>
      <c r="D88" s="1135" t="s">
        <v>22</v>
      </c>
      <c r="E88" s="1135" t="s">
        <v>22</v>
      </c>
      <c r="F88" s="1135" t="s">
        <v>22</v>
      </c>
      <c r="G88" s="1134" t="s">
        <v>22</v>
      </c>
      <c r="H88" s="375" t="s">
        <v>517</v>
      </c>
      <c r="I88" s="375" t="s">
        <v>1101</v>
      </c>
      <c r="J88" s="1136" t="s">
        <v>903</v>
      </c>
      <c r="K88" s="1131">
        <v>0.2</v>
      </c>
      <c r="L88" s="1148" t="s">
        <v>22</v>
      </c>
      <c r="M88" s="1139">
        <v>40567</v>
      </c>
      <c r="N88" s="1130">
        <v>42226</v>
      </c>
      <c r="O88" s="1135" t="s">
        <v>22</v>
      </c>
      <c r="P88" s="1149">
        <v>2015</v>
      </c>
      <c r="Q88" s="1141">
        <v>644350</v>
      </c>
      <c r="R88" s="1150">
        <v>34817301515</v>
      </c>
      <c r="S88" s="1150" t="s">
        <v>151</v>
      </c>
      <c r="T88" s="1142" t="s">
        <v>140</v>
      </c>
      <c r="U88" s="1143" t="s">
        <v>140</v>
      </c>
      <c r="V88" s="1144">
        <v>1</v>
      </c>
      <c r="W88" s="1141">
        <v>34817301515</v>
      </c>
      <c r="X88" s="1145">
        <v>54035</v>
      </c>
      <c r="Y88" s="1145"/>
      <c r="Z88" s="1146" t="s">
        <v>140</v>
      </c>
      <c r="AA88" s="1147">
        <v>10807</v>
      </c>
      <c r="AB88" s="1135"/>
      <c r="AC88" s="1135"/>
      <c r="AD88" s="1134"/>
      <c r="AE88" s="1135"/>
      <c r="AF88" s="1135"/>
      <c r="AG88" s="1134"/>
      <c r="AH88" s="1135"/>
      <c r="AI88" s="1135"/>
      <c r="AJ88" s="1134"/>
      <c r="AK88" s="1134" t="s">
        <v>22</v>
      </c>
      <c r="AL88" s="1401" t="s">
        <v>22</v>
      </c>
    </row>
    <row r="89" spans="1:38" s="374" customFormat="1" ht="78" customHeight="1">
      <c r="A89" s="1133" t="s">
        <v>1097</v>
      </c>
      <c r="B89" s="1133" t="s">
        <v>1102</v>
      </c>
      <c r="C89" s="1134" t="s">
        <v>1103</v>
      </c>
      <c r="D89" s="1135" t="s">
        <v>22</v>
      </c>
      <c r="E89" s="1135" t="s">
        <v>22</v>
      </c>
      <c r="F89" s="1135" t="s">
        <v>22</v>
      </c>
      <c r="G89" s="1134" t="s">
        <v>22</v>
      </c>
      <c r="H89" s="375" t="s">
        <v>1038</v>
      </c>
      <c r="I89" s="375" t="s">
        <v>1104</v>
      </c>
      <c r="J89" s="1136">
        <v>14</v>
      </c>
      <c r="K89" s="1131">
        <v>0.6</v>
      </c>
      <c r="L89" s="1148" t="s">
        <v>22</v>
      </c>
      <c r="M89" s="1139">
        <v>41121</v>
      </c>
      <c r="N89" s="1130">
        <v>41961</v>
      </c>
      <c r="O89" s="1135" t="s">
        <v>22</v>
      </c>
      <c r="P89" s="1149">
        <v>2014</v>
      </c>
      <c r="Q89" s="1141">
        <v>616000</v>
      </c>
      <c r="R89" s="1150">
        <v>3121715915</v>
      </c>
      <c r="S89" s="1150" t="s">
        <v>151</v>
      </c>
      <c r="T89" s="1142" t="s">
        <v>140</v>
      </c>
      <c r="U89" s="1143" t="s">
        <v>140</v>
      </c>
      <c r="V89" s="1144">
        <v>1</v>
      </c>
      <c r="W89" s="1141">
        <v>3121715915</v>
      </c>
      <c r="X89" s="1145">
        <v>5068</v>
      </c>
      <c r="Y89" s="1145">
        <v>5067.72</v>
      </c>
      <c r="Z89" s="1146">
        <v>5.5251671362999133E-5</v>
      </c>
      <c r="AA89" s="1147">
        <v>3041</v>
      </c>
      <c r="AB89" s="1135">
        <v>81</v>
      </c>
      <c r="AC89" s="1135">
        <v>10</v>
      </c>
      <c r="AD89" s="1134">
        <v>16</v>
      </c>
      <c r="AE89" s="1135">
        <v>81</v>
      </c>
      <c r="AF89" s="1135">
        <v>10</v>
      </c>
      <c r="AG89" s="1134">
        <v>15</v>
      </c>
      <c r="AH89" s="1135"/>
      <c r="AI89" s="1135"/>
      <c r="AJ89" s="1134"/>
      <c r="AK89" s="1134" t="s">
        <v>129</v>
      </c>
      <c r="AL89" s="1401" t="s">
        <v>22</v>
      </c>
    </row>
    <row r="90" spans="1:38" s="374" customFormat="1" ht="129.94999999999999" customHeight="1">
      <c r="A90" s="1133" t="s">
        <v>1097</v>
      </c>
      <c r="B90" s="1133" t="s">
        <v>1102</v>
      </c>
      <c r="C90" s="1134" t="s">
        <v>1103</v>
      </c>
      <c r="D90" s="1135" t="s">
        <v>22</v>
      </c>
      <c r="E90" s="1135" t="s">
        <v>22</v>
      </c>
      <c r="F90" s="1135" t="s">
        <v>22</v>
      </c>
      <c r="G90" s="1134" t="s">
        <v>22</v>
      </c>
      <c r="H90" s="375" t="s">
        <v>1038</v>
      </c>
      <c r="I90" s="375" t="s">
        <v>1105</v>
      </c>
      <c r="J90" s="1136" t="s">
        <v>903</v>
      </c>
      <c r="K90" s="1131">
        <v>0.6</v>
      </c>
      <c r="L90" s="1148" t="s">
        <v>22</v>
      </c>
      <c r="M90" s="1139">
        <v>41123</v>
      </c>
      <c r="N90" s="1130">
        <v>42139</v>
      </c>
      <c r="O90" s="1135" t="s">
        <v>22</v>
      </c>
      <c r="P90" s="1149">
        <v>2015</v>
      </c>
      <c r="Q90" s="1141">
        <v>644350</v>
      </c>
      <c r="R90" s="1150">
        <v>5897603327</v>
      </c>
      <c r="S90" s="1150" t="s">
        <v>151</v>
      </c>
      <c r="T90" s="1142" t="s">
        <v>140</v>
      </c>
      <c r="U90" s="1143" t="s">
        <v>140</v>
      </c>
      <c r="V90" s="1144">
        <v>1</v>
      </c>
      <c r="W90" s="1141">
        <v>5897603327</v>
      </c>
      <c r="X90" s="1145">
        <v>9153</v>
      </c>
      <c r="Y90" s="1145"/>
      <c r="Z90" s="1146" t="s">
        <v>140</v>
      </c>
      <c r="AA90" s="1147">
        <v>5492</v>
      </c>
      <c r="AB90" s="1135"/>
      <c r="AC90" s="1135"/>
      <c r="AD90" s="1134"/>
      <c r="AE90" s="1135"/>
      <c r="AF90" s="1135"/>
      <c r="AG90" s="1134"/>
      <c r="AH90" s="1135"/>
      <c r="AI90" s="1135"/>
      <c r="AJ90" s="1134"/>
      <c r="AK90" s="1134" t="s">
        <v>22</v>
      </c>
      <c r="AL90" s="1401" t="s">
        <v>22</v>
      </c>
    </row>
    <row r="91" spans="1:38" s="374" customFormat="1" ht="65.099999999999994" customHeight="1">
      <c r="A91" s="1133" t="s">
        <v>1106</v>
      </c>
      <c r="B91" s="1133" t="s">
        <v>1107</v>
      </c>
      <c r="C91" s="386" t="s">
        <v>1108</v>
      </c>
      <c r="D91" s="1135" t="s">
        <v>22</v>
      </c>
      <c r="E91" s="1135" t="s">
        <v>22</v>
      </c>
      <c r="F91" s="1135" t="s">
        <v>22</v>
      </c>
      <c r="G91" s="1134" t="s">
        <v>22</v>
      </c>
      <c r="H91" s="375" t="s">
        <v>442</v>
      </c>
      <c r="I91" s="375" t="s">
        <v>1109</v>
      </c>
      <c r="J91" s="1136">
        <v>19</v>
      </c>
      <c r="K91" s="1131">
        <v>0.5</v>
      </c>
      <c r="L91" s="1148" t="s">
        <v>22</v>
      </c>
      <c r="M91" s="1139">
        <v>36333</v>
      </c>
      <c r="N91" s="1130">
        <v>38915</v>
      </c>
      <c r="O91" s="1135" t="s">
        <v>22</v>
      </c>
      <c r="P91" s="1149">
        <v>2006</v>
      </c>
      <c r="Q91" s="1141">
        <v>408000</v>
      </c>
      <c r="R91" s="1150">
        <v>19941780178.779999</v>
      </c>
      <c r="S91" s="1150" t="s">
        <v>151</v>
      </c>
      <c r="T91" s="1142" t="s">
        <v>140</v>
      </c>
      <c r="U91" s="1143" t="s">
        <v>140</v>
      </c>
      <c r="V91" s="1144">
        <v>1</v>
      </c>
      <c r="W91" s="1141">
        <v>19941780178.779999</v>
      </c>
      <c r="X91" s="1145">
        <v>48877</v>
      </c>
      <c r="Y91" s="1145">
        <v>48876.91</v>
      </c>
      <c r="Z91" s="1146">
        <v>1.8413602660416473E-6</v>
      </c>
      <c r="AA91" s="1147">
        <v>24439</v>
      </c>
      <c r="AB91" s="1135">
        <v>80</v>
      </c>
      <c r="AC91" s="1135">
        <v>10</v>
      </c>
      <c r="AD91" s="1134">
        <v>16</v>
      </c>
      <c r="AE91" s="1135">
        <v>81</v>
      </c>
      <c r="AF91" s="1135">
        <v>10</v>
      </c>
      <c r="AG91" s="1134">
        <v>15</v>
      </c>
      <c r="AH91" s="1135">
        <v>81</v>
      </c>
      <c r="AI91" s="1135">
        <v>10</v>
      </c>
      <c r="AJ91" s="1134">
        <v>22</v>
      </c>
      <c r="AK91" s="1134" t="s">
        <v>129</v>
      </c>
      <c r="AL91" s="1401" t="s">
        <v>22</v>
      </c>
    </row>
    <row r="92" spans="1:38" s="374" customFormat="1" ht="51.95" customHeight="1">
      <c r="A92" s="1133" t="s">
        <v>1106</v>
      </c>
      <c r="B92" s="1133" t="s">
        <v>1107</v>
      </c>
      <c r="C92" s="386" t="s">
        <v>1108</v>
      </c>
      <c r="D92" s="1135" t="s">
        <v>22</v>
      </c>
      <c r="E92" s="1135" t="s">
        <v>22</v>
      </c>
      <c r="F92" s="1135" t="s">
        <v>22</v>
      </c>
      <c r="G92" s="1134" t="s">
        <v>22</v>
      </c>
      <c r="H92" s="375" t="s">
        <v>1005</v>
      </c>
      <c r="I92" s="375" t="s">
        <v>1110</v>
      </c>
      <c r="J92" s="1136">
        <v>2</v>
      </c>
      <c r="K92" s="1131">
        <v>0.3</v>
      </c>
      <c r="L92" s="1148" t="s">
        <v>22</v>
      </c>
      <c r="M92" s="1139">
        <v>39934</v>
      </c>
      <c r="N92" s="1130">
        <v>41029</v>
      </c>
      <c r="O92" s="1135" t="s">
        <v>22</v>
      </c>
      <c r="P92" s="1149">
        <v>2012</v>
      </c>
      <c r="Q92" s="1141">
        <v>566700</v>
      </c>
      <c r="R92" s="1150">
        <v>9410306932</v>
      </c>
      <c r="S92" s="1150" t="s">
        <v>151</v>
      </c>
      <c r="T92" s="1142" t="s">
        <v>140</v>
      </c>
      <c r="U92" s="1143" t="s">
        <v>140</v>
      </c>
      <c r="V92" s="1144">
        <v>1</v>
      </c>
      <c r="W92" s="1141">
        <v>9410306932</v>
      </c>
      <c r="X92" s="1145">
        <v>16605</v>
      </c>
      <c r="Y92" s="1145">
        <v>16605.45</v>
      </c>
      <c r="Z92" s="1146">
        <v>2.7099536597963159E-5</v>
      </c>
      <c r="AA92" s="1147">
        <v>4982</v>
      </c>
      <c r="AB92" s="1135"/>
      <c r="AC92" s="1135"/>
      <c r="AD92" s="1134"/>
      <c r="AE92" s="1135">
        <v>81</v>
      </c>
      <c r="AF92" s="1135">
        <v>10</v>
      </c>
      <c r="AG92" s="1134">
        <v>15</v>
      </c>
      <c r="AH92" s="1135">
        <v>81</v>
      </c>
      <c r="AI92" s="1135">
        <v>10</v>
      </c>
      <c r="AJ92" s="1134">
        <v>22</v>
      </c>
      <c r="AK92" s="1134" t="s">
        <v>129</v>
      </c>
      <c r="AL92" s="1401" t="s">
        <v>22</v>
      </c>
    </row>
    <row r="93" spans="1:38" s="374" customFormat="1" ht="65.099999999999994" customHeight="1">
      <c r="A93" s="1133" t="s">
        <v>1106</v>
      </c>
      <c r="B93" s="1133" t="s">
        <v>1107</v>
      </c>
      <c r="C93" s="386" t="s">
        <v>1108</v>
      </c>
      <c r="D93" s="1135" t="s">
        <v>22</v>
      </c>
      <c r="E93" s="1135" t="s">
        <v>22</v>
      </c>
      <c r="F93" s="1135" t="s">
        <v>22</v>
      </c>
      <c r="G93" s="1134" t="s">
        <v>22</v>
      </c>
      <c r="H93" s="375" t="s">
        <v>442</v>
      </c>
      <c r="I93" s="375" t="s">
        <v>1111</v>
      </c>
      <c r="J93" s="1136">
        <v>15</v>
      </c>
      <c r="K93" s="1131">
        <v>0.5</v>
      </c>
      <c r="L93" s="1148" t="s">
        <v>22</v>
      </c>
      <c r="M93" s="1139">
        <v>38916</v>
      </c>
      <c r="N93" s="1130">
        <v>40267</v>
      </c>
      <c r="O93" s="1135" t="s">
        <v>22</v>
      </c>
      <c r="P93" s="1149">
        <v>2010</v>
      </c>
      <c r="Q93" s="1141">
        <v>515000</v>
      </c>
      <c r="R93" s="1150">
        <v>7564702533</v>
      </c>
      <c r="S93" s="1150" t="s">
        <v>151</v>
      </c>
      <c r="T93" s="1142" t="s">
        <v>140</v>
      </c>
      <c r="U93" s="1143" t="s">
        <v>140</v>
      </c>
      <c r="V93" s="1144">
        <v>1</v>
      </c>
      <c r="W93" s="1141">
        <v>7564702533</v>
      </c>
      <c r="X93" s="1145">
        <v>14689</v>
      </c>
      <c r="Y93" s="1145">
        <v>14688.74</v>
      </c>
      <c r="Z93" s="1146">
        <v>1.7700633274220223E-5</v>
      </c>
      <c r="AA93" s="1147">
        <v>7345</v>
      </c>
      <c r="AB93" s="1135"/>
      <c r="AC93" s="1135"/>
      <c r="AD93" s="1134"/>
      <c r="AE93" s="1135">
        <v>81</v>
      </c>
      <c r="AF93" s="1135">
        <v>10</v>
      </c>
      <c r="AG93" s="1134">
        <v>15</v>
      </c>
      <c r="AH93" s="1135">
        <v>81</v>
      </c>
      <c r="AI93" s="1135">
        <v>10</v>
      </c>
      <c r="AJ93" s="1134">
        <v>22</v>
      </c>
      <c r="AK93" s="1134" t="s">
        <v>129</v>
      </c>
      <c r="AL93" s="1401" t="s">
        <v>22</v>
      </c>
    </row>
    <row r="94" spans="1:38" s="374" customFormat="1" ht="78" customHeight="1">
      <c r="A94" s="1133" t="s">
        <v>1106</v>
      </c>
      <c r="B94" s="1133" t="s">
        <v>1112</v>
      </c>
      <c r="C94" s="1134" t="s">
        <v>581</v>
      </c>
      <c r="D94" s="1135" t="s">
        <v>22</v>
      </c>
      <c r="E94" s="1135" t="s">
        <v>22</v>
      </c>
      <c r="F94" s="1135" t="s">
        <v>22</v>
      </c>
      <c r="G94" s="1134" t="s">
        <v>22</v>
      </c>
      <c r="H94" s="375" t="s">
        <v>448</v>
      </c>
      <c r="I94" s="375" t="s">
        <v>583</v>
      </c>
      <c r="J94" s="1136">
        <v>1</v>
      </c>
      <c r="K94" s="1131">
        <v>0.5</v>
      </c>
      <c r="L94" s="1148" t="s">
        <v>22</v>
      </c>
      <c r="M94" s="1139">
        <v>40137</v>
      </c>
      <c r="N94" s="1130">
        <v>41232</v>
      </c>
      <c r="O94" s="1135" t="s">
        <v>22</v>
      </c>
      <c r="P94" s="1149">
        <v>2012</v>
      </c>
      <c r="Q94" s="1141">
        <v>566700</v>
      </c>
      <c r="R94" s="1150">
        <v>4761160509</v>
      </c>
      <c r="S94" s="1150" t="s">
        <v>151</v>
      </c>
      <c r="T94" s="1142" t="s">
        <v>140</v>
      </c>
      <c r="U94" s="1143" t="s">
        <v>140</v>
      </c>
      <c r="V94" s="1144">
        <v>1</v>
      </c>
      <c r="W94" s="1141">
        <v>4761160509</v>
      </c>
      <c r="X94" s="1145">
        <v>8402</v>
      </c>
      <c r="Y94" s="1145">
        <v>8401.5499999999993</v>
      </c>
      <c r="Z94" s="1146">
        <v>5.356154519109424E-5</v>
      </c>
      <c r="AA94" s="1147">
        <v>4201</v>
      </c>
      <c r="AB94" s="1135">
        <v>80</v>
      </c>
      <c r="AC94" s="1135">
        <v>10</v>
      </c>
      <c r="AD94" s="1134">
        <v>16</v>
      </c>
      <c r="AE94" s="1135">
        <v>81</v>
      </c>
      <c r="AF94" s="1135">
        <v>10</v>
      </c>
      <c r="AG94" s="1134">
        <v>15</v>
      </c>
      <c r="AH94" s="1135">
        <v>81</v>
      </c>
      <c r="AI94" s="1135">
        <v>10</v>
      </c>
      <c r="AJ94" s="1134">
        <v>22</v>
      </c>
      <c r="AK94" s="1134" t="s">
        <v>129</v>
      </c>
      <c r="AL94" s="1401" t="s">
        <v>22</v>
      </c>
    </row>
    <row r="95" spans="1:38" s="374" customFormat="1" ht="78" customHeight="1">
      <c r="A95" s="1133" t="s">
        <v>1106</v>
      </c>
      <c r="B95" s="1133" t="s">
        <v>1112</v>
      </c>
      <c r="C95" s="1134" t="s">
        <v>581</v>
      </c>
      <c r="D95" s="1135" t="s">
        <v>22</v>
      </c>
      <c r="E95" s="1135" t="s">
        <v>22</v>
      </c>
      <c r="F95" s="1135" t="s">
        <v>22</v>
      </c>
      <c r="G95" s="1134" t="s">
        <v>22</v>
      </c>
      <c r="H95" s="375" t="s">
        <v>448</v>
      </c>
      <c r="I95" s="375" t="s">
        <v>587</v>
      </c>
      <c r="J95" s="1136">
        <v>8</v>
      </c>
      <c r="K95" s="1131">
        <v>0.4</v>
      </c>
      <c r="L95" s="1148" t="s">
        <v>22</v>
      </c>
      <c r="M95" s="1139">
        <v>40143</v>
      </c>
      <c r="N95" s="1130">
        <v>41183</v>
      </c>
      <c r="O95" s="1135" t="s">
        <v>22</v>
      </c>
      <c r="P95" s="1149">
        <v>2012</v>
      </c>
      <c r="Q95" s="1141">
        <v>566700</v>
      </c>
      <c r="R95" s="1150">
        <v>4331349652</v>
      </c>
      <c r="S95" s="1150" t="s">
        <v>151</v>
      </c>
      <c r="T95" s="1142" t="s">
        <v>140</v>
      </c>
      <c r="U95" s="1143" t="s">
        <v>140</v>
      </c>
      <c r="V95" s="1144">
        <v>1</v>
      </c>
      <c r="W95" s="1141">
        <v>4331349652</v>
      </c>
      <c r="X95" s="1145">
        <v>7643</v>
      </c>
      <c r="Y95" s="1145">
        <v>7643.11</v>
      </c>
      <c r="Z95" s="1146">
        <v>1.4392047216316151E-5</v>
      </c>
      <c r="AA95" s="1147">
        <v>3057</v>
      </c>
      <c r="AB95" s="1135"/>
      <c r="AC95" s="1135"/>
      <c r="AD95" s="1134"/>
      <c r="AE95" s="1135">
        <v>81</v>
      </c>
      <c r="AF95" s="1135">
        <v>10</v>
      </c>
      <c r="AG95" s="1134">
        <v>15</v>
      </c>
      <c r="AH95" s="1135">
        <v>81</v>
      </c>
      <c r="AI95" s="1135">
        <v>10</v>
      </c>
      <c r="AJ95" s="1134">
        <v>22</v>
      </c>
      <c r="AK95" s="1134" t="s">
        <v>129</v>
      </c>
      <c r="AL95" s="1401" t="s">
        <v>22</v>
      </c>
    </row>
    <row r="96" spans="1:38" s="374" customFormat="1" ht="129.94999999999999" customHeight="1">
      <c r="A96" s="1133" t="s">
        <v>1113</v>
      </c>
      <c r="B96" s="1133" t="s">
        <v>1114</v>
      </c>
      <c r="C96" s="386" t="s">
        <v>1115</v>
      </c>
      <c r="D96" s="1135" t="s">
        <v>22</v>
      </c>
      <c r="E96" s="1135" t="s">
        <v>22</v>
      </c>
      <c r="F96" s="1135" t="s">
        <v>22</v>
      </c>
      <c r="G96" s="1134" t="s">
        <v>22</v>
      </c>
      <c r="H96" s="992" t="s">
        <v>517</v>
      </c>
      <c r="I96" s="375" t="s">
        <v>1116</v>
      </c>
      <c r="J96" s="1136" t="s">
        <v>903</v>
      </c>
      <c r="K96" s="1131">
        <v>0.33329999999999999</v>
      </c>
      <c r="L96" s="1148" t="s">
        <v>22</v>
      </c>
      <c r="M96" s="1139">
        <v>41015</v>
      </c>
      <c r="N96" s="1130">
        <v>42131</v>
      </c>
      <c r="O96" s="1135" t="s">
        <v>22</v>
      </c>
      <c r="P96" s="1149">
        <v>2015</v>
      </c>
      <c r="Q96" s="1141">
        <v>644350</v>
      </c>
      <c r="R96" s="1150">
        <v>27606341454</v>
      </c>
      <c r="S96" s="1150" t="s">
        <v>151</v>
      </c>
      <c r="T96" s="1142" t="s">
        <v>140</v>
      </c>
      <c r="U96" s="1143" t="s">
        <v>140</v>
      </c>
      <c r="V96" s="1144">
        <v>1</v>
      </c>
      <c r="W96" s="1141">
        <v>27606341454</v>
      </c>
      <c r="X96" s="1145">
        <v>42844</v>
      </c>
      <c r="Y96" s="1166"/>
      <c r="Z96" s="1146" t="s">
        <v>140</v>
      </c>
      <c r="AA96" s="1147">
        <v>14280</v>
      </c>
      <c r="AB96" s="1135"/>
      <c r="AC96" s="1135"/>
      <c r="AD96" s="1134"/>
      <c r="AE96" s="1135"/>
      <c r="AF96" s="1135"/>
      <c r="AG96" s="1134"/>
      <c r="AH96" s="1135"/>
      <c r="AI96" s="1135"/>
      <c r="AJ96" s="1134"/>
      <c r="AK96" s="1134" t="s">
        <v>22</v>
      </c>
      <c r="AL96" s="1401" t="s">
        <v>22</v>
      </c>
    </row>
    <row r="97" spans="1:38" s="374" customFormat="1" ht="65.099999999999994" customHeight="1">
      <c r="A97" s="1133" t="s">
        <v>1113</v>
      </c>
      <c r="B97" s="1133" t="s">
        <v>1114</v>
      </c>
      <c r="C97" s="386" t="s">
        <v>1115</v>
      </c>
      <c r="D97" s="1135" t="s">
        <v>22</v>
      </c>
      <c r="E97" s="1135" t="s">
        <v>22</v>
      </c>
      <c r="F97" s="1135" t="s">
        <v>22</v>
      </c>
      <c r="G97" s="1134" t="s">
        <v>22</v>
      </c>
      <c r="H97" s="992" t="s">
        <v>1038</v>
      </c>
      <c r="I97" s="375" t="s">
        <v>1117</v>
      </c>
      <c r="J97" s="1136">
        <v>1</v>
      </c>
      <c r="K97" s="1131">
        <v>0.5</v>
      </c>
      <c r="L97" s="1148" t="s">
        <v>22</v>
      </c>
      <c r="M97" s="1139">
        <v>36312</v>
      </c>
      <c r="N97" s="1130">
        <v>37833</v>
      </c>
      <c r="O97" s="1135" t="s">
        <v>22</v>
      </c>
      <c r="P97" s="1149">
        <v>2003</v>
      </c>
      <c r="Q97" s="1141">
        <v>332000</v>
      </c>
      <c r="R97" s="1150">
        <v>5331439397</v>
      </c>
      <c r="S97" s="1150" t="s">
        <v>151</v>
      </c>
      <c r="T97" s="1142" t="s">
        <v>140</v>
      </c>
      <c r="U97" s="1143" t="s">
        <v>140</v>
      </c>
      <c r="V97" s="1144">
        <v>1</v>
      </c>
      <c r="W97" s="1141">
        <v>5331439397</v>
      </c>
      <c r="X97" s="1145">
        <v>16059</v>
      </c>
      <c r="Y97" s="1157">
        <v>16058.55</v>
      </c>
      <c r="Z97" s="1146">
        <v>2.8022455327514351E-5</v>
      </c>
      <c r="AA97" s="1147">
        <v>8030</v>
      </c>
      <c r="AB97" s="1135"/>
      <c r="AC97" s="1135"/>
      <c r="AD97" s="1134"/>
      <c r="AE97" s="1135">
        <v>81</v>
      </c>
      <c r="AF97" s="1135">
        <v>10</v>
      </c>
      <c r="AG97" s="1134">
        <v>15</v>
      </c>
      <c r="AH97" s="1135">
        <v>81</v>
      </c>
      <c r="AI97" s="1135">
        <v>10</v>
      </c>
      <c r="AJ97" s="1134">
        <v>22</v>
      </c>
      <c r="AK97" s="1134" t="s">
        <v>129</v>
      </c>
      <c r="AL97" s="1401" t="s">
        <v>22</v>
      </c>
    </row>
    <row r="98" spans="1:38" s="374" customFormat="1" ht="51.95" customHeight="1">
      <c r="A98" s="1133" t="s">
        <v>1113</v>
      </c>
      <c r="B98" s="1133" t="s">
        <v>1114</v>
      </c>
      <c r="C98" s="386" t="s">
        <v>1115</v>
      </c>
      <c r="D98" s="1135" t="s">
        <v>22</v>
      </c>
      <c r="E98" s="1135" t="s">
        <v>22</v>
      </c>
      <c r="F98" s="1135" t="s">
        <v>22</v>
      </c>
      <c r="G98" s="1134" t="s">
        <v>22</v>
      </c>
      <c r="H98" s="992" t="s">
        <v>442</v>
      </c>
      <c r="I98" s="375" t="s">
        <v>1118</v>
      </c>
      <c r="J98" s="1136">
        <v>2</v>
      </c>
      <c r="K98" s="1131">
        <v>0.75</v>
      </c>
      <c r="L98" s="1148" t="s">
        <v>22</v>
      </c>
      <c r="M98" s="1139">
        <v>39534</v>
      </c>
      <c r="N98" s="1130">
        <v>40628</v>
      </c>
      <c r="O98" s="1135" t="s">
        <v>22</v>
      </c>
      <c r="P98" s="1149">
        <v>2011</v>
      </c>
      <c r="Q98" s="1141">
        <v>535600</v>
      </c>
      <c r="R98" s="1150">
        <v>3753633746</v>
      </c>
      <c r="S98" s="1150" t="s">
        <v>151</v>
      </c>
      <c r="T98" s="1142" t="s">
        <v>140</v>
      </c>
      <c r="U98" s="1143" t="s">
        <v>140</v>
      </c>
      <c r="V98" s="1144">
        <v>1</v>
      </c>
      <c r="W98" s="1141">
        <v>3753633746</v>
      </c>
      <c r="X98" s="1145">
        <v>7008</v>
      </c>
      <c r="Y98" s="1157">
        <v>7008.28</v>
      </c>
      <c r="Z98" s="1146">
        <v>3.995274161416873E-5</v>
      </c>
      <c r="AA98" s="1147">
        <v>5256</v>
      </c>
      <c r="AB98" s="1135"/>
      <c r="AC98" s="1135"/>
      <c r="AD98" s="1134"/>
      <c r="AE98" s="1135">
        <v>81</v>
      </c>
      <c r="AF98" s="1135">
        <v>10</v>
      </c>
      <c r="AG98" s="1134">
        <v>15</v>
      </c>
      <c r="AH98" s="1135">
        <v>81</v>
      </c>
      <c r="AI98" s="1135">
        <v>10</v>
      </c>
      <c r="AJ98" s="1134">
        <v>22</v>
      </c>
      <c r="AK98" s="1134" t="s">
        <v>129</v>
      </c>
      <c r="AL98" s="1401" t="s">
        <v>22</v>
      </c>
    </row>
    <row r="99" spans="1:38" s="374" customFormat="1" ht="65.099999999999994" customHeight="1">
      <c r="A99" s="1133" t="s">
        <v>1113</v>
      </c>
      <c r="B99" s="1133" t="s">
        <v>1114</v>
      </c>
      <c r="C99" s="386" t="s">
        <v>1115</v>
      </c>
      <c r="D99" s="1135" t="s">
        <v>22</v>
      </c>
      <c r="E99" s="1135" t="s">
        <v>22</v>
      </c>
      <c r="F99" s="1135" t="s">
        <v>22</v>
      </c>
      <c r="G99" s="1134" t="s">
        <v>22</v>
      </c>
      <c r="H99" s="992" t="s">
        <v>1038</v>
      </c>
      <c r="I99" s="375" t="s">
        <v>1119</v>
      </c>
      <c r="J99" s="1136">
        <v>3</v>
      </c>
      <c r="K99" s="1131">
        <v>0.5</v>
      </c>
      <c r="L99" s="1148" t="s">
        <v>22</v>
      </c>
      <c r="M99" s="1139">
        <v>35612</v>
      </c>
      <c r="N99" s="1130">
        <v>36311</v>
      </c>
      <c r="O99" s="1135" t="s">
        <v>22</v>
      </c>
      <c r="P99" s="1149">
        <v>1999</v>
      </c>
      <c r="Q99" s="1141">
        <v>236460</v>
      </c>
      <c r="R99" s="1150">
        <v>1549994366</v>
      </c>
      <c r="S99" s="1150" t="s">
        <v>151</v>
      </c>
      <c r="T99" s="1142" t="s">
        <v>140</v>
      </c>
      <c r="U99" s="1143" t="s">
        <v>140</v>
      </c>
      <c r="V99" s="1144">
        <v>1</v>
      </c>
      <c r="W99" s="1141">
        <v>1549994366</v>
      </c>
      <c r="X99" s="1145">
        <v>6555</v>
      </c>
      <c r="Y99" s="1157">
        <v>6555</v>
      </c>
      <c r="Z99" s="1146">
        <v>0</v>
      </c>
      <c r="AA99" s="1147">
        <v>3278</v>
      </c>
      <c r="AB99" s="1135"/>
      <c r="AC99" s="1135"/>
      <c r="AD99" s="1134"/>
      <c r="AE99" s="1135">
        <v>81</v>
      </c>
      <c r="AF99" s="1135">
        <v>10</v>
      </c>
      <c r="AG99" s="1134">
        <v>15</v>
      </c>
      <c r="AH99" s="1135">
        <v>81</v>
      </c>
      <c r="AI99" s="1135">
        <v>10</v>
      </c>
      <c r="AJ99" s="1134">
        <v>22</v>
      </c>
      <c r="AK99" s="1134" t="s">
        <v>129</v>
      </c>
      <c r="AL99" s="1401" t="s">
        <v>22</v>
      </c>
    </row>
    <row r="100" spans="1:38" s="374" customFormat="1" ht="78" customHeight="1">
      <c r="A100" s="1133" t="s">
        <v>1113</v>
      </c>
      <c r="B100" s="1133" t="s">
        <v>1120</v>
      </c>
      <c r="C100" s="1134" t="s">
        <v>1121</v>
      </c>
      <c r="D100" s="1135" t="s">
        <v>22</v>
      </c>
      <c r="E100" s="1135" t="s">
        <v>22</v>
      </c>
      <c r="F100" s="1135" t="s">
        <v>22</v>
      </c>
      <c r="G100" s="1134" t="s">
        <v>22</v>
      </c>
      <c r="H100" s="992" t="s">
        <v>1122</v>
      </c>
      <c r="I100" s="375" t="s">
        <v>1123</v>
      </c>
      <c r="J100" s="1136">
        <v>17</v>
      </c>
      <c r="K100" s="1131">
        <v>1</v>
      </c>
      <c r="L100" s="1148" t="s">
        <v>22</v>
      </c>
      <c r="M100" s="1139">
        <v>39168</v>
      </c>
      <c r="N100" s="1130">
        <v>39809</v>
      </c>
      <c r="O100" s="1135" t="s">
        <v>22</v>
      </c>
      <c r="P100" s="1149">
        <v>2008</v>
      </c>
      <c r="Q100" s="1141">
        <v>461500</v>
      </c>
      <c r="R100" s="1150">
        <v>1240225021</v>
      </c>
      <c r="S100" s="1150" t="s">
        <v>151</v>
      </c>
      <c r="T100" s="1142" t="s">
        <v>140</v>
      </c>
      <c r="U100" s="1143" t="s">
        <v>140</v>
      </c>
      <c r="V100" s="1144">
        <v>1</v>
      </c>
      <c r="W100" s="1141">
        <v>1240225021</v>
      </c>
      <c r="X100" s="1145">
        <v>2687</v>
      </c>
      <c r="Y100" s="1157">
        <v>2687.38</v>
      </c>
      <c r="Z100" s="1146">
        <v>1.4140166258591602E-4</v>
      </c>
      <c r="AA100" s="1147">
        <v>2687</v>
      </c>
      <c r="AB100" s="1135"/>
      <c r="AC100" s="1135"/>
      <c r="AD100" s="1134"/>
      <c r="AE100" s="1135">
        <v>81</v>
      </c>
      <c r="AF100" s="1135">
        <v>10</v>
      </c>
      <c r="AG100" s="1134">
        <v>15</v>
      </c>
      <c r="AH100" s="1135">
        <v>81</v>
      </c>
      <c r="AI100" s="1135">
        <v>10</v>
      </c>
      <c r="AJ100" s="1134">
        <v>22</v>
      </c>
      <c r="AK100" s="1134" t="s">
        <v>22</v>
      </c>
      <c r="AL100" s="1401" t="s">
        <v>22</v>
      </c>
    </row>
    <row r="101" spans="1:38" s="374" customFormat="1" ht="104.1" customHeight="1">
      <c r="A101" s="1133" t="s">
        <v>1113</v>
      </c>
      <c r="B101" s="1133" t="s">
        <v>1120</v>
      </c>
      <c r="C101" s="1134" t="s">
        <v>1121</v>
      </c>
      <c r="D101" s="1135" t="s">
        <v>22</v>
      </c>
      <c r="E101" s="1135" t="s">
        <v>22</v>
      </c>
      <c r="F101" s="1135" t="s">
        <v>22</v>
      </c>
      <c r="G101" s="1134" t="s">
        <v>22</v>
      </c>
      <c r="H101" s="992" t="s">
        <v>1124</v>
      </c>
      <c r="I101" s="375" t="s">
        <v>1125</v>
      </c>
      <c r="J101" s="1136">
        <v>78</v>
      </c>
      <c r="K101" s="1131">
        <v>0.65</v>
      </c>
      <c r="L101" s="1148" t="s">
        <v>22</v>
      </c>
      <c r="M101" s="1139">
        <v>38061</v>
      </c>
      <c r="N101" s="1130">
        <v>38670</v>
      </c>
      <c r="O101" s="1135" t="s">
        <v>22</v>
      </c>
      <c r="P101" s="1149">
        <v>2005</v>
      </c>
      <c r="Q101" s="1141">
        <v>381500</v>
      </c>
      <c r="R101" s="1150">
        <v>1603720563.3199999</v>
      </c>
      <c r="S101" s="1150" t="s">
        <v>151</v>
      </c>
      <c r="T101" s="1142" t="s">
        <v>140</v>
      </c>
      <c r="U101" s="1143" t="s">
        <v>140</v>
      </c>
      <c r="V101" s="1144">
        <v>1</v>
      </c>
      <c r="W101" s="1141">
        <v>1603720563.3199999</v>
      </c>
      <c r="X101" s="1145">
        <v>4204</v>
      </c>
      <c r="Y101" s="1157">
        <v>4203.72</v>
      </c>
      <c r="Z101" s="1146">
        <v>6.6607671300511484E-5</v>
      </c>
      <c r="AA101" s="1147">
        <v>2733</v>
      </c>
      <c r="AB101" s="1135">
        <v>80</v>
      </c>
      <c r="AC101" s="1135">
        <v>10</v>
      </c>
      <c r="AD101" s="1134">
        <v>16</v>
      </c>
      <c r="AE101" s="1135">
        <v>81</v>
      </c>
      <c r="AF101" s="1135">
        <v>10</v>
      </c>
      <c r="AG101" s="1134">
        <v>15</v>
      </c>
      <c r="AH101" s="1135">
        <v>81</v>
      </c>
      <c r="AI101" s="1135">
        <v>10</v>
      </c>
      <c r="AJ101" s="1134">
        <v>22</v>
      </c>
      <c r="AK101" s="1134" t="s">
        <v>129</v>
      </c>
      <c r="AL101" s="1401" t="s">
        <v>22</v>
      </c>
    </row>
    <row r="102" spans="1:38" s="374" customFormat="1" ht="78" customHeight="1">
      <c r="A102" s="1133" t="s">
        <v>1126</v>
      </c>
      <c r="B102" s="1133" t="s">
        <v>1127</v>
      </c>
      <c r="C102" s="386" t="s">
        <v>815</v>
      </c>
      <c r="D102" s="1135" t="s">
        <v>22</v>
      </c>
      <c r="E102" s="1135" t="s">
        <v>22</v>
      </c>
      <c r="F102" s="1135" t="s">
        <v>22</v>
      </c>
      <c r="G102" s="1134" t="s">
        <v>22</v>
      </c>
      <c r="H102" s="992" t="s">
        <v>1061</v>
      </c>
      <c r="I102" s="375" t="s">
        <v>1128</v>
      </c>
      <c r="J102" s="1136">
        <v>1</v>
      </c>
      <c r="K102" s="1131">
        <v>1</v>
      </c>
      <c r="L102" s="1148" t="s">
        <v>22</v>
      </c>
      <c r="M102" s="1139">
        <v>38049</v>
      </c>
      <c r="N102" s="1130">
        <v>40545</v>
      </c>
      <c r="O102" s="1135" t="s">
        <v>22</v>
      </c>
      <c r="P102" s="1149">
        <v>2011</v>
      </c>
      <c r="Q102" s="1141">
        <v>535600</v>
      </c>
      <c r="R102" s="1150">
        <v>4478229438</v>
      </c>
      <c r="S102" s="1150" t="s">
        <v>177</v>
      </c>
      <c r="T102" s="1142">
        <v>2.0999999999999999E-3</v>
      </c>
      <c r="U102" s="1143">
        <v>9404281.8197999988</v>
      </c>
      <c r="V102" s="1144">
        <v>1913.98</v>
      </c>
      <c r="W102" s="1141">
        <v>17999607317.4608</v>
      </c>
      <c r="X102" s="1145">
        <v>33606</v>
      </c>
      <c r="Y102" s="1145">
        <v>34193.85</v>
      </c>
      <c r="Z102" s="1146">
        <v>1.7191687978978631E-2</v>
      </c>
      <c r="AA102" s="1147">
        <v>33606</v>
      </c>
      <c r="AB102" s="1135">
        <v>80</v>
      </c>
      <c r="AC102" s="1135">
        <v>10</v>
      </c>
      <c r="AD102" s="1134">
        <v>16</v>
      </c>
      <c r="AE102" s="1154">
        <v>81</v>
      </c>
      <c r="AF102" s="1154">
        <v>10</v>
      </c>
      <c r="AG102" s="1155">
        <v>15</v>
      </c>
      <c r="AH102" s="1135">
        <v>81</v>
      </c>
      <c r="AI102" s="1135">
        <v>10</v>
      </c>
      <c r="AJ102" s="1134">
        <v>22</v>
      </c>
      <c r="AK102" s="1134" t="s">
        <v>129</v>
      </c>
      <c r="AL102" s="1401" t="s">
        <v>22</v>
      </c>
    </row>
    <row r="103" spans="1:38" s="374" customFormat="1" ht="51.95" customHeight="1">
      <c r="A103" s="1133" t="s">
        <v>1126</v>
      </c>
      <c r="B103" s="1133" t="s">
        <v>1127</v>
      </c>
      <c r="C103" s="386" t="s">
        <v>815</v>
      </c>
      <c r="D103" s="1135" t="s">
        <v>22</v>
      </c>
      <c r="E103" s="1135" t="s">
        <v>22</v>
      </c>
      <c r="F103" s="1135" t="s">
        <v>22</v>
      </c>
      <c r="G103" s="1134" t="s">
        <v>22</v>
      </c>
      <c r="H103" s="992" t="s">
        <v>1061</v>
      </c>
      <c r="I103" s="375" t="s">
        <v>1129</v>
      </c>
      <c r="J103" s="1136">
        <v>3</v>
      </c>
      <c r="K103" s="1131">
        <v>0.25</v>
      </c>
      <c r="L103" s="1148" t="s">
        <v>22</v>
      </c>
      <c r="M103" s="1139">
        <v>36363</v>
      </c>
      <c r="N103" s="1130">
        <v>37843</v>
      </c>
      <c r="O103" s="1135" t="s">
        <v>22</v>
      </c>
      <c r="P103" s="1149">
        <v>2003</v>
      </c>
      <c r="Q103" s="1141">
        <v>332000</v>
      </c>
      <c r="R103" s="1150">
        <v>6541364.1500000004</v>
      </c>
      <c r="S103" s="1150" t="s">
        <v>179</v>
      </c>
      <c r="T103" s="1142">
        <v>1</v>
      </c>
      <c r="U103" s="1143">
        <v>6541364.1500000004</v>
      </c>
      <c r="V103" s="1144">
        <v>2875.18</v>
      </c>
      <c r="W103" s="1141">
        <v>18807599376.797001</v>
      </c>
      <c r="X103" s="1145">
        <v>56649</v>
      </c>
      <c r="Y103" s="1145">
        <v>56649.4</v>
      </c>
      <c r="Z103" s="1146">
        <v>7.060975050099394E-6</v>
      </c>
      <c r="AA103" s="1147">
        <v>14162</v>
      </c>
      <c r="AB103" s="1135">
        <v>80</v>
      </c>
      <c r="AC103" s="1135">
        <v>10</v>
      </c>
      <c r="AD103" s="1134">
        <v>16</v>
      </c>
      <c r="AE103" s="1154">
        <v>81</v>
      </c>
      <c r="AF103" s="1154">
        <v>10</v>
      </c>
      <c r="AG103" s="1155">
        <v>15</v>
      </c>
      <c r="AH103" s="1135">
        <v>81</v>
      </c>
      <c r="AI103" s="1135">
        <v>10</v>
      </c>
      <c r="AJ103" s="1134">
        <v>22</v>
      </c>
      <c r="AK103" s="1134" t="s">
        <v>129</v>
      </c>
      <c r="AL103" s="1401" t="s">
        <v>22</v>
      </c>
    </row>
    <row r="104" spans="1:38" s="374" customFormat="1" ht="90.95" customHeight="1">
      <c r="A104" s="1133" t="s">
        <v>1126</v>
      </c>
      <c r="B104" s="1133" t="s">
        <v>1130</v>
      </c>
      <c r="C104" s="1134" t="s">
        <v>1131</v>
      </c>
      <c r="D104" s="1135" t="s">
        <v>22</v>
      </c>
      <c r="E104" s="1135" t="s">
        <v>22</v>
      </c>
      <c r="F104" s="1135" t="s">
        <v>22</v>
      </c>
      <c r="G104" s="1134" t="s">
        <v>22</v>
      </c>
      <c r="H104" s="1136" t="s">
        <v>448</v>
      </c>
      <c r="I104" s="375" t="s">
        <v>1132</v>
      </c>
      <c r="J104" s="1136">
        <v>41</v>
      </c>
      <c r="K104" s="1131">
        <v>0.9</v>
      </c>
      <c r="L104" s="1148" t="s">
        <v>22</v>
      </c>
      <c r="M104" s="1139">
        <v>39167</v>
      </c>
      <c r="N104" s="1130">
        <v>39758</v>
      </c>
      <c r="O104" s="1135" t="s">
        <v>22</v>
      </c>
      <c r="P104" s="1149">
        <v>2008</v>
      </c>
      <c r="Q104" s="1141">
        <v>461500</v>
      </c>
      <c r="R104" s="1150">
        <v>1694356544</v>
      </c>
      <c r="S104" s="1150" t="s">
        <v>151</v>
      </c>
      <c r="T104" s="1142" t="s">
        <v>140</v>
      </c>
      <c r="U104" s="1143" t="s">
        <v>140</v>
      </c>
      <c r="V104" s="1144">
        <v>1</v>
      </c>
      <c r="W104" s="1141">
        <v>1694356544</v>
      </c>
      <c r="X104" s="1145">
        <v>3671</v>
      </c>
      <c r="Y104" s="1145">
        <v>3671.41</v>
      </c>
      <c r="Z104" s="1146">
        <v>1.116737166374504E-4</v>
      </c>
      <c r="AA104" s="1147">
        <v>3304</v>
      </c>
      <c r="AB104" s="1135">
        <v>80</v>
      </c>
      <c r="AC104" s="1135">
        <v>10</v>
      </c>
      <c r="AD104" s="1134">
        <v>16</v>
      </c>
      <c r="AE104" s="1135">
        <v>81</v>
      </c>
      <c r="AF104" s="1135">
        <v>10</v>
      </c>
      <c r="AG104" s="1134">
        <v>15</v>
      </c>
      <c r="AH104" s="1135">
        <v>81</v>
      </c>
      <c r="AI104" s="1135">
        <v>10</v>
      </c>
      <c r="AJ104" s="1134">
        <v>22</v>
      </c>
      <c r="AK104" s="1134" t="s">
        <v>129</v>
      </c>
      <c r="AL104" s="1401" t="s">
        <v>22</v>
      </c>
    </row>
    <row r="105" spans="1:38" s="374" customFormat="1" ht="65.099999999999994" customHeight="1">
      <c r="A105" s="1133" t="s">
        <v>1126</v>
      </c>
      <c r="B105" s="1133" t="s">
        <v>1130</v>
      </c>
      <c r="C105" s="1134" t="s">
        <v>1131</v>
      </c>
      <c r="D105" s="1135" t="s">
        <v>22</v>
      </c>
      <c r="E105" s="1135" t="s">
        <v>22</v>
      </c>
      <c r="F105" s="1135" t="s">
        <v>22</v>
      </c>
      <c r="G105" s="1134" t="s">
        <v>22</v>
      </c>
      <c r="H105" s="1136" t="s">
        <v>1133</v>
      </c>
      <c r="I105" s="375" t="s">
        <v>1134</v>
      </c>
      <c r="J105" s="1136">
        <v>61</v>
      </c>
      <c r="K105" s="1131">
        <v>0.9</v>
      </c>
      <c r="L105" s="1148" t="s">
        <v>22</v>
      </c>
      <c r="M105" s="1139">
        <v>41523</v>
      </c>
      <c r="N105" s="1130">
        <v>42094</v>
      </c>
      <c r="O105" s="1135" t="s">
        <v>22</v>
      </c>
      <c r="P105" s="1149">
        <v>2015</v>
      </c>
      <c r="Q105" s="1141">
        <v>644350</v>
      </c>
      <c r="R105" s="1150">
        <v>4539581069</v>
      </c>
      <c r="S105" s="1150" t="s">
        <v>151</v>
      </c>
      <c r="T105" s="1142" t="s">
        <v>140</v>
      </c>
      <c r="U105" s="1143" t="s">
        <v>140</v>
      </c>
      <c r="V105" s="1144">
        <v>1</v>
      </c>
      <c r="W105" s="1141">
        <v>4539581069</v>
      </c>
      <c r="X105" s="1145">
        <v>7045</v>
      </c>
      <c r="Y105" s="1145">
        <v>7351.85</v>
      </c>
      <c r="Z105" s="1146">
        <v>4.1737793888613095E-2</v>
      </c>
      <c r="AA105" s="1147">
        <v>6341</v>
      </c>
      <c r="AB105" s="1135">
        <v>80</v>
      </c>
      <c r="AC105" s="1135">
        <v>10</v>
      </c>
      <c r="AD105" s="1134">
        <v>16</v>
      </c>
      <c r="AE105" s="1135">
        <v>81</v>
      </c>
      <c r="AF105" s="1135">
        <v>10</v>
      </c>
      <c r="AG105" s="1134">
        <v>15</v>
      </c>
      <c r="AH105" s="1135">
        <v>81</v>
      </c>
      <c r="AI105" s="1135">
        <v>10</v>
      </c>
      <c r="AJ105" s="1134">
        <v>22</v>
      </c>
      <c r="AK105" s="1134" t="s">
        <v>129</v>
      </c>
      <c r="AL105" s="1401" t="s">
        <v>22</v>
      </c>
    </row>
    <row r="106" spans="1:38" s="374" customFormat="1" ht="117" customHeight="1">
      <c r="A106" s="1133" t="s">
        <v>1126</v>
      </c>
      <c r="B106" s="1133" t="s">
        <v>1130</v>
      </c>
      <c r="C106" s="1134" t="s">
        <v>1131</v>
      </c>
      <c r="D106" s="1135" t="s">
        <v>22</v>
      </c>
      <c r="E106" s="1135" t="s">
        <v>22</v>
      </c>
      <c r="F106" s="1135" t="s">
        <v>22</v>
      </c>
      <c r="G106" s="1134" t="s">
        <v>22</v>
      </c>
      <c r="H106" s="1136" t="s">
        <v>448</v>
      </c>
      <c r="I106" s="375" t="s">
        <v>1135</v>
      </c>
      <c r="J106" s="1136">
        <v>42</v>
      </c>
      <c r="K106" s="1131">
        <v>0.9</v>
      </c>
      <c r="L106" s="1148" t="s">
        <v>22</v>
      </c>
      <c r="M106" s="1139">
        <v>39461</v>
      </c>
      <c r="N106" s="1130">
        <v>39826</v>
      </c>
      <c r="O106" s="1135" t="s">
        <v>22</v>
      </c>
      <c r="P106" s="1149">
        <v>2009</v>
      </c>
      <c r="Q106" s="1141">
        <v>496900</v>
      </c>
      <c r="R106" s="1163">
        <v>1043635384</v>
      </c>
      <c r="S106" s="1150" t="s">
        <v>151</v>
      </c>
      <c r="T106" s="1142" t="s">
        <v>140</v>
      </c>
      <c r="U106" s="1143" t="s">
        <v>140</v>
      </c>
      <c r="V106" s="1144">
        <v>1</v>
      </c>
      <c r="W106" s="1141">
        <v>1043635384</v>
      </c>
      <c r="X106" s="1145">
        <v>2100</v>
      </c>
      <c r="Y106" s="1145">
        <v>2100.29</v>
      </c>
      <c r="Z106" s="1146">
        <v>1.3807617043359866E-4</v>
      </c>
      <c r="AA106" s="1147">
        <v>1890</v>
      </c>
      <c r="AB106" s="1135">
        <v>80</v>
      </c>
      <c r="AC106" s="1135">
        <v>10</v>
      </c>
      <c r="AD106" s="1134">
        <v>16</v>
      </c>
      <c r="AE106" s="1135">
        <v>81</v>
      </c>
      <c r="AF106" s="1135">
        <v>10</v>
      </c>
      <c r="AG106" s="1134">
        <v>15</v>
      </c>
      <c r="AH106" s="1135">
        <v>81</v>
      </c>
      <c r="AI106" s="1135">
        <v>10</v>
      </c>
      <c r="AJ106" s="1134">
        <v>22</v>
      </c>
      <c r="AK106" s="1134" t="s">
        <v>129</v>
      </c>
      <c r="AL106" s="1401" t="s">
        <v>22</v>
      </c>
    </row>
    <row r="107" spans="1:38" s="374" customFormat="1" ht="78" customHeight="1">
      <c r="A107" s="1133" t="s">
        <v>1126</v>
      </c>
      <c r="B107" s="1133" t="s">
        <v>1130</v>
      </c>
      <c r="C107" s="1134" t="s">
        <v>1131</v>
      </c>
      <c r="D107" s="1135" t="s">
        <v>22</v>
      </c>
      <c r="E107" s="1135" t="s">
        <v>22</v>
      </c>
      <c r="F107" s="1135" t="s">
        <v>22</v>
      </c>
      <c r="G107" s="1134" t="s">
        <v>22</v>
      </c>
      <c r="H107" s="1136" t="s">
        <v>448</v>
      </c>
      <c r="I107" s="375" t="s">
        <v>1136</v>
      </c>
      <c r="J107" s="1167">
        <v>37</v>
      </c>
      <c r="K107" s="1131">
        <v>0.6</v>
      </c>
      <c r="L107" s="1148" t="s">
        <v>22</v>
      </c>
      <c r="M107" s="1139">
        <v>38803</v>
      </c>
      <c r="N107" s="1130">
        <v>39533</v>
      </c>
      <c r="O107" s="1135" t="s">
        <v>22</v>
      </c>
      <c r="P107" s="1149">
        <v>2008</v>
      </c>
      <c r="Q107" s="1141">
        <v>461500</v>
      </c>
      <c r="R107" s="1150">
        <v>1653088673</v>
      </c>
      <c r="S107" s="1150" t="s">
        <v>151</v>
      </c>
      <c r="T107" s="1142" t="s">
        <v>140</v>
      </c>
      <c r="U107" s="1143" t="s">
        <v>140</v>
      </c>
      <c r="V107" s="1144">
        <v>1</v>
      </c>
      <c r="W107" s="1141">
        <v>1653088673</v>
      </c>
      <c r="X107" s="1145">
        <v>3582</v>
      </c>
      <c r="Y107" s="1145">
        <v>3581.99</v>
      </c>
      <c r="Z107" s="1146">
        <v>2.7917442539937554E-6</v>
      </c>
      <c r="AA107" s="1147">
        <v>2149</v>
      </c>
      <c r="AB107" s="1135">
        <v>80</v>
      </c>
      <c r="AC107" s="1135">
        <v>10</v>
      </c>
      <c r="AD107" s="1134">
        <v>16</v>
      </c>
      <c r="AE107" s="1135">
        <v>81</v>
      </c>
      <c r="AF107" s="1135">
        <v>10</v>
      </c>
      <c r="AG107" s="1134">
        <v>15</v>
      </c>
      <c r="AH107" s="1135">
        <v>81</v>
      </c>
      <c r="AI107" s="1135">
        <v>10</v>
      </c>
      <c r="AJ107" s="1134">
        <v>22</v>
      </c>
      <c r="AK107" s="1134" t="s">
        <v>129</v>
      </c>
      <c r="AL107" s="1401" t="s">
        <v>22</v>
      </c>
    </row>
    <row r="108" spans="1:38" s="374" customFormat="1" ht="78" customHeight="1">
      <c r="A108" s="1133" t="s">
        <v>1137</v>
      </c>
      <c r="B108" s="1133" t="s">
        <v>1138</v>
      </c>
      <c r="C108" s="1134" t="s">
        <v>1139</v>
      </c>
      <c r="D108" s="1135" t="s">
        <v>22</v>
      </c>
      <c r="E108" s="1135" t="s">
        <v>22</v>
      </c>
      <c r="F108" s="1135" t="s">
        <v>22</v>
      </c>
      <c r="G108" s="1134" t="s">
        <v>22</v>
      </c>
      <c r="H108" s="992" t="s">
        <v>351</v>
      </c>
      <c r="I108" s="375" t="s">
        <v>353</v>
      </c>
      <c r="J108" s="1136" t="s">
        <v>903</v>
      </c>
      <c r="K108" s="1131">
        <v>0.5</v>
      </c>
      <c r="L108" s="1148" t="s">
        <v>22</v>
      </c>
      <c r="M108" s="1128">
        <v>36752</v>
      </c>
      <c r="N108" s="1156">
        <v>42111</v>
      </c>
      <c r="O108" s="1135" t="s">
        <v>22</v>
      </c>
      <c r="P108" s="1149">
        <v>2015</v>
      </c>
      <c r="Q108" s="1141">
        <v>644350</v>
      </c>
      <c r="R108" s="1168">
        <v>5014683563</v>
      </c>
      <c r="S108" s="1141" t="s">
        <v>151</v>
      </c>
      <c r="T108" s="1142" t="s">
        <v>140</v>
      </c>
      <c r="U108" s="1143" t="s">
        <v>140</v>
      </c>
      <c r="V108" s="1144">
        <v>1</v>
      </c>
      <c r="W108" s="1141">
        <v>5014683563</v>
      </c>
      <c r="X108" s="1145">
        <v>7783</v>
      </c>
      <c r="Y108" s="1145"/>
      <c r="Z108" s="1146" t="s">
        <v>140</v>
      </c>
      <c r="AA108" s="1147">
        <v>3892</v>
      </c>
      <c r="AB108" s="1135"/>
      <c r="AC108" s="1135"/>
      <c r="AD108" s="1134"/>
      <c r="AE108" s="1135"/>
      <c r="AF108" s="1135"/>
      <c r="AG108" s="1134"/>
      <c r="AH108" s="1135"/>
      <c r="AI108" s="1135"/>
      <c r="AJ108" s="1134"/>
      <c r="AK108" s="1134" t="s">
        <v>22</v>
      </c>
      <c r="AL108" s="1401" t="s">
        <v>22</v>
      </c>
    </row>
    <row r="109" spans="1:38" s="374" customFormat="1" ht="57">
      <c r="A109" s="1133" t="s">
        <v>1137</v>
      </c>
      <c r="B109" s="1133" t="s">
        <v>1138</v>
      </c>
      <c r="C109" s="1134" t="s">
        <v>1139</v>
      </c>
      <c r="D109" s="1135" t="s">
        <v>22</v>
      </c>
      <c r="E109" s="1135" t="s">
        <v>22</v>
      </c>
      <c r="F109" s="1135" t="s">
        <v>22</v>
      </c>
      <c r="G109" s="1134" t="s">
        <v>22</v>
      </c>
      <c r="H109" s="992" t="s">
        <v>1038</v>
      </c>
      <c r="I109" s="375" t="s">
        <v>1140</v>
      </c>
      <c r="J109" s="1136">
        <v>28</v>
      </c>
      <c r="K109" s="1131">
        <v>0.75</v>
      </c>
      <c r="L109" s="1148" t="s">
        <v>22</v>
      </c>
      <c r="M109" s="1128">
        <v>38733</v>
      </c>
      <c r="N109" s="1156">
        <v>39950</v>
      </c>
      <c r="O109" s="1135" t="s">
        <v>22</v>
      </c>
      <c r="P109" s="1149">
        <v>2009</v>
      </c>
      <c r="Q109" s="1141">
        <v>496900</v>
      </c>
      <c r="R109" s="1168">
        <v>1837600645</v>
      </c>
      <c r="S109" s="1141" t="s">
        <v>151</v>
      </c>
      <c r="T109" s="1142" t="s">
        <v>140</v>
      </c>
      <c r="U109" s="1143" t="s">
        <v>140</v>
      </c>
      <c r="V109" s="1144">
        <v>1</v>
      </c>
      <c r="W109" s="1141">
        <v>1837600645</v>
      </c>
      <c r="X109" s="1145">
        <v>3698</v>
      </c>
      <c r="Y109" s="1145">
        <v>3698.12</v>
      </c>
      <c r="Z109" s="1146">
        <v>3.2448919991767688E-5</v>
      </c>
      <c r="AA109" s="1147">
        <v>2774</v>
      </c>
      <c r="AB109" s="1154">
        <v>80</v>
      </c>
      <c r="AC109" s="1154">
        <v>10</v>
      </c>
      <c r="AD109" s="1155">
        <v>16</v>
      </c>
      <c r="AE109" s="1154">
        <v>81</v>
      </c>
      <c r="AF109" s="1154">
        <v>10</v>
      </c>
      <c r="AG109" s="1155">
        <v>15</v>
      </c>
      <c r="AH109" s="1154">
        <v>81</v>
      </c>
      <c r="AI109" s="1154">
        <v>10</v>
      </c>
      <c r="AJ109" s="1155">
        <v>22</v>
      </c>
      <c r="AK109" s="1134" t="s">
        <v>129</v>
      </c>
      <c r="AL109" s="1401" t="s">
        <v>22</v>
      </c>
    </row>
    <row r="110" spans="1:38" s="374" customFormat="1" ht="71.25">
      <c r="A110" s="1133" t="s">
        <v>1137</v>
      </c>
      <c r="B110" s="1133" t="s">
        <v>1138</v>
      </c>
      <c r="C110" s="1134" t="s">
        <v>1139</v>
      </c>
      <c r="D110" s="1135" t="s">
        <v>22</v>
      </c>
      <c r="E110" s="1135" t="s">
        <v>22</v>
      </c>
      <c r="F110" s="1135" t="s">
        <v>22</v>
      </c>
      <c r="G110" s="1134" t="s">
        <v>22</v>
      </c>
      <c r="H110" s="992" t="s">
        <v>1141</v>
      </c>
      <c r="I110" s="375" t="s">
        <v>1142</v>
      </c>
      <c r="J110" s="1136">
        <v>12</v>
      </c>
      <c r="K110" s="1131">
        <v>1</v>
      </c>
      <c r="L110" s="1148" t="s">
        <v>22</v>
      </c>
      <c r="M110" s="1159">
        <v>40779</v>
      </c>
      <c r="N110" s="1160">
        <v>41327</v>
      </c>
      <c r="O110" s="1135" t="s">
        <v>22</v>
      </c>
      <c r="P110" s="1149">
        <v>2013</v>
      </c>
      <c r="Q110" s="1141">
        <v>589500</v>
      </c>
      <c r="R110" s="1150">
        <v>1484896904</v>
      </c>
      <c r="S110" s="1150" t="s">
        <v>151</v>
      </c>
      <c r="T110" s="1142" t="s">
        <v>140</v>
      </c>
      <c r="U110" s="1143" t="s">
        <v>140</v>
      </c>
      <c r="V110" s="1144">
        <v>1</v>
      </c>
      <c r="W110" s="1141">
        <v>1484896904</v>
      </c>
      <c r="X110" s="1145">
        <v>2519</v>
      </c>
      <c r="Y110" s="1151">
        <v>2518.9</v>
      </c>
      <c r="Z110" s="1146">
        <v>3.9699868990439313E-5</v>
      </c>
      <c r="AA110" s="1147">
        <v>2519</v>
      </c>
      <c r="AB110" s="1154">
        <v>80</v>
      </c>
      <c r="AC110" s="1154">
        <v>10</v>
      </c>
      <c r="AD110" s="1155">
        <v>16</v>
      </c>
      <c r="AE110" s="1154">
        <v>81</v>
      </c>
      <c r="AF110" s="1154">
        <v>10</v>
      </c>
      <c r="AG110" s="1155">
        <v>15</v>
      </c>
      <c r="AH110" s="1154">
        <v>81</v>
      </c>
      <c r="AI110" s="1154">
        <v>10</v>
      </c>
      <c r="AJ110" s="1155">
        <v>22</v>
      </c>
      <c r="AK110" s="1134" t="s">
        <v>129</v>
      </c>
      <c r="AL110" s="1401" t="s">
        <v>22</v>
      </c>
    </row>
    <row r="111" spans="1:38" s="374" customFormat="1" ht="99.75">
      <c r="A111" s="1133" t="s">
        <v>1137</v>
      </c>
      <c r="B111" s="1133" t="s">
        <v>1138</v>
      </c>
      <c r="C111" s="1134" t="s">
        <v>1139</v>
      </c>
      <c r="D111" s="1135" t="s">
        <v>22</v>
      </c>
      <c r="E111" s="1135" t="s">
        <v>22</v>
      </c>
      <c r="F111" s="1135" t="s">
        <v>22</v>
      </c>
      <c r="G111" s="1134" t="s">
        <v>22</v>
      </c>
      <c r="H111" s="992" t="s">
        <v>1143</v>
      </c>
      <c r="I111" s="375" t="s">
        <v>357</v>
      </c>
      <c r="J111" s="1136">
        <v>17</v>
      </c>
      <c r="K111" s="1131">
        <v>0.5</v>
      </c>
      <c r="L111" s="1148" t="s">
        <v>22</v>
      </c>
      <c r="M111" s="1139">
        <v>40099</v>
      </c>
      <c r="N111" s="1130">
        <v>40558</v>
      </c>
      <c r="O111" s="1135" t="s">
        <v>22</v>
      </c>
      <c r="P111" s="1149">
        <v>2011</v>
      </c>
      <c r="Q111" s="1141">
        <v>535600</v>
      </c>
      <c r="R111" s="1150">
        <v>4426535982</v>
      </c>
      <c r="S111" s="1150" t="s">
        <v>151</v>
      </c>
      <c r="T111" s="1142" t="s">
        <v>140</v>
      </c>
      <c r="U111" s="1143" t="s">
        <v>140</v>
      </c>
      <c r="V111" s="1144">
        <v>1</v>
      </c>
      <c r="W111" s="1141">
        <v>4426535982</v>
      </c>
      <c r="X111" s="1145">
        <v>8265</v>
      </c>
      <c r="Y111" s="1145">
        <v>8515.77</v>
      </c>
      <c r="Z111" s="1146">
        <v>2.9447718761779651E-2</v>
      </c>
      <c r="AA111" s="1147">
        <v>4133</v>
      </c>
      <c r="AB111" s="1154">
        <v>80</v>
      </c>
      <c r="AC111" s="1154">
        <v>10</v>
      </c>
      <c r="AD111" s="1155">
        <v>16</v>
      </c>
      <c r="AE111" s="1154">
        <v>81</v>
      </c>
      <c r="AF111" s="1154">
        <v>10</v>
      </c>
      <c r="AG111" s="1155">
        <v>15</v>
      </c>
      <c r="AH111" s="1154">
        <v>81</v>
      </c>
      <c r="AI111" s="1154">
        <v>10</v>
      </c>
      <c r="AJ111" s="1155">
        <v>22</v>
      </c>
      <c r="AK111" s="1134" t="s">
        <v>129</v>
      </c>
      <c r="AL111" s="1401" t="s">
        <v>22</v>
      </c>
    </row>
    <row r="112" spans="1:38" s="374" customFormat="1" ht="78" customHeight="1">
      <c r="A112" s="1133" t="s">
        <v>1137</v>
      </c>
      <c r="B112" s="1133" t="s">
        <v>1144</v>
      </c>
      <c r="C112" s="386" t="s">
        <v>1145</v>
      </c>
      <c r="D112" s="1135" t="s">
        <v>22</v>
      </c>
      <c r="E112" s="1135" t="s">
        <v>22</v>
      </c>
      <c r="F112" s="1135" t="s">
        <v>22</v>
      </c>
      <c r="G112" s="1134" t="s">
        <v>22</v>
      </c>
      <c r="H112" s="992" t="s">
        <v>1038</v>
      </c>
      <c r="I112" s="375" t="s">
        <v>1146</v>
      </c>
      <c r="J112" s="1136" t="s">
        <v>903</v>
      </c>
      <c r="K112" s="1131">
        <v>0.15</v>
      </c>
      <c r="L112" s="1148" t="s">
        <v>22</v>
      </c>
      <c r="M112" s="1139">
        <v>40487</v>
      </c>
      <c r="N112" s="1156">
        <v>42138</v>
      </c>
      <c r="O112" s="1135" t="s">
        <v>22</v>
      </c>
      <c r="P112" s="1149">
        <v>2015</v>
      </c>
      <c r="Q112" s="1141">
        <v>644350</v>
      </c>
      <c r="R112" s="1150">
        <v>21015648386</v>
      </c>
      <c r="S112" s="1150" t="s">
        <v>151</v>
      </c>
      <c r="T112" s="1142" t="s">
        <v>140</v>
      </c>
      <c r="U112" s="1143" t="s">
        <v>140</v>
      </c>
      <c r="V112" s="1144">
        <v>1</v>
      </c>
      <c r="W112" s="1141">
        <v>21015648386</v>
      </c>
      <c r="X112" s="1145">
        <v>32615</v>
      </c>
      <c r="Y112" s="1145"/>
      <c r="Z112" s="1146" t="s">
        <v>140</v>
      </c>
      <c r="AA112" s="1147">
        <v>4892</v>
      </c>
      <c r="AB112" s="1135"/>
      <c r="AC112" s="1135"/>
      <c r="AD112" s="1134"/>
      <c r="AE112" s="1135"/>
      <c r="AF112" s="1135"/>
      <c r="AG112" s="1134"/>
      <c r="AH112" s="1135"/>
      <c r="AI112" s="1135"/>
      <c r="AJ112" s="1134"/>
      <c r="AK112" s="1134" t="s">
        <v>22</v>
      </c>
      <c r="AL112" s="1401" t="s">
        <v>22</v>
      </c>
    </row>
    <row r="113" spans="1:38" s="374" customFormat="1" ht="99.75">
      <c r="A113" s="1133" t="s">
        <v>1137</v>
      </c>
      <c r="B113" s="1133" t="s">
        <v>1147</v>
      </c>
      <c r="C113" s="386" t="s">
        <v>1148</v>
      </c>
      <c r="D113" s="1135" t="s">
        <v>22</v>
      </c>
      <c r="E113" s="1135" t="s">
        <v>22</v>
      </c>
      <c r="F113" s="1135" t="s">
        <v>22</v>
      </c>
      <c r="G113" s="1134" t="s">
        <v>22</v>
      </c>
      <c r="H113" s="992" t="s">
        <v>1149</v>
      </c>
      <c r="I113" s="375" t="s">
        <v>1150</v>
      </c>
      <c r="J113" s="1136">
        <v>20</v>
      </c>
      <c r="K113" s="1131">
        <v>0.5</v>
      </c>
      <c r="L113" s="1148" t="s">
        <v>22</v>
      </c>
      <c r="M113" s="1139">
        <v>40099</v>
      </c>
      <c r="N113" s="1130">
        <v>40558</v>
      </c>
      <c r="O113" s="1135" t="s">
        <v>22</v>
      </c>
      <c r="P113" s="1149">
        <v>2011</v>
      </c>
      <c r="Q113" s="1141">
        <v>535600</v>
      </c>
      <c r="R113" s="1150">
        <v>4426535982</v>
      </c>
      <c r="S113" s="1150" t="s">
        <v>151</v>
      </c>
      <c r="T113" s="1142" t="s">
        <v>140</v>
      </c>
      <c r="U113" s="1143" t="s">
        <v>140</v>
      </c>
      <c r="V113" s="1144">
        <v>1</v>
      </c>
      <c r="W113" s="1141">
        <v>4426535982</v>
      </c>
      <c r="X113" s="1145">
        <v>8265</v>
      </c>
      <c r="Y113" s="1145">
        <v>8515.77</v>
      </c>
      <c r="Z113" s="1146">
        <v>2.9447718761779651E-2</v>
      </c>
      <c r="AA113" s="1147">
        <v>4133</v>
      </c>
      <c r="AB113" s="1154">
        <v>80</v>
      </c>
      <c r="AC113" s="1154">
        <v>10</v>
      </c>
      <c r="AD113" s="1155">
        <v>16</v>
      </c>
      <c r="AE113" s="1154">
        <v>81</v>
      </c>
      <c r="AF113" s="1154">
        <v>10</v>
      </c>
      <c r="AG113" s="1155">
        <v>15</v>
      </c>
      <c r="AH113" s="1154">
        <v>81</v>
      </c>
      <c r="AI113" s="1154">
        <v>10</v>
      </c>
      <c r="AJ113" s="1155">
        <v>22</v>
      </c>
      <c r="AK113" s="1134" t="s">
        <v>129</v>
      </c>
      <c r="AL113" s="1401" t="s">
        <v>22</v>
      </c>
    </row>
    <row r="114" spans="1:38" s="374" customFormat="1" ht="104.1" customHeight="1">
      <c r="A114" s="1133" t="s">
        <v>1151</v>
      </c>
      <c r="B114" s="1133" t="s">
        <v>1152</v>
      </c>
      <c r="C114" s="386" t="s">
        <v>1153</v>
      </c>
      <c r="D114" s="1135" t="s">
        <v>22</v>
      </c>
      <c r="E114" s="1135" t="s">
        <v>22</v>
      </c>
      <c r="F114" s="1135" t="s">
        <v>22</v>
      </c>
      <c r="G114" s="1134" t="s">
        <v>22</v>
      </c>
      <c r="H114" s="992" t="s">
        <v>517</v>
      </c>
      <c r="I114" s="375" t="s">
        <v>521</v>
      </c>
      <c r="J114" s="1136">
        <v>6</v>
      </c>
      <c r="K114" s="1131">
        <v>0.3</v>
      </c>
      <c r="L114" s="1148" t="s">
        <v>22</v>
      </c>
      <c r="M114" s="1139">
        <v>37229</v>
      </c>
      <c r="N114" s="1130">
        <v>40168</v>
      </c>
      <c r="O114" s="1135" t="s">
        <v>22</v>
      </c>
      <c r="P114" s="1149">
        <v>2009</v>
      </c>
      <c r="Q114" s="1141">
        <v>496900</v>
      </c>
      <c r="R114" s="1150">
        <v>30738115975</v>
      </c>
      <c r="S114" s="1150" t="s">
        <v>151</v>
      </c>
      <c r="T114" s="1142" t="s">
        <v>140</v>
      </c>
      <c r="U114" s="1143" t="s">
        <v>140</v>
      </c>
      <c r="V114" s="1144">
        <v>1</v>
      </c>
      <c r="W114" s="1141">
        <v>30738115975</v>
      </c>
      <c r="X114" s="1145">
        <v>61860</v>
      </c>
      <c r="Y114" s="1145">
        <v>46651.71</v>
      </c>
      <c r="Z114" s="1146">
        <v>0.3259964104209685</v>
      </c>
      <c r="AA114" s="1147">
        <v>18558</v>
      </c>
      <c r="AB114" s="1135">
        <v>80</v>
      </c>
      <c r="AC114" s="1135">
        <v>10</v>
      </c>
      <c r="AD114" s="1134">
        <v>16</v>
      </c>
      <c r="AE114" s="1135">
        <v>81</v>
      </c>
      <c r="AF114" s="1135">
        <v>10</v>
      </c>
      <c r="AG114" s="1134">
        <v>15</v>
      </c>
      <c r="AH114" s="1135">
        <v>81</v>
      </c>
      <c r="AI114" s="1135">
        <v>10</v>
      </c>
      <c r="AJ114" s="1134">
        <v>22</v>
      </c>
      <c r="AK114" s="1134" t="s">
        <v>129</v>
      </c>
      <c r="AL114" s="1401" t="s">
        <v>22</v>
      </c>
    </row>
    <row r="115" spans="1:38" s="374" customFormat="1" ht="90.95" customHeight="1">
      <c r="A115" s="1133" t="s">
        <v>1151</v>
      </c>
      <c r="B115" s="1133" t="s">
        <v>1152</v>
      </c>
      <c r="C115" s="386" t="s">
        <v>1153</v>
      </c>
      <c r="D115" s="1135" t="s">
        <v>22</v>
      </c>
      <c r="E115" s="1135" t="s">
        <v>22</v>
      </c>
      <c r="F115" s="1135" t="s">
        <v>22</v>
      </c>
      <c r="G115" s="1134" t="s">
        <v>22</v>
      </c>
      <c r="H115" s="992" t="s">
        <v>522</v>
      </c>
      <c r="I115" s="375" t="s">
        <v>524</v>
      </c>
      <c r="J115" s="1136">
        <v>11</v>
      </c>
      <c r="K115" s="1131">
        <v>1</v>
      </c>
      <c r="L115" s="1148" t="s">
        <v>22</v>
      </c>
      <c r="M115" s="1139">
        <v>38807</v>
      </c>
      <c r="N115" s="1130">
        <v>39813</v>
      </c>
      <c r="O115" s="1135" t="s">
        <v>22</v>
      </c>
      <c r="P115" s="1149">
        <v>2008</v>
      </c>
      <c r="Q115" s="1141">
        <v>461500</v>
      </c>
      <c r="R115" s="1150">
        <v>47481903.439999998</v>
      </c>
      <c r="S115" s="1150" t="s">
        <v>525</v>
      </c>
      <c r="T115" s="1142">
        <v>7.2599999999999998E-2</v>
      </c>
      <c r="U115" s="1143">
        <v>3447186.1897439999</v>
      </c>
      <c r="V115" s="1144">
        <v>2243.59</v>
      </c>
      <c r="W115" s="1141">
        <v>7734072463.4477415</v>
      </c>
      <c r="X115" s="1145">
        <v>16759</v>
      </c>
      <c r="Y115" s="1145">
        <v>16758.919999999998</v>
      </c>
      <c r="Z115" s="1146">
        <v>4.7735772950030508E-6</v>
      </c>
      <c r="AA115" s="1147">
        <v>16759</v>
      </c>
      <c r="AB115" s="1135">
        <v>80</v>
      </c>
      <c r="AC115" s="1135">
        <v>10</v>
      </c>
      <c r="AD115" s="1134">
        <v>16</v>
      </c>
      <c r="AE115" s="1135">
        <v>81</v>
      </c>
      <c r="AF115" s="1135">
        <v>10</v>
      </c>
      <c r="AG115" s="1134">
        <v>15</v>
      </c>
      <c r="AH115" s="1135">
        <v>81</v>
      </c>
      <c r="AI115" s="1135">
        <v>10</v>
      </c>
      <c r="AJ115" s="1134">
        <v>22</v>
      </c>
      <c r="AK115" s="1134" t="s">
        <v>129</v>
      </c>
      <c r="AL115" s="1401" t="s">
        <v>22</v>
      </c>
    </row>
    <row r="116" spans="1:38" s="374" customFormat="1" ht="90.95" customHeight="1">
      <c r="A116" s="1133" t="s">
        <v>1151</v>
      </c>
      <c r="B116" s="1133" t="s">
        <v>1154</v>
      </c>
      <c r="C116" s="1134" t="s">
        <v>1155</v>
      </c>
      <c r="D116" s="1135" t="s">
        <v>22</v>
      </c>
      <c r="E116" s="1135" t="s">
        <v>22</v>
      </c>
      <c r="F116" s="1135" t="s">
        <v>22</v>
      </c>
      <c r="G116" s="1134" t="s">
        <v>22</v>
      </c>
      <c r="H116" s="992" t="s">
        <v>214</v>
      </c>
      <c r="I116" s="375" t="s">
        <v>1156</v>
      </c>
      <c r="J116" s="1136">
        <v>2</v>
      </c>
      <c r="K116" s="1131">
        <v>0.5</v>
      </c>
      <c r="L116" s="1148" t="s">
        <v>22</v>
      </c>
      <c r="M116" s="1139">
        <v>37834</v>
      </c>
      <c r="N116" s="1130">
        <v>39447</v>
      </c>
      <c r="O116" s="1135" t="s">
        <v>22</v>
      </c>
      <c r="P116" s="1149">
        <v>2007</v>
      </c>
      <c r="Q116" s="1141">
        <v>433700</v>
      </c>
      <c r="R116" s="1150">
        <v>2365518.39</v>
      </c>
      <c r="S116" s="1150" t="s">
        <v>142</v>
      </c>
      <c r="T116" s="1142">
        <v>1.4719</v>
      </c>
      <c r="U116" s="1143">
        <v>3481806.5182410004</v>
      </c>
      <c r="V116" s="1144">
        <v>2014.76</v>
      </c>
      <c r="W116" s="1141">
        <v>7015004500.6912374</v>
      </c>
      <c r="X116" s="1145">
        <v>16175</v>
      </c>
      <c r="Y116" s="1145">
        <v>16151.71</v>
      </c>
      <c r="Z116" s="1146">
        <v>1.4419525858253568E-3</v>
      </c>
      <c r="AA116" s="1147">
        <v>8088</v>
      </c>
      <c r="AB116" s="1135">
        <v>80</v>
      </c>
      <c r="AC116" s="1135">
        <v>10</v>
      </c>
      <c r="AD116" s="1134">
        <v>16</v>
      </c>
      <c r="AE116" s="1135">
        <v>81</v>
      </c>
      <c r="AF116" s="1135">
        <v>10</v>
      </c>
      <c r="AG116" s="1134">
        <v>15</v>
      </c>
      <c r="AH116" s="1135">
        <v>81</v>
      </c>
      <c r="AI116" s="1135">
        <v>10</v>
      </c>
      <c r="AJ116" s="1134">
        <v>22</v>
      </c>
      <c r="AK116" s="1134" t="s">
        <v>129</v>
      </c>
      <c r="AL116" s="1401" t="s">
        <v>22</v>
      </c>
    </row>
    <row r="117" spans="1:38" s="374" customFormat="1" ht="90.95" customHeight="1">
      <c r="A117" s="1133" t="s">
        <v>1157</v>
      </c>
      <c r="B117" s="1133" t="s">
        <v>1158</v>
      </c>
      <c r="C117" s="386" t="s">
        <v>1159</v>
      </c>
      <c r="D117" s="1135" t="s">
        <v>22</v>
      </c>
      <c r="E117" s="1135" t="s">
        <v>22</v>
      </c>
      <c r="F117" s="1135" t="s">
        <v>22</v>
      </c>
      <c r="G117" s="1134" t="s">
        <v>22</v>
      </c>
      <c r="H117" s="992" t="s">
        <v>448</v>
      </c>
      <c r="I117" s="375" t="s">
        <v>1160</v>
      </c>
      <c r="J117" s="1136">
        <v>18</v>
      </c>
      <c r="K117" s="1131">
        <v>0.6</v>
      </c>
      <c r="L117" s="1148" t="s">
        <v>22</v>
      </c>
      <c r="M117" s="1159">
        <v>39860</v>
      </c>
      <c r="N117" s="1160">
        <v>41260</v>
      </c>
      <c r="O117" s="1135" t="s">
        <v>22</v>
      </c>
      <c r="P117" s="1149">
        <v>2012</v>
      </c>
      <c r="Q117" s="1141">
        <v>566700</v>
      </c>
      <c r="R117" s="1150">
        <v>8865205964</v>
      </c>
      <c r="S117" s="1150" t="s">
        <v>151</v>
      </c>
      <c r="T117" s="1142" t="s">
        <v>140</v>
      </c>
      <c r="U117" s="1143" t="s">
        <v>140</v>
      </c>
      <c r="V117" s="1144">
        <v>1</v>
      </c>
      <c r="W117" s="1141">
        <v>8865205964</v>
      </c>
      <c r="X117" s="1145">
        <v>15644</v>
      </c>
      <c r="Y117" s="1145">
        <v>15643.56</v>
      </c>
      <c r="Z117" s="1146">
        <v>2.8126590111199334E-5</v>
      </c>
      <c r="AA117" s="1147">
        <v>9386</v>
      </c>
      <c r="AB117" s="1149">
        <v>80</v>
      </c>
      <c r="AC117" s="1149">
        <v>10</v>
      </c>
      <c r="AD117" s="1162">
        <v>16</v>
      </c>
      <c r="AE117" s="1149">
        <v>81</v>
      </c>
      <c r="AF117" s="1149">
        <v>10</v>
      </c>
      <c r="AG117" s="1162">
        <v>15</v>
      </c>
      <c r="AH117" s="1417">
        <v>81</v>
      </c>
      <c r="AI117" s="1152">
        <v>10</v>
      </c>
      <c r="AJ117" s="1153">
        <v>22</v>
      </c>
      <c r="AK117" s="1162" t="s">
        <v>129</v>
      </c>
      <c r="AL117" s="1401" t="s">
        <v>22</v>
      </c>
    </row>
    <row r="118" spans="1:38" s="374" customFormat="1" ht="85.5">
      <c r="A118" s="1133" t="s">
        <v>1157</v>
      </c>
      <c r="B118" s="1133" t="s">
        <v>1158</v>
      </c>
      <c r="C118" s="386" t="s">
        <v>1159</v>
      </c>
      <c r="D118" s="1135" t="s">
        <v>22</v>
      </c>
      <c r="E118" s="1135" t="s">
        <v>22</v>
      </c>
      <c r="F118" s="1135" t="s">
        <v>22</v>
      </c>
      <c r="G118" s="1134" t="s">
        <v>22</v>
      </c>
      <c r="H118" s="992" t="s">
        <v>433</v>
      </c>
      <c r="I118" s="375" t="s">
        <v>1161</v>
      </c>
      <c r="J118" s="1136">
        <v>47</v>
      </c>
      <c r="K118" s="1131">
        <v>0.7</v>
      </c>
      <c r="L118" s="1148" t="s">
        <v>22</v>
      </c>
      <c r="M118" s="1159">
        <v>41404</v>
      </c>
      <c r="N118" s="1160">
        <v>42137</v>
      </c>
      <c r="O118" s="1135" t="s">
        <v>22</v>
      </c>
      <c r="P118" s="1149">
        <v>2015</v>
      </c>
      <c r="Q118" s="1141">
        <v>644350</v>
      </c>
      <c r="R118" s="1150">
        <v>5284171200</v>
      </c>
      <c r="S118" s="1150" t="s">
        <v>151</v>
      </c>
      <c r="T118" s="1142" t="s">
        <v>140</v>
      </c>
      <c r="U118" s="1143" t="s">
        <v>140</v>
      </c>
      <c r="V118" s="1144">
        <v>1</v>
      </c>
      <c r="W118" s="1141">
        <v>5284171200</v>
      </c>
      <c r="X118" s="1145">
        <v>8201</v>
      </c>
      <c r="Y118" s="1145">
        <v>8578.2000000000007</v>
      </c>
      <c r="Z118" s="1146">
        <v>4.3971928842880925E-2</v>
      </c>
      <c r="AA118" s="1147">
        <v>5741</v>
      </c>
      <c r="AB118" s="1135">
        <v>80</v>
      </c>
      <c r="AC118" s="1135">
        <v>10</v>
      </c>
      <c r="AD118" s="1134">
        <v>16</v>
      </c>
      <c r="AE118" s="1135">
        <v>81</v>
      </c>
      <c r="AF118" s="1135">
        <v>10</v>
      </c>
      <c r="AG118" s="1134">
        <v>15</v>
      </c>
      <c r="AH118" s="1149">
        <v>81</v>
      </c>
      <c r="AI118" s="1149">
        <v>10</v>
      </c>
      <c r="AJ118" s="1162">
        <v>22</v>
      </c>
      <c r="AK118" s="1162" t="s">
        <v>129</v>
      </c>
      <c r="AL118" s="1401" t="s">
        <v>22</v>
      </c>
    </row>
    <row r="119" spans="1:38" s="374" customFormat="1" ht="51.95" customHeight="1">
      <c r="A119" s="1133" t="s">
        <v>1157</v>
      </c>
      <c r="B119" s="1133" t="s">
        <v>1162</v>
      </c>
      <c r="C119" s="1134" t="s">
        <v>1163</v>
      </c>
      <c r="D119" s="1135" t="s">
        <v>22</v>
      </c>
      <c r="E119" s="1135" t="s">
        <v>22</v>
      </c>
      <c r="F119" s="1135" t="s">
        <v>22</v>
      </c>
      <c r="G119" s="1134" t="s">
        <v>22</v>
      </c>
      <c r="H119" s="375" t="s">
        <v>1164</v>
      </c>
      <c r="I119" s="375" t="s">
        <v>1165</v>
      </c>
      <c r="J119" s="1136">
        <v>76</v>
      </c>
      <c r="K119" s="1131">
        <v>0.1</v>
      </c>
      <c r="L119" s="1148" t="s">
        <v>22</v>
      </c>
      <c r="M119" s="1139">
        <v>37229</v>
      </c>
      <c r="N119" s="1130">
        <v>40168</v>
      </c>
      <c r="O119" s="1135" t="s">
        <v>22</v>
      </c>
      <c r="P119" s="1149">
        <v>2009</v>
      </c>
      <c r="Q119" s="1141">
        <v>496900</v>
      </c>
      <c r="R119" s="1150">
        <v>30738124975.91</v>
      </c>
      <c r="S119" s="1150" t="s">
        <v>151</v>
      </c>
      <c r="T119" s="1142" t="s">
        <v>140</v>
      </c>
      <c r="U119" s="1143" t="s">
        <v>140</v>
      </c>
      <c r="V119" s="1144">
        <v>1</v>
      </c>
      <c r="W119" s="1141">
        <v>30738124975.91</v>
      </c>
      <c r="X119" s="1145">
        <v>61860</v>
      </c>
      <c r="Y119" s="1145">
        <v>61893.04</v>
      </c>
      <c r="Z119" s="1146">
        <v>5.3382415858072019E-4</v>
      </c>
      <c r="AA119" s="1147">
        <v>6186</v>
      </c>
      <c r="AB119" s="1135">
        <v>80</v>
      </c>
      <c r="AC119" s="1135">
        <v>10</v>
      </c>
      <c r="AD119" s="1134">
        <v>16</v>
      </c>
      <c r="AE119" s="1135">
        <v>81</v>
      </c>
      <c r="AF119" s="1135">
        <v>10</v>
      </c>
      <c r="AG119" s="1134">
        <v>15</v>
      </c>
      <c r="AH119" s="1135">
        <v>81</v>
      </c>
      <c r="AI119" s="1135">
        <v>10</v>
      </c>
      <c r="AJ119" s="1134">
        <v>22</v>
      </c>
      <c r="AK119" s="1134"/>
      <c r="AL119" s="1401" t="s">
        <v>22</v>
      </c>
    </row>
    <row r="120" spans="1:38" s="374" customFormat="1" ht="51.95" customHeight="1">
      <c r="A120" s="1133" t="s">
        <v>1157</v>
      </c>
      <c r="B120" s="1133" t="s">
        <v>1166</v>
      </c>
      <c r="C120" s="386" t="s">
        <v>1167</v>
      </c>
      <c r="D120" s="1135" t="s">
        <v>22</v>
      </c>
      <c r="E120" s="1135" t="s">
        <v>22</v>
      </c>
      <c r="F120" s="1135" t="s">
        <v>22</v>
      </c>
      <c r="G120" s="1134" t="s">
        <v>22</v>
      </c>
      <c r="H120" s="992" t="s">
        <v>448</v>
      </c>
      <c r="I120" s="375" t="s">
        <v>1168</v>
      </c>
      <c r="J120" s="1136">
        <v>16</v>
      </c>
      <c r="K120" s="1131">
        <v>0.5</v>
      </c>
      <c r="L120" s="1148" t="s">
        <v>22</v>
      </c>
      <c r="M120" s="1139">
        <v>39862</v>
      </c>
      <c r="N120" s="1130">
        <v>40878</v>
      </c>
      <c r="O120" s="1135" t="s">
        <v>22</v>
      </c>
      <c r="P120" s="1149">
        <v>2011</v>
      </c>
      <c r="Q120" s="1141">
        <v>535600</v>
      </c>
      <c r="R120" s="1150">
        <v>8675772032</v>
      </c>
      <c r="S120" s="1150" t="s">
        <v>151</v>
      </c>
      <c r="T120" s="1142" t="s">
        <v>140</v>
      </c>
      <c r="U120" s="1143" t="s">
        <v>140</v>
      </c>
      <c r="V120" s="1144">
        <v>1</v>
      </c>
      <c r="W120" s="1141">
        <v>8675772032</v>
      </c>
      <c r="X120" s="1145">
        <v>16198</v>
      </c>
      <c r="Y120" s="1157">
        <v>16198.23</v>
      </c>
      <c r="Z120" s="1146">
        <v>1.419908224542521E-5</v>
      </c>
      <c r="AA120" s="1147">
        <v>8099</v>
      </c>
      <c r="AB120" s="1135">
        <v>80</v>
      </c>
      <c r="AC120" s="1135">
        <v>10</v>
      </c>
      <c r="AD120" s="1134">
        <v>16</v>
      </c>
      <c r="AE120" s="1135">
        <v>81</v>
      </c>
      <c r="AF120" s="1135">
        <v>10</v>
      </c>
      <c r="AG120" s="1134">
        <v>15</v>
      </c>
      <c r="AH120" s="1135"/>
      <c r="AI120" s="1135"/>
      <c r="AJ120" s="1134"/>
      <c r="AK120" s="1134" t="s">
        <v>129</v>
      </c>
      <c r="AL120" s="1401" t="s">
        <v>22</v>
      </c>
    </row>
    <row r="121" spans="1:38" s="374" customFormat="1" ht="51.95" customHeight="1">
      <c r="A121" s="1133" t="s">
        <v>1169</v>
      </c>
      <c r="B121" s="1133" t="s">
        <v>1170</v>
      </c>
      <c r="C121" s="386" t="s">
        <v>1171</v>
      </c>
      <c r="D121" s="1135" t="s">
        <v>22</v>
      </c>
      <c r="E121" s="1135" t="s">
        <v>22</v>
      </c>
      <c r="F121" s="1135" t="s">
        <v>22</v>
      </c>
      <c r="G121" s="1134" t="s">
        <v>22</v>
      </c>
      <c r="H121" s="992" t="s">
        <v>914</v>
      </c>
      <c r="I121" s="375" t="s">
        <v>1172</v>
      </c>
      <c r="J121" s="1136">
        <v>4</v>
      </c>
      <c r="K121" s="1131">
        <v>1</v>
      </c>
      <c r="L121" s="1148" t="s">
        <v>22</v>
      </c>
      <c r="M121" s="1128">
        <v>34358</v>
      </c>
      <c r="N121" s="1156">
        <v>35828</v>
      </c>
      <c r="O121" s="1135" t="s">
        <v>22</v>
      </c>
      <c r="P121" s="1149">
        <v>1998</v>
      </c>
      <c r="Q121" s="1141">
        <v>203826</v>
      </c>
      <c r="R121" s="1168">
        <v>2834448285</v>
      </c>
      <c r="S121" s="1141" t="s">
        <v>151</v>
      </c>
      <c r="T121" s="1142" t="s">
        <v>140</v>
      </c>
      <c r="U121" s="1143" t="s">
        <v>140</v>
      </c>
      <c r="V121" s="1144">
        <v>1</v>
      </c>
      <c r="W121" s="1141">
        <v>2834448285</v>
      </c>
      <c r="X121" s="1145">
        <v>13906</v>
      </c>
      <c r="Y121" s="1145">
        <v>13906.22</v>
      </c>
      <c r="Z121" s="1146">
        <v>1.5820258848164848E-5</v>
      </c>
      <c r="AA121" s="1147">
        <v>13906</v>
      </c>
      <c r="AB121" s="1135"/>
      <c r="AC121" s="1135"/>
      <c r="AD121" s="1134"/>
      <c r="AE121" s="1135">
        <v>81</v>
      </c>
      <c r="AF121" s="1135">
        <v>10</v>
      </c>
      <c r="AG121" s="1134">
        <v>15</v>
      </c>
      <c r="AH121" s="1135"/>
      <c r="AI121" s="1135"/>
      <c r="AJ121" s="1134"/>
      <c r="AK121" s="1134" t="s">
        <v>129</v>
      </c>
      <c r="AL121" s="1401" t="s">
        <v>22</v>
      </c>
    </row>
    <row r="122" spans="1:38" s="374" customFormat="1" ht="47.1" customHeight="1">
      <c r="A122" s="1133" t="s">
        <v>1169</v>
      </c>
      <c r="B122" s="1133" t="s">
        <v>1170</v>
      </c>
      <c r="C122" s="386" t="s">
        <v>1171</v>
      </c>
      <c r="D122" s="1135" t="s">
        <v>22</v>
      </c>
      <c r="E122" s="1135" t="s">
        <v>22</v>
      </c>
      <c r="F122" s="1135" t="s">
        <v>22</v>
      </c>
      <c r="G122" s="1134" t="s">
        <v>22</v>
      </c>
      <c r="H122" s="992" t="s">
        <v>297</v>
      </c>
      <c r="I122" s="375" t="s">
        <v>1173</v>
      </c>
      <c r="J122" s="1136">
        <v>11</v>
      </c>
      <c r="K122" s="1131">
        <v>1</v>
      </c>
      <c r="L122" s="1148" t="s">
        <v>22</v>
      </c>
      <c r="M122" s="1128">
        <v>36298</v>
      </c>
      <c r="N122" s="1156">
        <v>37425</v>
      </c>
      <c r="O122" s="1135" t="s">
        <v>22</v>
      </c>
      <c r="P122" s="1149">
        <v>2002</v>
      </c>
      <c r="Q122" s="1141">
        <v>309000</v>
      </c>
      <c r="R122" s="1168">
        <v>3800380053</v>
      </c>
      <c r="S122" s="1141" t="s">
        <v>151</v>
      </c>
      <c r="T122" s="1142" t="s">
        <v>140</v>
      </c>
      <c r="U122" s="1143" t="s">
        <v>140</v>
      </c>
      <c r="V122" s="1144">
        <v>1</v>
      </c>
      <c r="W122" s="1141">
        <v>3800380053</v>
      </c>
      <c r="X122" s="1145">
        <v>12299</v>
      </c>
      <c r="Y122" s="1145">
        <v>12298.96</v>
      </c>
      <c r="Z122" s="1146">
        <v>3.2523075121915213E-6</v>
      </c>
      <c r="AA122" s="1147">
        <v>12299</v>
      </c>
      <c r="AB122" s="1154">
        <v>80</v>
      </c>
      <c r="AC122" s="1154">
        <v>10</v>
      </c>
      <c r="AD122" s="1155">
        <v>16</v>
      </c>
      <c r="AE122" s="1135">
        <v>81</v>
      </c>
      <c r="AF122" s="1135">
        <v>10</v>
      </c>
      <c r="AG122" s="1134">
        <v>15</v>
      </c>
      <c r="AH122" s="1135">
        <v>81</v>
      </c>
      <c r="AI122" s="1135">
        <v>10</v>
      </c>
      <c r="AJ122" s="1134">
        <v>22</v>
      </c>
      <c r="AK122" s="1134" t="s">
        <v>129</v>
      </c>
      <c r="AL122" s="1401" t="s">
        <v>22</v>
      </c>
    </row>
    <row r="123" spans="1:38" s="374" customFormat="1" ht="59.1" customHeight="1">
      <c r="A123" s="1133" t="s">
        <v>1169</v>
      </c>
      <c r="B123" s="1133" t="s">
        <v>1170</v>
      </c>
      <c r="C123" s="386" t="s">
        <v>1171</v>
      </c>
      <c r="D123" s="1135" t="s">
        <v>22</v>
      </c>
      <c r="E123" s="1135" t="s">
        <v>22</v>
      </c>
      <c r="F123" s="1135" t="s">
        <v>22</v>
      </c>
      <c r="G123" s="1134" t="s">
        <v>22</v>
      </c>
      <c r="H123" s="992" t="s">
        <v>493</v>
      </c>
      <c r="I123" s="375" t="s">
        <v>1174</v>
      </c>
      <c r="J123" s="1136">
        <v>40</v>
      </c>
      <c r="K123" s="1131">
        <v>1</v>
      </c>
      <c r="L123" s="1148" t="s">
        <v>22</v>
      </c>
      <c r="M123" s="1128">
        <v>33161</v>
      </c>
      <c r="N123" s="1156">
        <v>35550</v>
      </c>
      <c r="O123" s="1135" t="s">
        <v>22</v>
      </c>
      <c r="P123" s="1149">
        <v>1997</v>
      </c>
      <c r="Q123" s="1141">
        <v>172005</v>
      </c>
      <c r="R123" s="1168">
        <v>1546808187.0699999</v>
      </c>
      <c r="S123" s="1141" t="s">
        <v>151</v>
      </c>
      <c r="T123" s="1142" t="s">
        <v>140</v>
      </c>
      <c r="U123" s="1143" t="s">
        <v>140</v>
      </c>
      <c r="V123" s="1144">
        <v>1</v>
      </c>
      <c r="W123" s="1141">
        <v>1546808187.0699999</v>
      </c>
      <c r="X123" s="1145">
        <v>8993</v>
      </c>
      <c r="Y123" s="1145">
        <v>8992.81</v>
      </c>
      <c r="Z123" s="1146">
        <v>2.1127990027736132E-5</v>
      </c>
      <c r="AA123" s="1147">
        <v>8993</v>
      </c>
      <c r="AB123" s="1135"/>
      <c r="AC123" s="1135"/>
      <c r="AD123" s="1134"/>
      <c r="AE123" s="1135">
        <v>81</v>
      </c>
      <c r="AF123" s="1135">
        <v>10</v>
      </c>
      <c r="AG123" s="1134">
        <v>15</v>
      </c>
      <c r="AH123" s="1135">
        <v>81</v>
      </c>
      <c r="AI123" s="1135">
        <v>10</v>
      </c>
      <c r="AJ123" s="1134">
        <v>22</v>
      </c>
      <c r="AK123" s="1134" t="s">
        <v>129</v>
      </c>
      <c r="AL123" s="1401" t="s">
        <v>22</v>
      </c>
    </row>
    <row r="124" spans="1:38" s="374" customFormat="1" ht="57">
      <c r="A124" s="1133" t="s">
        <v>1169</v>
      </c>
      <c r="B124" s="1133" t="s">
        <v>1170</v>
      </c>
      <c r="C124" s="386" t="s">
        <v>1171</v>
      </c>
      <c r="D124" s="1135" t="s">
        <v>22</v>
      </c>
      <c r="E124" s="1135" t="s">
        <v>22</v>
      </c>
      <c r="F124" s="1135" t="s">
        <v>22</v>
      </c>
      <c r="G124" s="1134" t="s">
        <v>22</v>
      </c>
      <c r="H124" s="992" t="s">
        <v>493</v>
      </c>
      <c r="I124" s="375" t="s">
        <v>1175</v>
      </c>
      <c r="J124" s="1136">
        <v>50</v>
      </c>
      <c r="K124" s="1131">
        <v>0.5</v>
      </c>
      <c r="L124" s="1148" t="s">
        <v>22</v>
      </c>
      <c r="M124" s="1128">
        <v>35136</v>
      </c>
      <c r="N124" s="1156">
        <v>35971</v>
      </c>
      <c r="O124" s="1135" t="s">
        <v>22</v>
      </c>
      <c r="P124" s="1149">
        <v>1998</v>
      </c>
      <c r="Q124" s="1141">
        <v>203826</v>
      </c>
      <c r="R124" s="1150">
        <v>2199833664.8299999</v>
      </c>
      <c r="S124" s="1150" t="s">
        <v>151</v>
      </c>
      <c r="T124" s="1142" t="s">
        <v>140</v>
      </c>
      <c r="U124" s="1143" t="s">
        <v>140</v>
      </c>
      <c r="V124" s="1144">
        <v>1</v>
      </c>
      <c r="W124" s="1141">
        <v>2199833664.8299999</v>
      </c>
      <c r="X124" s="1145">
        <v>10793</v>
      </c>
      <c r="Y124" s="1145">
        <v>10792.7</v>
      </c>
      <c r="Z124" s="1146">
        <v>2.7796566197446637E-5</v>
      </c>
      <c r="AA124" s="1147">
        <v>5397</v>
      </c>
      <c r="AB124" s="1417"/>
      <c r="AC124" s="1152"/>
      <c r="AD124" s="1153"/>
      <c r="AE124" s="1135">
        <v>81</v>
      </c>
      <c r="AF124" s="1135">
        <v>10</v>
      </c>
      <c r="AG124" s="1134">
        <v>15</v>
      </c>
      <c r="AH124" s="1135">
        <v>81</v>
      </c>
      <c r="AI124" s="1135">
        <v>10</v>
      </c>
      <c r="AJ124" s="1134">
        <v>22</v>
      </c>
      <c r="AK124" s="1134" t="s">
        <v>129</v>
      </c>
      <c r="AL124" s="1401" t="s">
        <v>22</v>
      </c>
    </row>
    <row r="125" spans="1:38" s="374" customFormat="1" ht="71.25">
      <c r="A125" s="1133" t="s">
        <v>1169</v>
      </c>
      <c r="B125" s="1133" t="s">
        <v>1176</v>
      </c>
      <c r="C125" s="1134" t="s">
        <v>1177</v>
      </c>
      <c r="D125" s="1135" t="s">
        <v>22</v>
      </c>
      <c r="E125" s="1135" t="s">
        <v>22</v>
      </c>
      <c r="F125" s="1135" t="s">
        <v>22</v>
      </c>
      <c r="G125" s="1134" t="s">
        <v>22</v>
      </c>
      <c r="H125" s="992" t="s">
        <v>493</v>
      </c>
      <c r="I125" s="375" t="s">
        <v>1178</v>
      </c>
      <c r="J125" s="1136">
        <v>76</v>
      </c>
      <c r="K125" s="1131">
        <v>0.2</v>
      </c>
      <c r="L125" s="1148" t="s">
        <v>22</v>
      </c>
      <c r="M125" s="1128">
        <v>40079</v>
      </c>
      <c r="N125" s="1156">
        <v>42094</v>
      </c>
      <c r="O125" s="1135" t="s">
        <v>22</v>
      </c>
      <c r="P125" s="1149">
        <v>2015</v>
      </c>
      <c r="Q125" s="1141">
        <v>644350</v>
      </c>
      <c r="R125" s="1168">
        <v>14008976863</v>
      </c>
      <c r="S125" s="1141" t="s">
        <v>151</v>
      </c>
      <c r="T125" s="1142" t="s">
        <v>140</v>
      </c>
      <c r="U125" s="1143" t="s">
        <v>140</v>
      </c>
      <c r="V125" s="1144">
        <v>1</v>
      </c>
      <c r="W125" s="1141">
        <v>14008976863</v>
      </c>
      <c r="X125" s="1145">
        <v>21741</v>
      </c>
      <c r="Y125" s="1145">
        <v>21741.32</v>
      </c>
      <c r="Z125" s="1146">
        <v>1.4718517550860177E-5</v>
      </c>
      <c r="AA125" s="1147">
        <v>4348</v>
      </c>
      <c r="AB125" s="1154">
        <v>80</v>
      </c>
      <c r="AC125" s="1154">
        <v>10</v>
      </c>
      <c r="AD125" s="1155">
        <v>16</v>
      </c>
      <c r="AE125" s="1135">
        <v>81</v>
      </c>
      <c r="AF125" s="1135">
        <v>10</v>
      </c>
      <c r="AG125" s="1134">
        <v>15</v>
      </c>
      <c r="AH125" s="1135">
        <v>81</v>
      </c>
      <c r="AI125" s="1135">
        <v>10</v>
      </c>
      <c r="AJ125" s="1134">
        <v>22</v>
      </c>
      <c r="AK125" s="1134" t="s">
        <v>129</v>
      </c>
      <c r="AL125" s="1401" t="s">
        <v>22</v>
      </c>
    </row>
    <row r="126" spans="1:38" s="374" customFormat="1" ht="78" customHeight="1">
      <c r="A126" s="1133" t="s">
        <v>1169</v>
      </c>
      <c r="B126" s="1133" t="s">
        <v>1176</v>
      </c>
      <c r="C126" s="1134" t="s">
        <v>1177</v>
      </c>
      <c r="D126" s="1135" t="s">
        <v>22</v>
      </c>
      <c r="E126" s="1135" t="s">
        <v>22</v>
      </c>
      <c r="F126" s="1135" t="s">
        <v>22</v>
      </c>
      <c r="G126" s="1134" t="s">
        <v>22</v>
      </c>
      <c r="H126" s="992" t="s">
        <v>448</v>
      </c>
      <c r="I126" s="375" t="s">
        <v>1179</v>
      </c>
      <c r="J126" s="1136">
        <v>8</v>
      </c>
      <c r="K126" s="1131">
        <v>1</v>
      </c>
      <c r="L126" s="1148" t="s">
        <v>22</v>
      </c>
      <c r="M126" s="1139">
        <v>35177</v>
      </c>
      <c r="N126" s="1130">
        <v>35563</v>
      </c>
      <c r="O126" s="1135" t="s">
        <v>22</v>
      </c>
      <c r="P126" s="1149">
        <v>1997</v>
      </c>
      <c r="Q126" s="1141">
        <v>172005</v>
      </c>
      <c r="R126" s="1150">
        <v>384734738</v>
      </c>
      <c r="S126" s="1150" t="s">
        <v>151</v>
      </c>
      <c r="T126" s="1142" t="s">
        <v>140</v>
      </c>
      <c r="U126" s="1143" t="s">
        <v>140</v>
      </c>
      <c r="V126" s="1144">
        <v>1</v>
      </c>
      <c r="W126" s="1141">
        <v>384734738</v>
      </c>
      <c r="X126" s="1145">
        <v>2237</v>
      </c>
      <c r="Y126" s="1145">
        <v>2236.7600000000002</v>
      </c>
      <c r="Z126" s="1146">
        <v>1.072980561167558E-4</v>
      </c>
      <c r="AA126" s="1147">
        <v>2237</v>
      </c>
      <c r="AB126" s="1135"/>
      <c r="AC126" s="1135"/>
      <c r="AD126" s="1134"/>
      <c r="AE126" s="1135">
        <v>81</v>
      </c>
      <c r="AF126" s="1135">
        <v>10</v>
      </c>
      <c r="AG126" s="1134">
        <v>15</v>
      </c>
      <c r="AH126" s="1135"/>
      <c r="AI126" s="1135"/>
      <c r="AJ126" s="1134"/>
      <c r="AK126" s="1134" t="s">
        <v>129</v>
      </c>
      <c r="AL126" s="1401" t="s">
        <v>22</v>
      </c>
    </row>
    <row r="127" spans="1:38" s="374" customFormat="1" ht="51.95" customHeight="1">
      <c r="A127" s="1133" t="s">
        <v>1180</v>
      </c>
      <c r="B127" s="1133" t="s">
        <v>1181</v>
      </c>
      <c r="C127" s="387" t="s">
        <v>402</v>
      </c>
      <c r="D127" s="1135" t="s">
        <v>22</v>
      </c>
      <c r="E127" s="1135" t="s">
        <v>22</v>
      </c>
      <c r="F127" s="1135" t="s">
        <v>22</v>
      </c>
      <c r="G127" s="1134" t="s">
        <v>22</v>
      </c>
      <c r="H127" s="992" t="s">
        <v>214</v>
      </c>
      <c r="I127" s="375" t="s">
        <v>404</v>
      </c>
      <c r="J127" s="1136" t="s">
        <v>129</v>
      </c>
      <c r="K127" s="1131">
        <v>0.5</v>
      </c>
      <c r="L127" s="1148" t="s">
        <v>22</v>
      </c>
      <c r="M127" s="1139">
        <v>38864</v>
      </c>
      <c r="N127" s="1130">
        <v>40052</v>
      </c>
      <c r="O127" s="1135" t="s">
        <v>22</v>
      </c>
      <c r="P127" s="1149">
        <v>2009</v>
      </c>
      <c r="Q127" s="1141">
        <v>496900</v>
      </c>
      <c r="R127" s="1150">
        <v>1298619.92</v>
      </c>
      <c r="S127" s="1150" t="s">
        <v>142</v>
      </c>
      <c r="T127" s="1142">
        <v>1.4278999999999999</v>
      </c>
      <c r="U127" s="1143">
        <v>1854299.3837679997</v>
      </c>
      <c r="V127" s="1144">
        <v>2044.79</v>
      </c>
      <c r="W127" s="1141">
        <v>3791652836.934968</v>
      </c>
      <c r="X127" s="1145">
        <v>7631</v>
      </c>
      <c r="Y127" s="1145"/>
      <c r="Z127" s="1146" t="s">
        <v>140</v>
      </c>
      <c r="AA127" s="1147">
        <v>3816</v>
      </c>
      <c r="AB127" s="1135"/>
      <c r="AC127" s="1135"/>
      <c r="AD127" s="1134"/>
      <c r="AE127" s="1135"/>
      <c r="AF127" s="1135"/>
      <c r="AG127" s="1134"/>
      <c r="AH127" s="1135"/>
      <c r="AI127" s="1135"/>
      <c r="AJ127" s="1134"/>
      <c r="AK127" s="1134" t="s">
        <v>22</v>
      </c>
      <c r="AL127" s="1401" t="s">
        <v>22</v>
      </c>
    </row>
    <row r="128" spans="1:38" s="374" customFormat="1" ht="78" customHeight="1">
      <c r="A128" s="1133" t="s">
        <v>1180</v>
      </c>
      <c r="B128" s="1133" t="s">
        <v>1181</v>
      </c>
      <c r="C128" s="387" t="s">
        <v>402</v>
      </c>
      <c r="D128" s="1135" t="s">
        <v>22</v>
      </c>
      <c r="E128" s="1135" t="s">
        <v>22</v>
      </c>
      <c r="F128" s="1135" t="s">
        <v>22</v>
      </c>
      <c r="G128" s="1134" t="s">
        <v>22</v>
      </c>
      <c r="H128" s="992" t="s">
        <v>214</v>
      </c>
      <c r="I128" s="375" t="s">
        <v>405</v>
      </c>
      <c r="J128" s="1136" t="s">
        <v>129</v>
      </c>
      <c r="K128" s="1131">
        <v>1</v>
      </c>
      <c r="L128" s="1148" t="s">
        <v>22</v>
      </c>
      <c r="M128" s="1139">
        <v>38661</v>
      </c>
      <c r="N128" s="1130">
        <v>40122</v>
      </c>
      <c r="O128" s="1135" t="s">
        <v>22</v>
      </c>
      <c r="P128" s="1149">
        <v>2009</v>
      </c>
      <c r="Q128" s="1141">
        <v>496900</v>
      </c>
      <c r="R128" s="1150">
        <v>949157.05</v>
      </c>
      <c r="S128" s="1150" t="s">
        <v>142</v>
      </c>
      <c r="T128" s="1142">
        <v>1.4767999999999999</v>
      </c>
      <c r="U128" s="1143">
        <v>1401715.1314399999</v>
      </c>
      <c r="V128" s="1144">
        <v>1963.7</v>
      </c>
      <c r="W128" s="1141">
        <v>2752548003.6087279</v>
      </c>
      <c r="X128" s="1145">
        <v>5539</v>
      </c>
      <c r="Y128" s="1145"/>
      <c r="Z128" s="1146" t="s">
        <v>140</v>
      </c>
      <c r="AA128" s="1147">
        <v>5539</v>
      </c>
      <c r="AB128" s="1135"/>
      <c r="AC128" s="1135"/>
      <c r="AD128" s="1134"/>
      <c r="AE128" s="1135"/>
      <c r="AF128" s="1135"/>
      <c r="AG128" s="1134"/>
      <c r="AH128" s="1135"/>
      <c r="AI128" s="1135"/>
      <c r="AJ128" s="1134"/>
      <c r="AK128" s="1134" t="s">
        <v>22</v>
      </c>
      <c r="AL128" s="1401" t="s">
        <v>22</v>
      </c>
    </row>
    <row r="129" spans="1:38" s="374" customFormat="1" ht="78" customHeight="1">
      <c r="A129" s="1133" t="s">
        <v>1180</v>
      </c>
      <c r="B129" s="1133" t="s">
        <v>1181</v>
      </c>
      <c r="C129" s="387" t="s">
        <v>402</v>
      </c>
      <c r="D129" s="1135" t="s">
        <v>22</v>
      </c>
      <c r="E129" s="1135" t="s">
        <v>22</v>
      </c>
      <c r="F129" s="1135" t="s">
        <v>22</v>
      </c>
      <c r="G129" s="1134" t="s">
        <v>22</v>
      </c>
      <c r="H129" s="992" t="s">
        <v>214</v>
      </c>
      <c r="I129" s="375" t="s">
        <v>406</v>
      </c>
      <c r="J129" s="1136" t="s">
        <v>129</v>
      </c>
      <c r="K129" s="1131">
        <v>1</v>
      </c>
      <c r="L129" s="1148" t="s">
        <v>22</v>
      </c>
      <c r="M129" s="1139">
        <v>38296</v>
      </c>
      <c r="N129" s="1130">
        <v>39360</v>
      </c>
      <c r="O129" s="1135" t="s">
        <v>22</v>
      </c>
      <c r="P129" s="1149">
        <v>2007</v>
      </c>
      <c r="Q129" s="1141">
        <v>433700</v>
      </c>
      <c r="R129" s="1150">
        <v>1248500.53</v>
      </c>
      <c r="S129" s="1150" t="s">
        <v>142</v>
      </c>
      <c r="T129" s="1142">
        <v>1.4106000000000001</v>
      </c>
      <c r="U129" s="1143">
        <v>1761134.8476180001</v>
      </c>
      <c r="V129" s="1144">
        <v>2018.45</v>
      </c>
      <c r="W129" s="1141">
        <v>3554762633.1745524</v>
      </c>
      <c r="X129" s="1145">
        <v>8196</v>
      </c>
      <c r="Y129" s="1145"/>
      <c r="Z129" s="1146" t="s">
        <v>140</v>
      </c>
      <c r="AA129" s="1147">
        <v>8196</v>
      </c>
      <c r="AB129" s="1135"/>
      <c r="AC129" s="1135"/>
      <c r="AD129" s="1134"/>
      <c r="AE129" s="1135"/>
      <c r="AF129" s="1135"/>
      <c r="AG129" s="1134"/>
      <c r="AH129" s="1135"/>
      <c r="AI129" s="1135"/>
      <c r="AJ129" s="1134"/>
      <c r="AK129" s="1134" t="s">
        <v>22</v>
      </c>
      <c r="AL129" s="1401" t="s">
        <v>22</v>
      </c>
    </row>
    <row r="130" spans="1:38" s="374" customFormat="1" ht="90.95" customHeight="1">
      <c r="A130" s="1133" t="s">
        <v>1180</v>
      </c>
      <c r="B130" s="1133" t="s">
        <v>1182</v>
      </c>
      <c r="C130" s="1134" t="s">
        <v>1183</v>
      </c>
      <c r="D130" s="1135" t="s">
        <v>22</v>
      </c>
      <c r="E130" s="1135" t="s">
        <v>22</v>
      </c>
      <c r="F130" s="1135" t="s">
        <v>22</v>
      </c>
      <c r="G130" s="1134" t="s">
        <v>22</v>
      </c>
      <c r="H130" s="992" t="s">
        <v>292</v>
      </c>
      <c r="I130" s="375" t="s">
        <v>409</v>
      </c>
      <c r="J130" s="1136">
        <v>2</v>
      </c>
      <c r="K130" s="1131">
        <v>0.55000000000000004</v>
      </c>
      <c r="L130" s="1148" t="s">
        <v>22</v>
      </c>
      <c r="M130" s="1139">
        <v>34338</v>
      </c>
      <c r="N130" s="1130">
        <v>36305</v>
      </c>
      <c r="O130" s="1135" t="s">
        <v>22</v>
      </c>
      <c r="P130" s="1149">
        <v>1999</v>
      </c>
      <c r="Q130" s="1141">
        <v>236460</v>
      </c>
      <c r="R130" s="1150">
        <v>4491569047</v>
      </c>
      <c r="S130" s="1150" t="s">
        <v>151</v>
      </c>
      <c r="T130" s="1142" t="s">
        <v>140</v>
      </c>
      <c r="U130" s="1143" t="s">
        <v>140</v>
      </c>
      <c r="V130" s="1144">
        <v>1</v>
      </c>
      <c r="W130" s="1141">
        <v>4491569047</v>
      </c>
      <c r="X130" s="1145">
        <v>18995</v>
      </c>
      <c r="Y130" s="1145">
        <v>18995.04</v>
      </c>
      <c r="Z130" s="1146">
        <v>2.1058128859552383E-6</v>
      </c>
      <c r="AA130" s="1147">
        <v>10447</v>
      </c>
      <c r="AB130" s="1135">
        <v>80</v>
      </c>
      <c r="AC130" s="1135">
        <v>10</v>
      </c>
      <c r="AD130" s="1134">
        <v>16</v>
      </c>
      <c r="AE130" s="1135">
        <v>81</v>
      </c>
      <c r="AF130" s="1135">
        <v>10</v>
      </c>
      <c r="AG130" s="1134">
        <v>15</v>
      </c>
      <c r="AH130" s="1135">
        <v>81</v>
      </c>
      <c r="AI130" s="1135">
        <v>10</v>
      </c>
      <c r="AJ130" s="1134">
        <v>22</v>
      </c>
      <c r="AK130" s="1134" t="s">
        <v>129</v>
      </c>
      <c r="AL130" s="1401" t="s">
        <v>22</v>
      </c>
    </row>
    <row r="131" spans="1:38" s="374" customFormat="1" ht="51.95" customHeight="1">
      <c r="A131" s="1133" t="s">
        <v>1180</v>
      </c>
      <c r="B131" s="1133" t="s">
        <v>1184</v>
      </c>
      <c r="C131" s="386" t="s">
        <v>1185</v>
      </c>
      <c r="D131" s="1135" t="s">
        <v>22</v>
      </c>
      <c r="E131" s="1135" t="s">
        <v>22</v>
      </c>
      <c r="F131" s="1135" t="s">
        <v>22</v>
      </c>
      <c r="G131" s="1134" t="s">
        <v>22</v>
      </c>
      <c r="H131" s="992" t="s">
        <v>1038</v>
      </c>
      <c r="I131" s="375" t="s">
        <v>1186</v>
      </c>
      <c r="J131" s="1136">
        <v>80</v>
      </c>
      <c r="K131" s="1131">
        <v>0.6</v>
      </c>
      <c r="L131" s="1148" t="s">
        <v>22</v>
      </c>
      <c r="M131" s="1159">
        <v>40064</v>
      </c>
      <c r="N131" s="1160">
        <v>41999</v>
      </c>
      <c r="O131" s="1135" t="s">
        <v>22</v>
      </c>
      <c r="P131" s="1149">
        <v>2014</v>
      </c>
      <c r="Q131" s="1141">
        <v>616000</v>
      </c>
      <c r="R131" s="1150">
        <v>8500752912</v>
      </c>
      <c r="S131" s="1150" t="s">
        <v>151</v>
      </c>
      <c r="T131" s="1142" t="s">
        <v>140</v>
      </c>
      <c r="U131" s="1143" t="s">
        <v>140</v>
      </c>
      <c r="V131" s="1144">
        <v>1</v>
      </c>
      <c r="W131" s="1141">
        <v>8500752912</v>
      </c>
      <c r="X131" s="1145">
        <v>13800</v>
      </c>
      <c r="Y131" s="1145">
        <v>8280.19</v>
      </c>
      <c r="Z131" s="1146">
        <v>0.66662842277773815</v>
      </c>
      <c r="AA131" s="1147">
        <v>8280</v>
      </c>
      <c r="AB131" s="1135">
        <v>80</v>
      </c>
      <c r="AC131" s="1135">
        <v>10</v>
      </c>
      <c r="AD131" s="1134">
        <v>16</v>
      </c>
      <c r="AE131" s="1135">
        <v>81</v>
      </c>
      <c r="AF131" s="1135">
        <v>10</v>
      </c>
      <c r="AG131" s="1134">
        <v>15</v>
      </c>
      <c r="AH131" s="1135">
        <v>81</v>
      </c>
      <c r="AI131" s="1135">
        <v>10</v>
      </c>
      <c r="AJ131" s="1134">
        <v>22</v>
      </c>
      <c r="AK131" s="1162" t="s">
        <v>129</v>
      </c>
      <c r="AL131" s="1401" t="s">
        <v>22</v>
      </c>
    </row>
    <row r="132" spans="1:38" s="374" customFormat="1" ht="78" customHeight="1">
      <c r="A132" s="1133" t="s">
        <v>1180</v>
      </c>
      <c r="B132" s="1133" t="s">
        <v>1184</v>
      </c>
      <c r="C132" s="386" t="s">
        <v>1185</v>
      </c>
      <c r="D132" s="1135" t="s">
        <v>22</v>
      </c>
      <c r="E132" s="1135" t="s">
        <v>22</v>
      </c>
      <c r="F132" s="1135" t="s">
        <v>22</v>
      </c>
      <c r="G132" s="1134" t="s">
        <v>22</v>
      </c>
      <c r="H132" s="992" t="s">
        <v>1187</v>
      </c>
      <c r="I132" s="375" t="s">
        <v>1188</v>
      </c>
      <c r="J132" s="1136">
        <v>14</v>
      </c>
      <c r="K132" s="1131">
        <v>0.65</v>
      </c>
      <c r="L132" s="1148" t="s">
        <v>22</v>
      </c>
      <c r="M132" s="1159">
        <v>39128</v>
      </c>
      <c r="N132" s="1160">
        <v>39721</v>
      </c>
      <c r="O132" s="1135" t="s">
        <v>22</v>
      </c>
      <c r="P132" s="1149">
        <v>2008</v>
      </c>
      <c r="Q132" s="1141">
        <v>461500</v>
      </c>
      <c r="R132" s="1150">
        <v>1614805707.27</v>
      </c>
      <c r="S132" s="1150" t="s">
        <v>151</v>
      </c>
      <c r="T132" s="1142" t="s">
        <v>140</v>
      </c>
      <c r="U132" s="1143" t="s">
        <v>140</v>
      </c>
      <c r="V132" s="1144">
        <v>1</v>
      </c>
      <c r="W132" s="1141">
        <v>1614805707.27</v>
      </c>
      <c r="X132" s="1145">
        <v>3499</v>
      </c>
      <c r="Y132" s="1145">
        <v>2713.41</v>
      </c>
      <c r="Z132" s="1146">
        <v>0.2895213034521138</v>
      </c>
      <c r="AA132" s="1147">
        <v>2274</v>
      </c>
      <c r="AB132" s="1135">
        <v>80</v>
      </c>
      <c r="AC132" s="1135">
        <v>10</v>
      </c>
      <c r="AD132" s="1134">
        <v>16</v>
      </c>
      <c r="AE132" s="1135">
        <v>81</v>
      </c>
      <c r="AF132" s="1135">
        <v>10</v>
      </c>
      <c r="AG132" s="1134">
        <v>15</v>
      </c>
      <c r="AH132" s="1135">
        <v>81</v>
      </c>
      <c r="AI132" s="1135">
        <v>10</v>
      </c>
      <c r="AJ132" s="1134">
        <v>22</v>
      </c>
      <c r="AK132" s="1162" t="s">
        <v>129</v>
      </c>
      <c r="AL132" s="1401" t="s">
        <v>22</v>
      </c>
    </row>
    <row r="133" spans="1:38" s="374" customFormat="1" ht="129.94999999999999" customHeight="1">
      <c r="A133" s="1133" t="s">
        <v>1189</v>
      </c>
      <c r="B133" s="1133" t="s">
        <v>1190</v>
      </c>
      <c r="C133" s="1134" t="s">
        <v>1191</v>
      </c>
      <c r="D133" s="1135" t="s">
        <v>22</v>
      </c>
      <c r="E133" s="1135" t="s">
        <v>22</v>
      </c>
      <c r="F133" s="1135" t="s">
        <v>22</v>
      </c>
      <c r="G133" s="1134" t="s">
        <v>22</v>
      </c>
      <c r="H133" s="992" t="s">
        <v>517</v>
      </c>
      <c r="I133" s="375" t="s">
        <v>1192</v>
      </c>
      <c r="J133" s="1136">
        <v>16</v>
      </c>
      <c r="K133" s="1169">
        <v>0.5</v>
      </c>
      <c r="L133" s="1417" t="s">
        <v>22</v>
      </c>
      <c r="M133" s="1139">
        <v>38916</v>
      </c>
      <c r="N133" s="1130">
        <v>40267</v>
      </c>
      <c r="O133" s="1135" t="s">
        <v>22</v>
      </c>
      <c r="P133" s="1149">
        <v>2010</v>
      </c>
      <c r="Q133" s="1141">
        <v>515000</v>
      </c>
      <c r="R133" s="1150">
        <v>7564702533</v>
      </c>
      <c r="S133" s="1150" t="s">
        <v>151</v>
      </c>
      <c r="T133" s="1142" t="s">
        <v>140</v>
      </c>
      <c r="U133" s="1143" t="s">
        <v>140</v>
      </c>
      <c r="V133" s="1144">
        <v>1</v>
      </c>
      <c r="W133" s="1141">
        <v>7564702533</v>
      </c>
      <c r="X133" s="1145">
        <v>14689</v>
      </c>
      <c r="Y133" s="1145">
        <v>14688.74</v>
      </c>
      <c r="Z133" s="1146">
        <v>1.7700633274220223E-5</v>
      </c>
      <c r="AA133" s="1147">
        <v>7345</v>
      </c>
      <c r="AB133" s="1135"/>
      <c r="AC133" s="1135"/>
      <c r="AD133" s="1134"/>
      <c r="AE133" s="1135">
        <v>81</v>
      </c>
      <c r="AF133" s="1135">
        <v>10</v>
      </c>
      <c r="AG133" s="1134">
        <v>15</v>
      </c>
      <c r="AH133" s="1135"/>
      <c r="AI133" s="1135"/>
      <c r="AJ133" s="1134"/>
      <c r="AK133" s="1134" t="s">
        <v>129</v>
      </c>
      <c r="AL133" s="1401" t="s">
        <v>22</v>
      </c>
    </row>
    <row r="134" spans="1:38" s="374" customFormat="1" ht="117" customHeight="1">
      <c r="A134" s="1133" t="s">
        <v>1189</v>
      </c>
      <c r="B134" s="1133" t="s">
        <v>1190</v>
      </c>
      <c r="C134" s="1134" t="s">
        <v>1191</v>
      </c>
      <c r="D134" s="1135" t="s">
        <v>22</v>
      </c>
      <c r="E134" s="1135" t="s">
        <v>22</v>
      </c>
      <c r="F134" s="1135" t="s">
        <v>22</v>
      </c>
      <c r="G134" s="1134" t="s">
        <v>22</v>
      </c>
      <c r="H134" s="992" t="s">
        <v>1193</v>
      </c>
      <c r="I134" s="375" t="s">
        <v>1194</v>
      </c>
      <c r="J134" s="1136">
        <v>18</v>
      </c>
      <c r="K134" s="1169">
        <v>0.7</v>
      </c>
      <c r="L134" s="1417" t="s">
        <v>22</v>
      </c>
      <c r="M134" s="1139">
        <v>39822</v>
      </c>
      <c r="N134" s="1130">
        <v>40916</v>
      </c>
      <c r="O134" s="1135" t="s">
        <v>22</v>
      </c>
      <c r="P134" s="1149">
        <v>2012</v>
      </c>
      <c r="Q134" s="1141">
        <v>566700</v>
      </c>
      <c r="R134" s="1150">
        <v>2009003878</v>
      </c>
      <c r="S134" s="1150" t="s">
        <v>151</v>
      </c>
      <c r="T134" s="1142" t="s">
        <v>140</v>
      </c>
      <c r="U134" s="1143" t="s">
        <v>140</v>
      </c>
      <c r="V134" s="1144">
        <v>1</v>
      </c>
      <c r="W134" s="1141">
        <v>2009003878</v>
      </c>
      <c r="X134" s="1145">
        <v>3545</v>
      </c>
      <c r="Y134" s="1145">
        <v>3545.09</v>
      </c>
      <c r="Z134" s="1146">
        <v>2.5387225712214523E-5</v>
      </c>
      <c r="AA134" s="1147">
        <v>2482</v>
      </c>
      <c r="AB134" s="1135"/>
      <c r="AC134" s="1135"/>
      <c r="AD134" s="1134"/>
      <c r="AE134" s="1135">
        <v>81</v>
      </c>
      <c r="AF134" s="1135">
        <v>10</v>
      </c>
      <c r="AG134" s="1134">
        <v>15</v>
      </c>
      <c r="AH134" s="1135"/>
      <c r="AI134" s="1135"/>
      <c r="AJ134" s="1134"/>
      <c r="AK134" s="1134" t="s">
        <v>129</v>
      </c>
      <c r="AL134" s="1401" t="s">
        <v>22</v>
      </c>
    </row>
    <row r="135" spans="1:38" s="374" customFormat="1" ht="39" customHeight="1">
      <c r="A135" s="1133" t="s">
        <v>1189</v>
      </c>
      <c r="B135" s="1133" t="s">
        <v>1190</v>
      </c>
      <c r="C135" s="1134" t="s">
        <v>1191</v>
      </c>
      <c r="D135" s="1135" t="s">
        <v>22</v>
      </c>
      <c r="E135" s="1135" t="s">
        <v>22</v>
      </c>
      <c r="F135" s="1135" t="s">
        <v>22</v>
      </c>
      <c r="G135" s="1134" t="s">
        <v>22</v>
      </c>
      <c r="H135" s="992" t="s">
        <v>1143</v>
      </c>
      <c r="I135" s="375" t="s">
        <v>1195</v>
      </c>
      <c r="J135" s="1136">
        <v>62</v>
      </c>
      <c r="K135" s="1169">
        <v>1</v>
      </c>
      <c r="L135" s="1417" t="s">
        <v>22</v>
      </c>
      <c r="M135" s="1139">
        <v>38888</v>
      </c>
      <c r="N135" s="1130">
        <v>39641</v>
      </c>
      <c r="O135" s="1135" t="s">
        <v>22</v>
      </c>
      <c r="P135" s="1149">
        <v>2008</v>
      </c>
      <c r="Q135" s="1141">
        <v>461500</v>
      </c>
      <c r="R135" s="1150">
        <v>10475917527</v>
      </c>
      <c r="S135" s="1150" t="s">
        <v>151</v>
      </c>
      <c r="T135" s="1142" t="s">
        <v>140</v>
      </c>
      <c r="U135" s="1143" t="s">
        <v>140</v>
      </c>
      <c r="V135" s="1144">
        <v>1</v>
      </c>
      <c r="W135" s="1141">
        <v>10475917527</v>
      </c>
      <c r="X135" s="1145">
        <v>22700</v>
      </c>
      <c r="Y135" s="1145">
        <v>22699.71</v>
      </c>
      <c r="Z135" s="1146">
        <v>1.2775493607675159E-5</v>
      </c>
      <c r="AA135" s="1147">
        <v>22700</v>
      </c>
      <c r="AB135" s="1135"/>
      <c r="AC135" s="1135"/>
      <c r="AD135" s="1134"/>
      <c r="AE135" s="1135">
        <v>81</v>
      </c>
      <c r="AF135" s="1135">
        <v>10</v>
      </c>
      <c r="AG135" s="1134">
        <v>15</v>
      </c>
      <c r="AH135" s="1135"/>
      <c r="AI135" s="1135"/>
      <c r="AJ135" s="1134"/>
      <c r="AK135" s="1134" t="s">
        <v>129</v>
      </c>
      <c r="AL135" s="1401" t="s">
        <v>22</v>
      </c>
    </row>
    <row r="136" spans="1:38" s="374" customFormat="1" ht="65.099999999999994" customHeight="1">
      <c r="A136" s="1133" t="s">
        <v>1189</v>
      </c>
      <c r="B136" s="1133" t="s">
        <v>1190</v>
      </c>
      <c r="C136" s="1134" t="s">
        <v>1191</v>
      </c>
      <c r="D136" s="1135" t="s">
        <v>22</v>
      </c>
      <c r="E136" s="1135" t="s">
        <v>22</v>
      </c>
      <c r="F136" s="1135" t="s">
        <v>22</v>
      </c>
      <c r="G136" s="1134" t="s">
        <v>22</v>
      </c>
      <c r="H136" s="992" t="s">
        <v>448</v>
      </c>
      <c r="I136" s="375" t="s">
        <v>1196</v>
      </c>
      <c r="J136" s="1136">
        <v>59</v>
      </c>
      <c r="K136" s="1169">
        <v>1</v>
      </c>
      <c r="L136" s="1417" t="s">
        <v>22</v>
      </c>
      <c r="M136" s="1139">
        <v>37298</v>
      </c>
      <c r="N136" s="1130">
        <v>38088</v>
      </c>
      <c r="O136" s="1135" t="s">
        <v>22</v>
      </c>
      <c r="P136" s="1149">
        <v>2004</v>
      </c>
      <c r="Q136" s="1141">
        <v>358000</v>
      </c>
      <c r="R136" s="1150">
        <v>3628162781</v>
      </c>
      <c r="S136" s="1150" t="s">
        <v>151</v>
      </c>
      <c r="T136" s="1142" t="s">
        <v>140</v>
      </c>
      <c r="U136" s="1143" t="s">
        <v>140</v>
      </c>
      <c r="V136" s="1144">
        <v>1</v>
      </c>
      <c r="W136" s="1141">
        <v>3628162781</v>
      </c>
      <c r="X136" s="1145">
        <v>10135</v>
      </c>
      <c r="Y136" s="1145">
        <v>10134.530000000001</v>
      </c>
      <c r="Z136" s="1146">
        <v>4.6376102295742072E-5</v>
      </c>
      <c r="AA136" s="1147">
        <v>10135</v>
      </c>
      <c r="AB136" s="1135">
        <v>80</v>
      </c>
      <c r="AC136" s="1135">
        <v>10</v>
      </c>
      <c r="AD136" s="1134">
        <v>16</v>
      </c>
      <c r="AE136" s="1135">
        <v>81</v>
      </c>
      <c r="AF136" s="1135">
        <v>10</v>
      </c>
      <c r="AG136" s="1134">
        <v>15</v>
      </c>
      <c r="AH136" s="1135">
        <v>81</v>
      </c>
      <c r="AI136" s="1135">
        <v>10</v>
      </c>
      <c r="AJ136" s="1134">
        <v>22</v>
      </c>
      <c r="AK136" s="1134" t="s">
        <v>129</v>
      </c>
      <c r="AL136" s="1401" t="s">
        <v>22</v>
      </c>
    </row>
    <row r="137" spans="1:38" s="374" customFormat="1" ht="78" customHeight="1">
      <c r="A137" s="1133" t="s">
        <v>1189</v>
      </c>
      <c r="B137" s="1133" t="s">
        <v>1190</v>
      </c>
      <c r="C137" s="1134" t="s">
        <v>1191</v>
      </c>
      <c r="D137" s="1135" t="s">
        <v>22</v>
      </c>
      <c r="E137" s="1135" t="s">
        <v>22</v>
      </c>
      <c r="F137" s="1135" t="s">
        <v>22</v>
      </c>
      <c r="G137" s="1134" t="s">
        <v>22</v>
      </c>
      <c r="H137" s="992" t="s">
        <v>448</v>
      </c>
      <c r="I137" s="375" t="s">
        <v>1197</v>
      </c>
      <c r="J137" s="1136">
        <v>69</v>
      </c>
      <c r="K137" s="1169">
        <v>0.45</v>
      </c>
      <c r="L137" s="1417" t="s">
        <v>22</v>
      </c>
      <c r="M137" s="1139">
        <v>39860</v>
      </c>
      <c r="N137" s="1130">
        <v>41213</v>
      </c>
      <c r="O137" s="1135" t="s">
        <v>22</v>
      </c>
      <c r="P137" s="1149">
        <v>2012</v>
      </c>
      <c r="Q137" s="1141">
        <v>566700</v>
      </c>
      <c r="R137" s="1150">
        <v>8291206645</v>
      </c>
      <c r="S137" s="1150" t="s">
        <v>151</v>
      </c>
      <c r="T137" s="1142" t="s">
        <v>140</v>
      </c>
      <c r="U137" s="1143" t="s">
        <v>140</v>
      </c>
      <c r="V137" s="1144">
        <v>1</v>
      </c>
      <c r="W137" s="1141">
        <v>8291206645</v>
      </c>
      <c r="X137" s="1145">
        <v>14631</v>
      </c>
      <c r="Y137" s="1145">
        <v>14630.68</v>
      </c>
      <c r="Z137" s="1146">
        <v>2.1871847378118758E-5</v>
      </c>
      <c r="AA137" s="1147">
        <v>6584</v>
      </c>
      <c r="AB137" s="1135"/>
      <c r="AC137" s="1135"/>
      <c r="AD137" s="1134"/>
      <c r="AE137" s="1135">
        <v>81</v>
      </c>
      <c r="AF137" s="1135">
        <v>10</v>
      </c>
      <c r="AG137" s="1134">
        <v>15</v>
      </c>
      <c r="AH137" s="1135"/>
      <c r="AI137" s="1135"/>
      <c r="AJ137" s="1134"/>
      <c r="AK137" s="1134" t="s">
        <v>129</v>
      </c>
      <c r="AL137" s="1401" t="s">
        <v>22</v>
      </c>
    </row>
    <row r="138" spans="1:38" s="374" customFormat="1" ht="65.099999999999994" customHeight="1">
      <c r="A138" s="1133" t="s">
        <v>1198</v>
      </c>
      <c r="B138" s="1133" t="s">
        <v>1199</v>
      </c>
      <c r="C138" s="1134" t="s">
        <v>1200</v>
      </c>
      <c r="D138" s="1135" t="s">
        <v>22</v>
      </c>
      <c r="E138" s="1135" t="s">
        <v>22</v>
      </c>
      <c r="F138" s="1135" t="s">
        <v>22</v>
      </c>
      <c r="G138" s="1134" t="s">
        <v>22</v>
      </c>
      <c r="H138" s="1136" t="s">
        <v>442</v>
      </c>
      <c r="I138" s="375" t="s">
        <v>1201</v>
      </c>
      <c r="J138" s="1136">
        <v>1</v>
      </c>
      <c r="K138" s="1131">
        <v>1</v>
      </c>
      <c r="L138" s="1148" t="s">
        <v>22</v>
      </c>
      <c r="M138" s="1139">
        <v>38622</v>
      </c>
      <c r="N138" s="1130">
        <v>39930</v>
      </c>
      <c r="O138" s="1135" t="s">
        <v>22</v>
      </c>
      <c r="P138" s="1149">
        <v>2009</v>
      </c>
      <c r="Q138" s="1141">
        <v>496900</v>
      </c>
      <c r="R138" s="1150">
        <v>7034470356</v>
      </c>
      <c r="S138" s="1150" t="s">
        <v>151</v>
      </c>
      <c r="T138" s="1142" t="s">
        <v>140</v>
      </c>
      <c r="U138" s="1143" t="s">
        <v>140</v>
      </c>
      <c r="V138" s="1144">
        <v>1</v>
      </c>
      <c r="W138" s="1141">
        <v>7034470356</v>
      </c>
      <c r="X138" s="1145">
        <v>14157</v>
      </c>
      <c r="Y138" s="1157">
        <v>14156.71</v>
      </c>
      <c r="Z138" s="1146">
        <v>2.0484985565172309E-5</v>
      </c>
      <c r="AA138" s="1147">
        <v>14157</v>
      </c>
      <c r="AB138" s="1135"/>
      <c r="AC138" s="1135"/>
      <c r="AD138" s="1134"/>
      <c r="AE138" s="1135">
        <v>81</v>
      </c>
      <c r="AF138" s="1135">
        <v>10</v>
      </c>
      <c r="AG138" s="1134">
        <v>15</v>
      </c>
      <c r="AH138" s="1149">
        <v>81</v>
      </c>
      <c r="AI138" s="1149">
        <v>10</v>
      </c>
      <c r="AJ138" s="1162">
        <v>22</v>
      </c>
      <c r="AK138" s="1134" t="s">
        <v>129</v>
      </c>
      <c r="AL138" s="1401" t="s">
        <v>22</v>
      </c>
    </row>
    <row r="139" spans="1:38" s="374" customFormat="1" ht="78" customHeight="1">
      <c r="A139" s="1133" t="s">
        <v>1198</v>
      </c>
      <c r="B139" s="1133" t="s">
        <v>1199</v>
      </c>
      <c r="C139" s="1134" t="s">
        <v>1200</v>
      </c>
      <c r="D139" s="1135" t="s">
        <v>22</v>
      </c>
      <c r="E139" s="1135" t="s">
        <v>22</v>
      </c>
      <c r="F139" s="1135" t="s">
        <v>22</v>
      </c>
      <c r="G139" s="1134" t="s">
        <v>22</v>
      </c>
      <c r="H139" s="1136" t="s">
        <v>442</v>
      </c>
      <c r="I139" s="375" t="s">
        <v>1202</v>
      </c>
      <c r="J139" s="1136">
        <v>3</v>
      </c>
      <c r="K139" s="1131">
        <v>1</v>
      </c>
      <c r="L139" s="1148" t="s">
        <v>22</v>
      </c>
      <c r="M139" s="1139">
        <v>39909</v>
      </c>
      <c r="N139" s="1130">
        <v>41186</v>
      </c>
      <c r="O139" s="1135" t="s">
        <v>22</v>
      </c>
      <c r="P139" s="1149">
        <v>2012</v>
      </c>
      <c r="Q139" s="1141">
        <v>566700</v>
      </c>
      <c r="R139" s="1150">
        <v>10196799946</v>
      </c>
      <c r="S139" s="1150" t="s">
        <v>151</v>
      </c>
      <c r="T139" s="1142" t="s">
        <v>140</v>
      </c>
      <c r="U139" s="1143" t="s">
        <v>140</v>
      </c>
      <c r="V139" s="1144">
        <v>1</v>
      </c>
      <c r="W139" s="1141">
        <v>10196799946</v>
      </c>
      <c r="X139" s="1145">
        <v>17993</v>
      </c>
      <c r="Y139" s="1157">
        <v>17993.29</v>
      </c>
      <c r="Z139" s="1146">
        <v>1.6117119215008913E-5</v>
      </c>
      <c r="AA139" s="1147">
        <v>17993</v>
      </c>
      <c r="AB139" s="1135"/>
      <c r="AC139" s="1135"/>
      <c r="AD139" s="1134"/>
      <c r="AE139" s="1135">
        <v>81</v>
      </c>
      <c r="AF139" s="1135">
        <v>10</v>
      </c>
      <c r="AG139" s="1134">
        <v>15</v>
      </c>
      <c r="AH139" s="1149">
        <v>81</v>
      </c>
      <c r="AI139" s="1149">
        <v>10</v>
      </c>
      <c r="AJ139" s="1162">
        <v>22</v>
      </c>
      <c r="AK139" s="1134" t="s">
        <v>129</v>
      </c>
      <c r="AL139" s="1401" t="s">
        <v>22</v>
      </c>
    </row>
    <row r="140" spans="1:38" s="374" customFormat="1" ht="71.25">
      <c r="A140" s="1133" t="s">
        <v>1198</v>
      </c>
      <c r="B140" s="1133" t="s">
        <v>1203</v>
      </c>
      <c r="C140" s="387" t="s">
        <v>426</v>
      </c>
      <c r="D140" s="1135" t="s">
        <v>22</v>
      </c>
      <c r="E140" s="1135" t="s">
        <v>22</v>
      </c>
      <c r="F140" s="1135" t="s">
        <v>22</v>
      </c>
      <c r="G140" s="1134" t="s">
        <v>22</v>
      </c>
      <c r="H140" s="992" t="s">
        <v>433</v>
      </c>
      <c r="I140" s="375" t="s">
        <v>435</v>
      </c>
      <c r="J140" s="1136" t="s">
        <v>903</v>
      </c>
      <c r="K140" s="1131">
        <v>0.5</v>
      </c>
      <c r="L140" s="1148" t="s">
        <v>22</v>
      </c>
      <c r="M140" s="1139">
        <v>37288</v>
      </c>
      <c r="N140" s="1130">
        <v>41779</v>
      </c>
      <c r="O140" s="1135" t="s">
        <v>22</v>
      </c>
      <c r="P140" s="1149">
        <v>2014</v>
      </c>
      <c r="Q140" s="1141">
        <v>616000</v>
      </c>
      <c r="R140" s="1150">
        <v>9405420640</v>
      </c>
      <c r="S140" s="1150" t="s">
        <v>151</v>
      </c>
      <c r="T140" s="1142" t="s">
        <v>140</v>
      </c>
      <c r="U140" s="1143" t="s">
        <v>140</v>
      </c>
      <c r="V140" s="1144">
        <v>1</v>
      </c>
      <c r="W140" s="1141">
        <v>9405420640</v>
      </c>
      <c r="X140" s="1145">
        <v>15269</v>
      </c>
      <c r="Y140" s="1145"/>
      <c r="Z140" s="1146" t="s">
        <v>140</v>
      </c>
      <c r="AA140" s="1147">
        <v>7635</v>
      </c>
      <c r="AB140" s="1135"/>
      <c r="AC140" s="1135"/>
      <c r="AD140" s="1134"/>
      <c r="AE140" s="1135"/>
      <c r="AF140" s="1135"/>
      <c r="AG140" s="1134"/>
      <c r="AH140" s="1135"/>
      <c r="AI140" s="1135"/>
      <c r="AJ140" s="1134"/>
      <c r="AK140" s="1134" t="s">
        <v>22</v>
      </c>
      <c r="AL140" s="1401" t="s">
        <v>22</v>
      </c>
    </row>
    <row r="141" spans="1:38" s="374" customFormat="1" ht="65.099999999999994" customHeight="1">
      <c r="A141" s="1133" t="s">
        <v>1198</v>
      </c>
      <c r="B141" s="1133" t="s">
        <v>1203</v>
      </c>
      <c r="C141" s="387" t="s">
        <v>426</v>
      </c>
      <c r="D141" s="1135" t="s">
        <v>22</v>
      </c>
      <c r="E141" s="1135" t="s">
        <v>22</v>
      </c>
      <c r="F141" s="1135" t="s">
        <v>22</v>
      </c>
      <c r="G141" s="1134" t="s">
        <v>22</v>
      </c>
      <c r="H141" s="992" t="s">
        <v>427</v>
      </c>
      <c r="I141" s="375" t="s">
        <v>429</v>
      </c>
      <c r="J141" s="1136" t="s">
        <v>903</v>
      </c>
      <c r="K141" s="1131">
        <v>0.245</v>
      </c>
      <c r="L141" s="1148" t="s">
        <v>22</v>
      </c>
      <c r="M141" s="1139">
        <v>40186</v>
      </c>
      <c r="N141" s="1130">
        <v>42052</v>
      </c>
      <c r="O141" s="1135" t="s">
        <v>22</v>
      </c>
      <c r="P141" s="1149">
        <v>2015</v>
      </c>
      <c r="Q141" s="1141">
        <v>644350</v>
      </c>
      <c r="R141" s="1150">
        <v>10922423850.5</v>
      </c>
      <c r="S141" s="1150" t="s">
        <v>151</v>
      </c>
      <c r="T141" s="1142" t="s">
        <v>140</v>
      </c>
      <c r="U141" s="1143" t="s">
        <v>140</v>
      </c>
      <c r="V141" s="1144">
        <v>1</v>
      </c>
      <c r="W141" s="1141">
        <v>10922423850.5</v>
      </c>
      <c r="X141" s="1145">
        <v>16951</v>
      </c>
      <c r="Y141" s="1145"/>
      <c r="Z141" s="1146" t="s">
        <v>140</v>
      </c>
      <c r="AA141" s="1147">
        <v>4153</v>
      </c>
      <c r="AB141" s="1135"/>
      <c r="AC141" s="1135"/>
      <c r="AD141" s="1134"/>
      <c r="AE141" s="1135"/>
      <c r="AF141" s="1135"/>
      <c r="AG141" s="1134"/>
      <c r="AH141" s="1135"/>
      <c r="AI141" s="1135"/>
      <c r="AJ141" s="1134"/>
      <c r="AK141" s="1134" t="s">
        <v>22</v>
      </c>
      <c r="AL141" s="1401" t="s">
        <v>22</v>
      </c>
    </row>
    <row r="142" spans="1:38" s="374" customFormat="1" ht="78" customHeight="1">
      <c r="A142" s="1133" t="s">
        <v>1204</v>
      </c>
      <c r="B142" s="1133" t="s">
        <v>1205</v>
      </c>
      <c r="C142" s="1134" t="s">
        <v>1206</v>
      </c>
      <c r="D142" s="1135" t="s">
        <v>22</v>
      </c>
      <c r="E142" s="1135" t="s">
        <v>22</v>
      </c>
      <c r="F142" s="1135" t="s">
        <v>22</v>
      </c>
      <c r="G142" s="1134" t="s">
        <v>22</v>
      </c>
      <c r="H142" s="992" t="s">
        <v>1207</v>
      </c>
      <c r="I142" s="375" t="s">
        <v>1208</v>
      </c>
      <c r="J142" s="1136">
        <v>23</v>
      </c>
      <c r="K142" s="1131">
        <v>1</v>
      </c>
      <c r="L142" s="1148" t="s">
        <v>22</v>
      </c>
      <c r="M142" s="1139">
        <v>37774</v>
      </c>
      <c r="N142" s="1130">
        <v>38597</v>
      </c>
      <c r="O142" s="1135" t="s">
        <v>22</v>
      </c>
      <c r="P142" s="1149">
        <v>2005</v>
      </c>
      <c r="Q142" s="1141">
        <v>381500</v>
      </c>
      <c r="R142" s="1150">
        <v>1207476.71</v>
      </c>
      <c r="S142" s="1150" t="s">
        <v>142</v>
      </c>
      <c r="T142" s="1142">
        <v>1.2487999999999999</v>
      </c>
      <c r="U142" s="1143">
        <v>1507896.915448</v>
      </c>
      <c r="V142" s="1144">
        <v>2298.85</v>
      </c>
      <c r="W142" s="1141">
        <v>3466428824.0776343</v>
      </c>
      <c r="X142" s="1145">
        <v>9086</v>
      </c>
      <c r="Y142" s="1145">
        <v>9126.33</v>
      </c>
      <c r="Z142" s="1146">
        <v>4.4190819310719887E-3</v>
      </c>
      <c r="AA142" s="1147">
        <v>9086</v>
      </c>
      <c r="AB142" s="1135">
        <v>80</v>
      </c>
      <c r="AC142" s="1135">
        <v>10</v>
      </c>
      <c r="AD142" s="1134">
        <v>16</v>
      </c>
      <c r="AE142" s="1135">
        <v>81</v>
      </c>
      <c r="AF142" s="1135">
        <v>10</v>
      </c>
      <c r="AG142" s="1134">
        <v>15</v>
      </c>
      <c r="AH142" s="1135">
        <v>81</v>
      </c>
      <c r="AI142" s="1135">
        <v>10</v>
      </c>
      <c r="AJ142" s="1134">
        <v>22</v>
      </c>
      <c r="AK142" s="1134" t="s">
        <v>129</v>
      </c>
      <c r="AL142" s="1401" t="s">
        <v>22</v>
      </c>
    </row>
    <row r="143" spans="1:38" s="374" customFormat="1" ht="51.95" customHeight="1">
      <c r="A143" s="1133" t="s">
        <v>1204</v>
      </c>
      <c r="B143" s="1133" t="s">
        <v>1205</v>
      </c>
      <c r="C143" s="1134" t="s">
        <v>1206</v>
      </c>
      <c r="D143" s="1135" t="s">
        <v>22</v>
      </c>
      <c r="E143" s="1135" t="s">
        <v>22</v>
      </c>
      <c r="F143" s="1135" t="s">
        <v>22</v>
      </c>
      <c r="G143" s="1134" t="s">
        <v>22</v>
      </c>
      <c r="H143" s="992" t="s">
        <v>1207</v>
      </c>
      <c r="I143" s="375" t="s">
        <v>1209</v>
      </c>
      <c r="J143" s="1136">
        <v>21</v>
      </c>
      <c r="K143" s="1137">
        <v>1</v>
      </c>
      <c r="L143" s="1138" t="s">
        <v>22</v>
      </c>
      <c r="M143" s="1139">
        <v>39329</v>
      </c>
      <c r="N143" s="1130">
        <v>40578</v>
      </c>
      <c r="O143" s="1135" t="s">
        <v>22</v>
      </c>
      <c r="P143" s="1140">
        <v>2011</v>
      </c>
      <c r="Q143" s="1141">
        <v>535600</v>
      </c>
      <c r="R143" s="1141">
        <v>1551350.29</v>
      </c>
      <c r="S143" s="1141" t="s">
        <v>142</v>
      </c>
      <c r="T143" s="1142">
        <v>1.3747</v>
      </c>
      <c r="U143" s="1143">
        <v>2132641.2436629999</v>
      </c>
      <c r="V143" s="1144">
        <v>1863.03</v>
      </c>
      <c r="W143" s="1141">
        <v>3973174616.1814785</v>
      </c>
      <c r="X143" s="1145">
        <v>7418</v>
      </c>
      <c r="Y143" s="1145">
        <v>7315.11</v>
      </c>
      <c r="Z143" s="1146">
        <v>1.4065407082053394E-2</v>
      </c>
      <c r="AA143" s="1147">
        <v>7418</v>
      </c>
      <c r="AB143" s="1135">
        <v>80</v>
      </c>
      <c r="AC143" s="1135">
        <v>10</v>
      </c>
      <c r="AD143" s="1134">
        <v>16</v>
      </c>
      <c r="AE143" s="1135">
        <v>81</v>
      </c>
      <c r="AF143" s="1135">
        <v>10</v>
      </c>
      <c r="AG143" s="1134">
        <v>15</v>
      </c>
      <c r="AH143" s="1135">
        <v>81</v>
      </c>
      <c r="AI143" s="1135">
        <v>10</v>
      </c>
      <c r="AJ143" s="1134">
        <v>22</v>
      </c>
      <c r="AK143" s="1134" t="s">
        <v>129</v>
      </c>
      <c r="AL143" s="1401" t="s">
        <v>22</v>
      </c>
    </row>
    <row r="144" spans="1:38" s="374" customFormat="1" ht="90.95" customHeight="1">
      <c r="A144" s="1133" t="s">
        <v>1204</v>
      </c>
      <c r="B144" s="1133" t="s">
        <v>1210</v>
      </c>
      <c r="C144" s="1134" t="s">
        <v>1211</v>
      </c>
      <c r="D144" s="1135" t="s">
        <v>22</v>
      </c>
      <c r="E144" s="1135" t="s">
        <v>22</v>
      </c>
      <c r="F144" s="1135" t="s">
        <v>22</v>
      </c>
      <c r="G144" s="1134" t="s">
        <v>22</v>
      </c>
      <c r="H144" s="992" t="s">
        <v>1038</v>
      </c>
      <c r="I144" s="375" t="s">
        <v>1212</v>
      </c>
      <c r="J144" s="1136">
        <v>6</v>
      </c>
      <c r="K144" s="1131">
        <v>0.75</v>
      </c>
      <c r="L144" s="1148" t="s">
        <v>22</v>
      </c>
      <c r="M144" s="1139">
        <v>38684</v>
      </c>
      <c r="N144" s="1130">
        <v>39690</v>
      </c>
      <c r="O144" s="1135" t="s">
        <v>22</v>
      </c>
      <c r="P144" s="1149">
        <v>2008</v>
      </c>
      <c r="Q144" s="1141">
        <v>461500</v>
      </c>
      <c r="R144" s="1150">
        <v>1688370055.5</v>
      </c>
      <c r="S144" s="1150" t="s">
        <v>151</v>
      </c>
      <c r="T144" s="1142" t="s">
        <v>140</v>
      </c>
      <c r="U144" s="1143" t="s">
        <v>140</v>
      </c>
      <c r="V144" s="1144">
        <v>1</v>
      </c>
      <c r="W144" s="1141">
        <v>1688370055.5</v>
      </c>
      <c r="X144" s="1145">
        <v>3658</v>
      </c>
      <c r="Y144" s="1145">
        <v>3573.36</v>
      </c>
      <c r="Z144" s="1146">
        <v>2.36863904000717E-2</v>
      </c>
      <c r="AA144" s="1147">
        <v>2744</v>
      </c>
      <c r="AB144" s="1135">
        <v>80</v>
      </c>
      <c r="AC144" s="1135">
        <v>10</v>
      </c>
      <c r="AD144" s="1134">
        <v>16</v>
      </c>
      <c r="AE144" s="1135">
        <v>81</v>
      </c>
      <c r="AF144" s="1135">
        <v>10</v>
      </c>
      <c r="AG144" s="1134">
        <v>15</v>
      </c>
      <c r="AH144" s="1135">
        <v>81</v>
      </c>
      <c r="AI144" s="1135">
        <v>10</v>
      </c>
      <c r="AJ144" s="1134">
        <v>22</v>
      </c>
      <c r="AK144" s="1134" t="s">
        <v>129</v>
      </c>
      <c r="AL144" s="1401" t="s">
        <v>22</v>
      </c>
    </row>
    <row r="145" spans="1:38" s="374" customFormat="1" ht="78" customHeight="1">
      <c r="A145" s="1133" t="s">
        <v>1204</v>
      </c>
      <c r="B145" s="1133" t="s">
        <v>1213</v>
      </c>
      <c r="C145" s="1134" t="s">
        <v>1214</v>
      </c>
      <c r="D145" s="1135" t="s">
        <v>22</v>
      </c>
      <c r="E145" s="1135" t="s">
        <v>22</v>
      </c>
      <c r="F145" s="1135" t="s">
        <v>22</v>
      </c>
      <c r="G145" s="1134" t="s">
        <v>22</v>
      </c>
      <c r="H145" s="992" t="s">
        <v>1215</v>
      </c>
      <c r="I145" s="375" t="s">
        <v>1216</v>
      </c>
      <c r="J145" s="1136">
        <v>3</v>
      </c>
      <c r="K145" s="1131">
        <v>0.51</v>
      </c>
      <c r="L145" s="1148" t="s">
        <v>22</v>
      </c>
      <c r="M145" s="1139">
        <v>38768</v>
      </c>
      <c r="N145" s="1130">
        <v>39651</v>
      </c>
      <c r="O145" s="1135" t="s">
        <v>22</v>
      </c>
      <c r="P145" s="1149">
        <v>2008</v>
      </c>
      <c r="Q145" s="1141">
        <v>461500</v>
      </c>
      <c r="R145" s="1150">
        <v>3605729418</v>
      </c>
      <c r="S145" s="1150" t="s">
        <v>151</v>
      </c>
      <c r="T145" s="1142" t="s">
        <v>140</v>
      </c>
      <c r="U145" s="1143" t="s">
        <v>140</v>
      </c>
      <c r="V145" s="1144">
        <v>1</v>
      </c>
      <c r="W145" s="1141">
        <v>3605729418</v>
      </c>
      <c r="X145" s="1145">
        <v>7813</v>
      </c>
      <c r="Y145" s="1157">
        <v>7813.06</v>
      </c>
      <c r="Z145" s="1146">
        <v>7.6794495370569038E-6</v>
      </c>
      <c r="AA145" s="1147">
        <v>3985</v>
      </c>
      <c r="AB145" s="1135">
        <v>80</v>
      </c>
      <c r="AC145" s="1135">
        <v>10</v>
      </c>
      <c r="AD145" s="1134">
        <v>16</v>
      </c>
      <c r="AE145" s="1135">
        <v>81</v>
      </c>
      <c r="AF145" s="1135">
        <v>10</v>
      </c>
      <c r="AG145" s="1134">
        <v>15</v>
      </c>
      <c r="AH145" s="1135">
        <v>81</v>
      </c>
      <c r="AI145" s="1135">
        <v>10</v>
      </c>
      <c r="AJ145" s="1134">
        <v>22</v>
      </c>
      <c r="AK145" s="1134" t="s">
        <v>129</v>
      </c>
      <c r="AL145" s="1401" t="s">
        <v>22</v>
      </c>
    </row>
    <row r="146" spans="1:38" s="374" customFormat="1" ht="78" customHeight="1">
      <c r="A146" s="1133" t="s">
        <v>1204</v>
      </c>
      <c r="B146" s="1133" t="s">
        <v>1213</v>
      </c>
      <c r="C146" s="1134" t="s">
        <v>1214</v>
      </c>
      <c r="D146" s="1135" t="s">
        <v>22</v>
      </c>
      <c r="E146" s="1135" t="s">
        <v>22</v>
      </c>
      <c r="F146" s="1135" t="s">
        <v>22</v>
      </c>
      <c r="G146" s="1134" t="s">
        <v>22</v>
      </c>
      <c r="H146" s="992" t="s">
        <v>1217</v>
      </c>
      <c r="I146" s="375" t="s">
        <v>1218</v>
      </c>
      <c r="J146" s="1136">
        <v>32</v>
      </c>
      <c r="K146" s="1137">
        <v>1</v>
      </c>
      <c r="L146" s="1138" t="s">
        <v>22</v>
      </c>
      <c r="M146" s="1139">
        <v>40444</v>
      </c>
      <c r="N146" s="1130">
        <v>41173</v>
      </c>
      <c r="O146" s="1135" t="s">
        <v>22</v>
      </c>
      <c r="P146" s="1140">
        <v>2012</v>
      </c>
      <c r="Q146" s="1141">
        <v>566700</v>
      </c>
      <c r="R146" s="1141">
        <v>3135000000</v>
      </c>
      <c r="S146" s="1141" t="s">
        <v>151</v>
      </c>
      <c r="T146" s="1142" t="s">
        <v>140</v>
      </c>
      <c r="U146" s="1143" t="s">
        <v>140</v>
      </c>
      <c r="V146" s="1144">
        <v>1</v>
      </c>
      <c r="W146" s="1141">
        <v>3135000000</v>
      </c>
      <c r="X146" s="1145">
        <v>5532</v>
      </c>
      <c r="Y146" s="1170">
        <v>5532.03</v>
      </c>
      <c r="Z146" s="1146">
        <v>5.4229640836789272E-6</v>
      </c>
      <c r="AA146" s="1147">
        <v>5532</v>
      </c>
      <c r="AB146" s="1135">
        <v>80</v>
      </c>
      <c r="AC146" s="1135">
        <v>10</v>
      </c>
      <c r="AD146" s="1134">
        <v>16</v>
      </c>
      <c r="AE146" s="1135">
        <v>81</v>
      </c>
      <c r="AF146" s="1135">
        <v>10</v>
      </c>
      <c r="AG146" s="1134">
        <v>15</v>
      </c>
      <c r="AH146" s="1135">
        <v>81</v>
      </c>
      <c r="AI146" s="1135">
        <v>10</v>
      </c>
      <c r="AJ146" s="1134">
        <v>22</v>
      </c>
      <c r="AK146" s="1134" t="s">
        <v>22</v>
      </c>
      <c r="AL146" s="1401" t="s">
        <v>22</v>
      </c>
    </row>
    <row r="147" spans="1:38" s="374" customFormat="1" ht="65.099999999999994" customHeight="1">
      <c r="A147" s="1133" t="s">
        <v>1204</v>
      </c>
      <c r="B147" s="1133" t="s">
        <v>1213</v>
      </c>
      <c r="C147" s="1134" t="s">
        <v>1214</v>
      </c>
      <c r="D147" s="1135" t="s">
        <v>22</v>
      </c>
      <c r="E147" s="1135" t="s">
        <v>22</v>
      </c>
      <c r="F147" s="1135" t="s">
        <v>22</v>
      </c>
      <c r="G147" s="1134" t="s">
        <v>22</v>
      </c>
      <c r="H147" s="992" t="s">
        <v>1219</v>
      </c>
      <c r="I147" s="375" t="s">
        <v>1220</v>
      </c>
      <c r="J147" s="1136">
        <v>14</v>
      </c>
      <c r="K147" s="1137">
        <v>1</v>
      </c>
      <c r="L147" s="1138" t="s">
        <v>22</v>
      </c>
      <c r="M147" s="1139">
        <v>36910</v>
      </c>
      <c r="N147" s="1130">
        <v>38050</v>
      </c>
      <c r="O147" s="1135" t="s">
        <v>22</v>
      </c>
      <c r="P147" s="1140">
        <v>2004</v>
      </c>
      <c r="Q147" s="1141">
        <v>358000</v>
      </c>
      <c r="R147" s="1141">
        <v>913974294</v>
      </c>
      <c r="S147" s="1141" t="s">
        <v>151</v>
      </c>
      <c r="T147" s="1142" t="s">
        <v>140</v>
      </c>
      <c r="U147" s="1143" t="s">
        <v>140</v>
      </c>
      <c r="V147" s="1144">
        <v>1</v>
      </c>
      <c r="W147" s="1141">
        <v>913974294</v>
      </c>
      <c r="X147" s="1145">
        <v>2553</v>
      </c>
      <c r="Y147" s="1157">
        <v>2533</v>
      </c>
      <c r="Z147" s="1146">
        <v>7.8957757599684708E-3</v>
      </c>
      <c r="AA147" s="1147">
        <v>2553</v>
      </c>
      <c r="AB147" s="1135">
        <v>80</v>
      </c>
      <c r="AC147" s="1135">
        <v>10</v>
      </c>
      <c r="AD147" s="1134">
        <v>16</v>
      </c>
      <c r="AE147" s="1135">
        <v>81</v>
      </c>
      <c r="AF147" s="1135">
        <v>10</v>
      </c>
      <c r="AG147" s="1134">
        <v>15</v>
      </c>
      <c r="AH147" s="1135">
        <v>81</v>
      </c>
      <c r="AI147" s="1135">
        <v>10</v>
      </c>
      <c r="AJ147" s="1134">
        <v>22</v>
      </c>
      <c r="AK147" s="1134" t="s">
        <v>129</v>
      </c>
      <c r="AL147" s="1401" t="s">
        <v>22</v>
      </c>
    </row>
    <row r="148" spans="1:38" s="374" customFormat="1" ht="90.95" customHeight="1">
      <c r="A148" s="1133" t="s">
        <v>1221</v>
      </c>
      <c r="B148" s="1133" t="s">
        <v>1222</v>
      </c>
      <c r="C148" s="1134" t="s">
        <v>1223</v>
      </c>
      <c r="D148" s="1135" t="s">
        <v>22</v>
      </c>
      <c r="E148" s="1135" t="s">
        <v>22</v>
      </c>
      <c r="F148" s="1135" t="s">
        <v>22</v>
      </c>
      <c r="G148" s="1134" t="s">
        <v>22</v>
      </c>
      <c r="H148" s="992" t="s">
        <v>1224</v>
      </c>
      <c r="I148" s="375" t="s">
        <v>265</v>
      </c>
      <c r="J148" s="1136">
        <v>2</v>
      </c>
      <c r="K148" s="1131">
        <v>0.5</v>
      </c>
      <c r="L148" s="1148" t="s">
        <v>22</v>
      </c>
      <c r="M148" s="1139">
        <v>39694</v>
      </c>
      <c r="N148" s="1130">
        <v>40283</v>
      </c>
      <c r="O148" s="1135" t="s">
        <v>22</v>
      </c>
      <c r="P148" s="1149">
        <v>2010</v>
      </c>
      <c r="Q148" s="1141">
        <v>515000</v>
      </c>
      <c r="R148" s="1150">
        <v>3136622318</v>
      </c>
      <c r="S148" s="1150" t="s">
        <v>151</v>
      </c>
      <c r="T148" s="1142" t="s">
        <v>140</v>
      </c>
      <c r="U148" s="1143" t="s">
        <v>140</v>
      </c>
      <c r="V148" s="1144">
        <v>1</v>
      </c>
      <c r="W148" s="1141">
        <v>3136622318</v>
      </c>
      <c r="X148" s="1145">
        <v>6091</v>
      </c>
      <c r="Y148" s="1145">
        <v>6090.53</v>
      </c>
      <c r="Z148" s="1146">
        <v>7.7168982009823139E-5</v>
      </c>
      <c r="AA148" s="1147">
        <v>3046</v>
      </c>
      <c r="AB148" s="1135">
        <v>80</v>
      </c>
      <c r="AC148" s="1135">
        <v>10</v>
      </c>
      <c r="AD148" s="1134">
        <v>16</v>
      </c>
      <c r="AE148" s="1135">
        <v>81</v>
      </c>
      <c r="AF148" s="1135">
        <v>10</v>
      </c>
      <c r="AG148" s="1134">
        <v>15</v>
      </c>
      <c r="AH148" s="1135">
        <v>81</v>
      </c>
      <c r="AI148" s="1135">
        <v>10</v>
      </c>
      <c r="AJ148" s="1134">
        <v>22</v>
      </c>
      <c r="AK148" s="1134" t="s">
        <v>129</v>
      </c>
      <c r="AL148" s="1401" t="s">
        <v>22</v>
      </c>
    </row>
    <row r="149" spans="1:38" s="374" customFormat="1" ht="65.099999999999994" customHeight="1">
      <c r="A149" s="1171" t="s">
        <v>1221</v>
      </c>
      <c r="B149" s="1171" t="s">
        <v>1222</v>
      </c>
      <c r="C149" s="1155" t="s">
        <v>1223</v>
      </c>
      <c r="D149" s="1135" t="s">
        <v>22</v>
      </c>
      <c r="E149" s="1135" t="s">
        <v>22</v>
      </c>
      <c r="F149" s="1135" t="s">
        <v>22</v>
      </c>
      <c r="G149" s="1134" t="s">
        <v>22</v>
      </c>
      <c r="H149" s="992" t="s">
        <v>255</v>
      </c>
      <c r="I149" s="375" t="s">
        <v>257</v>
      </c>
      <c r="J149" s="1136">
        <v>43</v>
      </c>
      <c r="K149" s="1131">
        <v>1</v>
      </c>
      <c r="L149" s="1148" t="s">
        <v>22</v>
      </c>
      <c r="M149" s="1139">
        <v>38929</v>
      </c>
      <c r="N149" s="1130">
        <v>39553</v>
      </c>
      <c r="O149" s="1135" t="s">
        <v>22</v>
      </c>
      <c r="P149" s="1149">
        <v>2008</v>
      </c>
      <c r="Q149" s="1141">
        <v>461500</v>
      </c>
      <c r="R149" s="1150">
        <v>3010928835</v>
      </c>
      <c r="S149" s="1150" t="s">
        <v>151</v>
      </c>
      <c r="T149" s="1142" t="s">
        <v>140</v>
      </c>
      <c r="U149" s="1143" t="s">
        <v>140</v>
      </c>
      <c r="V149" s="1144">
        <v>1</v>
      </c>
      <c r="W149" s="1141">
        <v>3010928835</v>
      </c>
      <c r="X149" s="1145">
        <v>6524</v>
      </c>
      <c r="Y149" s="1145">
        <v>6524.22</v>
      </c>
      <c r="Z149" s="1146">
        <v>3.3720506052881127E-5</v>
      </c>
      <c r="AA149" s="1147">
        <v>6524</v>
      </c>
      <c r="AB149" s="1135">
        <v>80</v>
      </c>
      <c r="AC149" s="1135">
        <v>10</v>
      </c>
      <c r="AD149" s="1134">
        <v>16</v>
      </c>
      <c r="AE149" s="1135">
        <v>81</v>
      </c>
      <c r="AF149" s="1135">
        <v>10</v>
      </c>
      <c r="AG149" s="1134">
        <v>15</v>
      </c>
      <c r="AH149" s="1135">
        <v>81</v>
      </c>
      <c r="AI149" s="1135">
        <v>10</v>
      </c>
      <c r="AJ149" s="1134">
        <v>22</v>
      </c>
      <c r="AK149" s="1134" t="s">
        <v>129</v>
      </c>
      <c r="AL149" s="1401" t="s">
        <v>22</v>
      </c>
    </row>
    <row r="150" spans="1:38" s="374" customFormat="1" ht="65.099999999999994" customHeight="1">
      <c r="A150" s="1171" t="s">
        <v>1221</v>
      </c>
      <c r="B150" s="1171" t="s">
        <v>1222</v>
      </c>
      <c r="C150" s="1155" t="s">
        <v>1223</v>
      </c>
      <c r="D150" s="1135" t="s">
        <v>22</v>
      </c>
      <c r="E150" s="1135" t="s">
        <v>22</v>
      </c>
      <c r="F150" s="1135" t="s">
        <v>22</v>
      </c>
      <c r="G150" s="1134" t="s">
        <v>22</v>
      </c>
      <c r="H150" s="992" t="s">
        <v>517</v>
      </c>
      <c r="I150" s="375" t="s">
        <v>261</v>
      </c>
      <c r="J150" s="1136">
        <v>29</v>
      </c>
      <c r="K150" s="1158">
        <v>0.83499999999999996</v>
      </c>
      <c r="L150" s="1148" t="s">
        <v>22</v>
      </c>
      <c r="M150" s="1139">
        <v>38337</v>
      </c>
      <c r="N150" s="1130">
        <v>41440</v>
      </c>
      <c r="O150" s="1135" t="s">
        <v>22</v>
      </c>
      <c r="P150" s="1149">
        <v>2013</v>
      </c>
      <c r="Q150" s="1141">
        <v>589500</v>
      </c>
      <c r="R150" s="1150">
        <v>9865877743</v>
      </c>
      <c r="S150" s="1150" t="s">
        <v>151</v>
      </c>
      <c r="T150" s="1142" t="s">
        <v>140</v>
      </c>
      <c r="U150" s="1143" t="s">
        <v>140</v>
      </c>
      <c r="V150" s="1144">
        <v>1</v>
      </c>
      <c r="W150" s="1141">
        <v>9865877743</v>
      </c>
      <c r="X150" s="1145">
        <v>16736</v>
      </c>
      <c r="Y150" s="1145">
        <v>16736.009999999998</v>
      </c>
      <c r="Z150" s="1146">
        <v>5.9751398318041993E-7</v>
      </c>
      <c r="AA150" s="1147">
        <v>13975</v>
      </c>
      <c r="AB150" s="1135">
        <v>80</v>
      </c>
      <c r="AC150" s="1135">
        <v>10</v>
      </c>
      <c r="AD150" s="1134">
        <v>16</v>
      </c>
      <c r="AE150" s="1135">
        <v>81</v>
      </c>
      <c r="AF150" s="1135">
        <v>10</v>
      </c>
      <c r="AG150" s="1134">
        <v>15</v>
      </c>
      <c r="AH150" s="1135">
        <v>81</v>
      </c>
      <c r="AI150" s="1135">
        <v>10</v>
      </c>
      <c r="AJ150" s="1134">
        <v>22</v>
      </c>
      <c r="AK150" s="1134" t="s">
        <v>129</v>
      </c>
      <c r="AL150" s="1401" t="s">
        <v>22</v>
      </c>
    </row>
    <row r="151" spans="1:38" s="374" customFormat="1" ht="78" customHeight="1">
      <c r="A151" s="1171" t="s">
        <v>1221</v>
      </c>
      <c r="B151" s="1171" t="s">
        <v>1222</v>
      </c>
      <c r="C151" s="1155" t="s">
        <v>1223</v>
      </c>
      <c r="D151" s="1135" t="s">
        <v>22</v>
      </c>
      <c r="E151" s="1135" t="s">
        <v>22</v>
      </c>
      <c r="F151" s="1135" t="s">
        <v>22</v>
      </c>
      <c r="G151" s="1134" t="s">
        <v>22</v>
      </c>
      <c r="H151" s="992" t="s">
        <v>448</v>
      </c>
      <c r="I151" s="375" t="s">
        <v>268</v>
      </c>
      <c r="J151" s="1136">
        <v>45</v>
      </c>
      <c r="K151" s="1131">
        <v>1</v>
      </c>
      <c r="L151" s="1148" t="s">
        <v>22</v>
      </c>
      <c r="M151" s="1128">
        <v>39148</v>
      </c>
      <c r="N151" s="1156">
        <v>40072</v>
      </c>
      <c r="O151" s="1135" t="s">
        <v>22</v>
      </c>
      <c r="P151" s="1149">
        <v>2009</v>
      </c>
      <c r="Q151" s="1141">
        <v>496900</v>
      </c>
      <c r="R151" s="1168">
        <v>2592326368</v>
      </c>
      <c r="S151" s="1141" t="s">
        <v>151</v>
      </c>
      <c r="T151" s="1142" t="s">
        <v>140</v>
      </c>
      <c r="U151" s="1143" t="s">
        <v>140</v>
      </c>
      <c r="V151" s="1144">
        <v>1</v>
      </c>
      <c r="W151" s="1141">
        <v>2592326368</v>
      </c>
      <c r="X151" s="1145">
        <v>5217</v>
      </c>
      <c r="Y151" s="1145">
        <v>5217</v>
      </c>
      <c r="Z151" s="1146">
        <v>0</v>
      </c>
      <c r="AA151" s="1147">
        <v>5217</v>
      </c>
      <c r="AB151" s="1135">
        <v>80</v>
      </c>
      <c r="AC151" s="1135">
        <v>10</v>
      </c>
      <c r="AD151" s="1134">
        <v>16</v>
      </c>
      <c r="AE151" s="1135">
        <v>81</v>
      </c>
      <c r="AF151" s="1135">
        <v>10</v>
      </c>
      <c r="AG151" s="1134">
        <v>15</v>
      </c>
      <c r="AH151" s="1135">
        <v>81</v>
      </c>
      <c r="AI151" s="1135">
        <v>10</v>
      </c>
      <c r="AJ151" s="1134">
        <v>22</v>
      </c>
      <c r="AK151" s="1134" t="s">
        <v>22</v>
      </c>
      <c r="AL151" s="1401" t="s">
        <v>22</v>
      </c>
    </row>
    <row r="152" spans="1:38" s="384" customFormat="1" ht="71.25">
      <c r="A152" s="1133" t="s">
        <v>1225</v>
      </c>
      <c r="B152" s="1133" t="s">
        <v>1226</v>
      </c>
      <c r="C152" s="1134" t="s">
        <v>1227</v>
      </c>
      <c r="D152" s="1135" t="s">
        <v>22</v>
      </c>
      <c r="E152" s="1135" t="s">
        <v>22</v>
      </c>
      <c r="F152" s="1135" t="s">
        <v>22</v>
      </c>
      <c r="G152" s="1134" t="s">
        <v>22</v>
      </c>
      <c r="H152" s="1172" t="s">
        <v>1228</v>
      </c>
      <c r="I152" s="1173" t="s">
        <v>1229</v>
      </c>
      <c r="J152" s="1172">
        <v>2</v>
      </c>
      <c r="K152" s="1174">
        <v>1</v>
      </c>
      <c r="L152" s="1148" t="s">
        <v>22</v>
      </c>
      <c r="M152" s="1175">
        <v>37591</v>
      </c>
      <c r="N152" s="1176">
        <v>40116</v>
      </c>
      <c r="O152" s="1135" t="s">
        <v>22</v>
      </c>
      <c r="P152" s="1418">
        <v>2009</v>
      </c>
      <c r="Q152" s="1141">
        <v>496900</v>
      </c>
      <c r="R152" s="1150">
        <v>4306126.45</v>
      </c>
      <c r="S152" s="1177" t="s">
        <v>142</v>
      </c>
      <c r="T152" s="1142">
        <v>1.4758</v>
      </c>
      <c r="U152" s="1143">
        <v>6354981.4149099998</v>
      </c>
      <c r="V152" s="1144">
        <v>2004.37</v>
      </c>
      <c r="W152" s="1141">
        <v>12737734098.603155</v>
      </c>
      <c r="X152" s="1145">
        <v>25634</v>
      </c>
      <c r="Y152" s="1178">
        <v>22791.22</v>
      </c>
      <c r="Z152" s="1146">
        <v>0.12473136585053357</v>
      </c>
      <c r="AA152" s="1147">
        <v>25634</v>
      </c>
      <c r="AB152" s="1154">
        <v>80</v>
      </c>
      <c r="AC152" s="1154">
        <v>10</v>
      </c>
      <c r="AD152" s="1155">
        <v>16</v>
      </c>
      <c r="AE152" s="1154">
        <v>81</v>
      </c>
      <c r="AF152" s="1154">
        <v>10</v>
      </c>
      <c r="AG152" s="1155">
        <v>15</v>
      </c>
      <c r="AH152" s="1154">
        <v>81</v>
      </c>
      <c r="AI152" s="1154">
        <v>10</v>
      </c>
      <c r="AJ152" s="1155">
        <v>22</v>
      </c>
      <c r="AK152" s="1155" t="s">
        <v>129</v>
      </c>
      <c r="AL152" s="1401" t="s">
        <v>22</v>
      </c>
    </row>
    <row r="153" spans="1:38" s="384" customFormat="1" ht="71.25">
      <c r="A153" s="1133" t="s">
        <v>1225</v>
      </c>
      <c r="B153" s="1133" t="s">
        <v>1230</v>
      </c>
      <c r="C153" s="1134" t="s">
        <v>1231</v>
      </c>
      <c r="D153" s="1135" t="s">
        <v>22</v>
      </c>
      <c r="E153" s="1135" t="s">
        <v>22</v>
      </c>
      <c r="F153" s="1135" t="s">
        <v>22</v>
      </c>
      <c r="G153" s="1134" t="s">
        <v>22</v>
      </c>
      <c r="H153" s="992" t="s">
        <v>1005</v>
      </c>
      <c r="I153" s="375" t="s">
        <v>1232</v>
      </c>
      <c r="J153" s="1136">
        <v>21</v>
      </c>
      <c r="K153" s="1131">
        <v>0.5</v>
      </c>
      <c r="L153" s="1148" t="s">
        <v>22</v>
      </c>
      <c r="M153" s="1139">
        <v>38774</v>
      </c>
      <c r="N153" s="1130">
        <v>40656</v>
      </c>
      <c r="O153" s="1135" t="s">
        <v>22</v>
      </c>
      <c r="P153" s="1149">
        <v>2011</v>
      </c>
      <c r="Q153" s="1141">
        <v>535600</v>
      </c>
      <c r="R153" s="1150">
        <v>4793832856</v>
      </c>
      <c r="S153" s="1150" t="s">
        <v>151</v>
      </c>
      <c r="T153" s="1142" t="s">
        <v>140</v>
      </c>
      <c r="U153" s="1143" t="s">
        <v>140</v>
      </c>
      <c r="V153" s="1144">
        <v>1</v>
      </c>
      <c r="W153" s="1141">
        <v>4793832856</v>
      </c>
      <c r="X153" s="1145">
        <v>8950</v>
      </c>
      <c r="Y153" s="1145">
        <v>8950.4</v>
      </c>
      <c r="Z153" s="1146">
        <v>4.4690740078623392E-5</v>
      </c>
      <c r="AA153" s="1147">
        <v>4475</v>
      </c>
      <c r="AB153" s="1135">
        <v>80</v>
      </c>
      <c r="AC153" s="1135">
        <v>10</v>
      </c>
      <c r="AD153" s="1134">
        <v>16</v>
      </c>
      <c r="AE153" s="1135">
        <v>80</v>
      </c>
      <c r="AF153" s="1135">
        <v>10</v>
      </c>
      <c r="AG153" s="1134">
        <v>15</v>
      </c>
      <c r="AH153" s="1135">
        <v>81</v>
      </c>
      <c r="AI153" s="1135">
        <v>10</v>
      </c>
      <c r="AJ153" s="1134">
        <v>22</v>
      </c>
      <c r="AK153" s="1134" t="s">
        <v>129</v>
      </c>
      <c r="AL153" s="1401" t="s">
        <v>22</v>
      </c>
    </row>
    <row r="154" spans="1:38" s="384" customFormat="1" ht="71.25">
      <c r="A154" s="1133" t="s">
        <v>1225</v>
      </c>
      <c r="B154" s="1133" t="s">
        <v>1230</v>
      </c>
      <c r="C154" s="1134" t="s">
        <v>1231</v>
      </c>
      <c r="D154" s="1135" t="s">
        <v>22</v>
      </c>
      <c r="E154" s="1135" t="s">
        <v>22</v>
      </c>
      <c r="F154" s="1135" t="s">
        <v>22</v>
      </c>
      <c r="G154" s="1134" t="s">
        <v>22</v>
      </c>
      <c r="H154" s="992" t="s">
        <v>949</v>
      </c>
      <c r="I154" s="375" t="s">
        <v>1233</v>
      </c>
      <c r="J154" s="1136">
        <v>35</v>
      </c>
      <c r="K154" s="1131">
        <v>0.75</v>
      </c>
      <c r="L154" s="1148" t="s">
        <v>22</v>
      </c>
      <c r="M154" s="1139">
        <v>37308</v>
      </c>
      <c r="N154" s="1130">
        <v>37986</v>
      </c>
      <c r="O154" s="1135" t="s">
        <v>22</v>
      </c>
      <c r="P154" s="1149">
        <v>2003</v>
      </c>
      <c r="Q154" s="1141">
        <v>332000</v>
      </c>
      <c r="R154" s="1150">
        <v>1335741560</v>
      </c>
      <c r="S154" s="1150" t="s">
        <v>151</v>
      </c>
      <c r="T154" s="1142" t="s">
        <v>140</v>
      </c>
      <c r="U154" s="1143" t="s">
        <v>140</v>
      </c>
      <c r="V154" s="1144">
        <v>1</v>
      </c>
      <c r="W154" s="1141">
        <v>1335741560</v>
      </c>
      <c r="X154" s="1145">
        <v>4023</v>
      </c>
      <c r="Y154" s="1145">
        <v>4023.32</v>
      </c>
      <c r="Z154" s="1146">
        <v>7.9536303351446236E-5</v>
      </c>
      <c r="AA154" s="1147">
        <v>3017</v>
      </c>
      <c r="AB154" s="1135"/>
      <c r="AC154" s="1135"/>
      <c r="AD154" s="1134"/>
      <c r="AE154" s="1135">
        <v>80</v>
      </c>
      <c r="AF154" s="1135">
        <v>10</v>
      </c>
      <c r="AG154" s="1134">
        <v>15</v>
      </c>
      <c r="AH154" s="1135">
        <v>81</v>
      </c>
      <c r="AI154" s="1135">
        <v>10</v>
      </c>
      <c r="AJ154" s="1134">
        <v>22</v>
      </c>
      <c r="AK154" s="1134" t="s">
        <v>129</v>
      </c>
      <c r="AL154" s="1401" t="s">
        <v>22</v>
      </c>
    </row>
    <row r="155" spans="1:38" s="384" customFormat="1" ht="71.25">
      <c r="A155" s="1133" t="s">
        <v>1225</v>
      </c>
      <c r="B155" s="1133" t="s">
        <v>1230</v>
      </c>
      <c r="C155" s="1134" t="s">
        <v>1231</v>
      </c>
      <c r="D155" s="1135" t="s">
        <v>22</v>
      </c>
      <c r="E155" s="1135" t="s">
        <v>22</v>
      </c>
      <c r="F155" s="1135" t="s">
        <v>22</v>
      </c>
      <c r="G155" s="1134" t="s">
        <v>22</v>
      </c>
      <c r="H155" s="992" t="s">
        <v>949</v>
      </c>
      <c r="I155" s="375" t="s">
        <v>1234</v>
      </c>
      <c r="J155" s="1136">
        <v>44</v>
      </c>
      <c r="K155" s="1131">
        <v>1</v>
      </c>
      <c r="L155" s="1148" t="s">
        <v>22</v>
      </c>
      <c r="M155" s="1139">
        <v>36992</v>
      </c>
      <c r="N155" s="1130">
        <v>37539</v>
      </c>
      <c r="O155" s="1135" t="s">
        <v>22</v>
      </c>
      <c r="P155" s="1149">
        <v>2002</v>
      </c>
      <c r="Q155" s="1141">
        <v>309000</v>
      </c>
      <c r="R155" s="1150">
        <v>999929000</v>
      </c>
      <c r="S155" s="1150" t="s">
        <v>151</v>
      </c>
      <c r="T155" s="1142" t="s">
        <v>140</v>
      </c>
      <c r="U155" s="1143" t="s">
        <v>140</v>
      </c>
      <c r="V155" s="1144">
        <v>1</v>
      </c>
      <c r="W155" s="1141">
        <v>999929000</v>
      </c>
      <c r="X155" s="1145">
        <v>3236</v>
      </c>
      <c r="Y155" s="1145">
        <v>3236.02</v>
      </c>
      <c r="Z155" s="1146">
        <v>6.1804315176772207E-6</v>
      </c>
      <c r="AA155" s="1147">
        <v>3236</v>
      </c>
      <c r="AB155" s="1135"/>
      <c r="AC155" s="1135"/>
      <c r="AD155" s="1134"/>
      <c r="AE155" s="1135">
        <v>80</v>
      </c>
      <c r="AF155" s="1135">
        <v>10</v>
      </c>
      <c r="AG155" s="1134">
        <v>15</v>
      </c>
      <c r="AH155" s="1135">
        <v>81</v>
      </c>
      <c r="AI155" s="1135">
        <v>10</v>
      </c>
      <c r="AJ155" s="1134">
        <v>22</v>
      </c>
      <c r="AK155" s="1134" t="s">
        <v>129</v>
      </c>
      <c r="AL155" s="1401" t="s">
        <v>22</v>
      </c>
    </row>
    <row r="156" spans="1:38" s="384" customFormat="1" ht="57">
      <c r="A156" s="1133" t="s">
        <v>1225</v>
      </c>
      <c r="B156" s="1133" t="s">
        <v>1230</v>
      </c>
      <c r="C156" s="1134" t="s">
        <v>1231</v>
      </c>
      <c r="D156" s="1135" t="s">
        <v>22</v>
      </c>
      <c r="E156" s="1135" t="s">
        <v>22</v>
      </c>
      <c r="F156" s="1135" t="s">
        <v>22</v>
      </c>
      <c r="G156" s="1134" t="s">
        <v>22</v>
      </c>
      <c r="H156" s="992" t="s">
        <v>448</v>
      </c>
      <c r="I156" s="375" t="s">
        <v>1235</v>
      </c>
      <c r="J156" s="1136">
        <v>27</v>
      </c>
      <c r="K156" s="1131">
        <v>0.4</v>
      </c>
      <c r="L156" s="1148" t="s">
        <v>22</v>
      </c>
      <c r="M156" s="1139">
        <v>37432</v>
      </c>
      <c r="N156" s="1130">
        <v>38352</v>
      </c>
      <c r="O156" s="1135" t="s">
        <v>22</v>
      </c>
      <c r="P156" s="1149">
        <v>2004</v>
      </c>
      <c r="Q156" s="1141">
        <v>358000</v>
      </c>
      <c r="R156" s="1150">
        <v>2381707955</v>
      </c>
      <c r="S156" s="1150" t="s">
        <v>151</v>
      </c>
      <c r="T156" s="1142" t="s">
        <v>140</v>
      </c>
      <c r="U156" s="1143" t="s">
        <v>140</v>
      </c>
      <c r="V156" s="1144">
        <v>1</v>
      </c>
      <c r="W156" s="1141">
        <v>2381707955</v>
      </c>
      <c r="X156" s="1145">
        <v>6653</v>
      </c>
      <c r="Y156" s="1145">
        <v>6652.82</v>
      </c>
      <c r="Z156" s="1146">
        <v>2.7056195718522247E-5</v>
      </c>
      <c r="AA156" s="1147">
        <v>2661</v>
      </c>
      <c r="AB156" s="1135"/>
      <c r="AC156" s="1135"/>
      <c r="AD156" s="1134"/>
      <c r="AE156" s="1135">
        <v>81</v>
      </c>
      <c r="AF156" s="1135">
        <v>10</v>
      </c>
      <c r="AG156" s="1134">
        <v>15</v>
      </c>
      <c r="AH156" s="1135">
        <v>81</v>
      </c>
      <c r="AI156" s="1135">
        <v>10</v>
      </c>
      <c r="AJ156" s="1134">
        <v>22</v>
      </c>
      <c r="AK156" s="1134" t="s">
        <v>129</v>
      </c>
      <c r="AL156" s="1401" t="s">
        <v>22</v>
      </c>
    </row>
    <row r="157" spans="1:38" s="384" customFormat="1" ht="99.75">
      <c r="A157" s="1133" t="s">
        <v>1236</v>
      </c>
      <c r="B157" s="1133" t="s">
        <v>1237</v>
      </c>
      <c r="C157" s="1134" t="s">
        <v>1238</v>
      </c>
      <c r="D157" s="1135" t="s">
        <v>22</v>
      </c>
      <c r="E157" s="1135" t="s">
        <v>22</v>
      </c>
      <c r="F157" s="1135" t="s">
        <v>22</v>
      </c>
      <c r="G157" s="1134" t="s">
        <v>22</v>
      </c>
      <c r="H157" s="992" t="s">
        <v>1239</v>
      </c>
      <c r="I157" s="375" t="s">
        <v>1240</v>
      </c>
      <c r="J157" s="1136">
        <v>170</v>
      </c>
      <c r="K157" s="1131">
        <v>0.33</v>
      </c>
      <c r="L157" s="1148" t="s">
        <v>22</v>
      </c>
      <c r="M157" s="1139">
        <v>39792</v>
      </c>
      <c r="N157" s="1130">
        <v>40977</v>
      </c>
      <c r="O157" s="1135" t="s">
        <v>22</v>
      </c>
      <c r="P157" s="1149">
        <v>2012</v>
      </c>
      <c r="Q157" s="1141">
        <v>566700</v>
      </c>
      <c r="R157" s="1150">
        <v>4939884563</v>
      </c>
      <c r="S157" s="1150" t="s">
        <v>151</v>
      </c>
      <c r="T157" s="1142" t="s">
        <v>140</v>
      </c>
      <c r="U157" s="1143" t="s">
        <v>140</v>
      </c>
      <c r="V157" s="1144">
        <v>1</v>
      </c>
      <c r="W157" s="1141">
        <v>4939884563</v>
      </c>
      <c r="X157" s="1145">
        <v>8717</v>
      </c>
      <c r="Y157" s="1145">
        <v>8716.93</v>
      </c>
      <c r="Z157" s="1146">
        <v>8.0303501346357109E-6</v>
      </c>
      <c r="AA157" s="1147">
        <v>2877</v>
      </c>
      <c r="AB157" s="1135">
        <v>80</v>
      </c>
      <c r="AC157" s="1135">
        <v>10</v>
      </c>
      <c r="AD157" s="1134">
        <v>16</v>
      </c>
      <c r="AE157" s="1135">
        <v>81</v>
      </c>
      <c r="AF157" s="1135">
        <v>10</v>
      </c>
      <c r="AG157" s="1134">
        <v>15</v>
      </c>
      <c r="AH157" s="1135">
        <v>81</v>
      </c>
      <c r="AI157" s="1135">
        <v>10</v>
      </c>
      <c r="AJ157" s="1134">
        <v>22</v>
      </c>
      <c r="AK157" s="1134" t="s">
        <v>129</v>
      </c>
      <c r="AL157" s="1401" t="s">
        <v>22</v>
      </c>
    </row>
    <row r="158" spans="1:38" s="374" customFormat="1" ht="90.95" customHeight="1">
      <c r="A158" s="1133" t="s">
        <v>1236</v>
      </c>
      <c r="B158" s="1133" t="s">
        <v>1237</v>
      </c>
      <c r="C158" s="1134" t="s">
        <v>1238</v>
      </c>
      <c r="D158" s="1135" t="s">
        <v>22</v>
      </c>
      <c r="E158" s="1135" t="s">
        <v>22</v>
      </c>
      <c r="F158" s="1135" t="s">
        <v>22</v>
      </c>
      <c r="G158" s="1134" t="s">
        <v>22</v>
      </c>
      <c r="H158" s="992" t="s">
        <v>957</v>
      </c>
      <c r="I158" s="375" t="s">
        <v>1241</v>
      </c>
      <c r="J158" s="1136">
        <v>10</v>
      </c>
      <c r="K158" s="1131">
        <v>1</v>
      </c>
      <c r="L158" s="1148" t="s">
        <v>22</v>
      </c>
      <c r="M158" s="1139">
        <v>38366</v>
      </c>
      <c r="N158" s="1130">
        <v>39071</v>
      </c>
      <c r="O158" s="1135" t="s">
        <v>22</v>
      </c>
      <c r="P158" s="1149">
        <v>2006</v>
      </c>
      <c r="Q158" s="1141">
        <v>408000</v>
      </c>
      <c r="R158" s="1150">
        <v>1534302721</v>
      </c>
      <c r="S158" s="1150" t="s">
        <v>151</v>
      </c>
      <c r="T158" s="1142" t="s">
        <v>140</v>
      </c>
      <c r="U158" s="1143" t="s">
        <v>140</v>
      </c>
      <c r="V158" s="1144">
        <v>1</v>
      </c>
      <c r="W158" s="1141">
        <v>1534302721</v>
      </c>
      <c r="X158" s="1145">
        <v>3761</v>
      </c>
      <c r="Y158" s="1145">
        <v>3760.55</v>
      </c>
      <c r="Z158" s="1146">
        <v>1.1966334711677185E-4</v>
      </c>
      <c r="AA158" s="1147">
        <v>3761</v>
      </c>
      <c r="AB158" s="1135"/>
      <c r="AC158" s="1135"/>
      <c r="AD158" s="1134"/>
      <c r="AE158" s="1135">
        <v>81</v>
      </c>
      <c r="AF158" s="1135">
        <v>10</v>
      </c>
      <c r="AG158" s="1134">
        <v>15</v>
      </c>
      <c r="AH158" s="1135"/>
      <c r="AI158" s="1135"/>
      <c r="AJ158" s="1134"/>
      <c r="AK158" s="1134" t="s">
        <v>129</v>
      </c>
      <c r="AL158" s="1401" t="s">
        <v>22</v>
      </c>
    </row>
    <row r="159" spans="1:38" s="374" customFormat="1" ht="51.95" customHeight="1">
      <c r="A159" s="1133" t="s">
        <v>1236</v>
      </c>
      <c r="B159" s="1133" t="s">
        <v>1237</v>
      </c>
      <c r="C159" s="1134" t="s">
        <v>1238</v>
      </c>
      <c r="D159" s="1135" t="s">
        <v>22</v>
      </c>
      <c r="E159" s="1135" t="s">
        <v>22</v>
      </c>
      <c r="F159" s="1135" t="s">
        <v>22</v>
      </c>
      <c r="G159" s="1134" t="s">
        <v>22</v>
      </c>
      <c r="H159" s="992" t="s">
        <v>957</v>
      </c>
      <c r="I159" s="375" t="s">
        <v>1242</v>
      </c>
      <c r="J159" s="1136">
        <v>96</v>
      </c>
      <c r="K159" s="1131">
        <v>1</v>
      </c>
      <c r="L159" s="1148" t="s">
        <v>22</v>
      </c>
      <c r="M159" s="1139">
        <v>35409</v>
      </c>
      <c r="N159" s="1130">
        <v>36114</v>
      </c>
      <c r="O159" s="1135" t="s">
        <v>22</v>
      </c>
      <c r="P159" s="1149">
        <v>1998</v>
      </c>
      <c r="Q159" s="1141">
        <v>203826</v>
      </c>
      <c r="R159" s="1150">
        <v>749999988</v>
      </c>
      <c r="S159" s="1150" t="s">
        <v>151</v>
      </c>
      <c r="T159" s="1142" t="s">
        <v>140</v>
      </c>
      <c r="U159" s="1143" t="s">
        <v>140</v>
      </c>
      <c r="V159" s="1144">
        <v>1</v>
      </c>
      <c r="W159" s="1141">
        <v>749999988</v>
      </c>
      <c r="X159" s="1145">
        <v>3680</v>
      </c>
      <c r="Y159" s="1145">
        <v>3679.61</v>
      </c>
      <c r="Z159" s="1146">
        <v>1.0598949345164144E-4</v>
      </c>
      <c r="AA159" s="1147">
        <v>3680</v>
      </c>
      <c r="AB159" s="1135">
        <v>80</v>
      </c>
      <c r="AC159" s="1135">
        <v>10</v>
      </c>
      <c r="AD159" s="1134">
        <v>16</v>
      </c>
      <c r="AE159" s="1135">
        <v>81</v>
      </c>
      <c r="AF159" s="1135">
        <v>10</v>
      </c>
      <c r="AG159" s="1134">
        <v>15</v>
      </c>
      <c r="AH159" s="1135">
        <v>81</v>
      </c>
      <c r="AI159" s="1135">
        <v>10</v>
      </c>
      <c r="AJ159" s="1134">
        <v>22</v>
      </c>
      <c r="AK159" s="1134" t="s">
        <v>129</v>
      </c>
      <c r="AL159" s="1401" t="s">
        <v>22</v>
      </c>
    </row>
    <row r="160" spans="1:38" s="374" customFormat="1" ht="129.94999999999999" customHeight="1">
      <c r="A160" s="1133" t="s">
        <v>1236</v>
      </c>
      <c r="B160" s="1133" t="s">
        <v>1237</v>
      </c>
      <c r="C160" s="1134" t="s">
        <v>1238</v>
      </c>
      <c r="D160" s="1135" t="s">
        <v>22</v>
      </c>
      <c r="E160" s="1135" t="s">
        <v>22</v>
      </c>
      <c r="F160" s="1135" t="s">
        <v>22</v>
      </c>
      <c r="G160" s="1134" t="s">
        <v>22</v>
      </c>
      <c r="H160" s="992" t="s">
        <v>1243</v>
      </c>
      <c r="I160" s="375" t="s">
        <v>1244</v>
      </c>
      <c r="J160" s="1136">
        <v>21</v>
      </c>
      <c r="K160" s="1131">
        <v>0.5</v>
      </c>
      <c r="L160" s="1148" t="s">
        <v>22</v>
      </c>
      <c r="M160" s="1139">
        <v>38034</v>
      </c>
      <c r="N160" s="1130">
        <v>40770</v>
      </c>
      <c r="O160" s="1135" t="s">
        <v>22</v>
      </c>
      <c r="P160" s="1149">
        <v>2011</v>
      </c>
      <c r="Q160" s="1141">
        <v>535600</v>
      </c>
      <c r="R160" s="1150">
        <v>9131630030</v>
      </c>
      <c r="S160" s="1150" t="s">
        <v>151</v>
      </c>
      <c r="T160" s="1142" t="s">
        <v>140</v>
      </c>
      <c r="U160" s="1143" t="s">
        <v>140</v>
      </c>
      <c r="V160" s="1144">
        <v>1</v>
      </c>
      <c r="W160" s="1141">
        <v>9131630030</v>
      </c>
      <c r="X160" s="1145">
        <v>17049</v>
      </c>
      <c r="Y160" s="1145">
        <v>17049.349999999999</v>
      </c>
      <c r="Z160" s="1146">
        <v>2.052864185431158E-5</v>
      </c>
      <c r="AA160" s="1147">
        <v>8525</v>
      </c>
      <c r="AB160" s="1135">
        <v>80</v>
      </c>
      <c r="AC160" s="1135">
        <v>10</v>
      </c>
      <c r="AD160" s="1134">
        <v>16</v>
      </c>
      <c r="AE160" s="1135">
        <v>81</v>
      </c>
      <c r="AF160" s="1135">
        <v>10</v>
      </c>
      <c r="AG160" s="1134">
        <v>15</v>
      </c>
      <c r="AH160" s="1135">
        <v>81</v>
      </c>
      <c r="AI160" s="1135">
        <v>10</v>
      </c>
      <c r="AJ160" s="1134">
        <v>22</v>
      </c>
      <c r="AK160" s="1134" t="s">
        <v>129</v>
      </c>
      <c r="AL160" s="1401" t="s">
        <v>22</v>
      </c>
    </row>
    <row r="161" spans="1:38" s="374" customFormat="1" ht="78" customHeight="1">
      <c r="A161" s="1133" t="s">
        <v>1236</v>
      </c>
      <c r="B161" s="1133" t="s">
        <v>1245</v>
      </c>
      <c r="C161" s="1134" t="s">
        <v>1246</v>
      </c>
      <c r="D161" s="1135" t="s">
        <v>22</v>
      </c>
      <c r="E161" s="1135" t="s">
        <v>22</v>
      </c>
      <c r="F161" s="1135" t="s">
        <v>22</v>
      </c>
      <c r="G161" s="1134" t="s">
        <v>22</v>
      </c>
      <c r="H161" s="992" t="s">
        <v>1247</v>
      </c>
      <c r="I161" s="375" t="s">
        <v>1248</v>
      </c>
      <c r="J161" s="1136" t="s">
        <v>1249</v>
      </c>
      <c r="K161" s="1131">
        <v>1</v>
      </c>
      <c r="L161" s="1148" t="s">
        <v>22</v>
      </c>
      <c r="M161" s="1139">
        <v>38562</v>
      </c>
      <c r="N161" s="1130">
        <v>39521</v>
      </c>
      <c r="O161" s="1135" t="s">
        <v>22</v>
      </c>
      <c r="P161" s="1149">
        <v>2008</v>
      </c>
      <c r="Q161" s="1141">
        <v>461500</v>
      </c>
      <c r="R161" s="1150">
        <v>2446750</v>
      </c>
      <c r="S161" s="1150" t="s">
        <v>142</v>
      </c>
      <c r="T161" s="1142">
        <v>1.5567</v>
      </c>
      <c r="U161" s="1143">
        <v>3808855.7250000001</v>
      </c>
      <c r="V161" s="1144">
        <v>1856.01</v>
      </c>
      <c r="W161" s="1141">
        <v>7069274314.1572504</v>
      </c>
      <c r="X161" s="1145">
        <v>15318</v>
      </c>
      <c r="Y161" s="1145">
        <v>15364.13</v>
      </c>
      <c r="Z161" s="1146">
        <v>3.0024479095138723E-3</v>
      </c>
      <c r="AA161" s="1147">
        <v>15318</v>
      </c>
      <c r="AB161" s="1135">
        <v>80</v>
      </c>
      <c r="AC161" s="1135">
        <v>10</v>
      </c>
      <c r="AD161" s="1134">
        <v>16</v>
      </c>
      <c r="AE161" s="1135">
        <v>81</v>
      </c>
      <c r="AF161" s="1135">
        <v>10</v>
      </c>
      <c r="AG161" s="1134">
        <v>15</v>
      </c>
      <c r="AH161" s="1135">
        <v>81</v>
      </c>
      <c r="AI161" s="1135">
        <v>10</v>
      </c>
      <c r="AJ161" s="1134">
        <v>22</v>
      </c>
      <c r="AK161" s="1134" t="s">
        <v>22</v>
      </c>
      <c r="AL161" s="1401" t="s">
        <v>22</v>
      </c>
    </row>
    <row r="162" spans="1:38" s="374" customFormat="1" ht="90.95" customHeight="1">
      <c r="A162" s="1133" t="s">
        <v>1236</v>
      </c>
      <c r="B162" s="1133" t="s">
        <v>1245</v>
      </c>
      <c r="C162" s="1134" t="s">
        <v>1246</v>
      </c>
      <c r="D162" s="1135" t="s">
        <v>22</v>
      </c>
      <c r="E162" s="1135" t="s">
        <v>22</v>
      </c>
      <c r="F162" s="1135" t="s">
        <v>22</v>
      </c>
      <c r="G162" s="1134" t="s">
        <v>22</v>
      </c>
      <c r="H162" s="992" t="s">
        <v>1250</v>
      </c>
      <c r="I162" s="375" t="s">
        <v>1251</v>
      </c>
      <c r="J162" s="1136" t="s">
        <v>1252</v>
      </c>
      <c r="K162" s="1131">
        <v>1</v>
      </c>
      <c r="L162" s="1148" t="s">
        <v>22</v>
      </c>
      <c r="M162" s="1139">
        <v>38701</v>
      </c>
      <c r="N162" s="1130">
        <v>40085</v>
      </c>
      <c r="O162" s="1135" t="s">
        <v>22</v>
      </c>
      <c r="P162" s="1149">
        <v>2009</v>
      </c>
      <c r="Q162" s="1141">
        <v>496900</v>
      </c>
      <c r="R162" s="1150">
        <v>1020058.28</v>
      </c>
      <c r="S162" s="1150" t="s">
        <v>142</v>
      </c>
      <c r="T162" s="1142">
        <v>1.4633</v>
      </c>
      <c r="U162" s="1143">
        <v>1492651.281124</v>
      </c>
      <c r="V162" s="1144">
        <v>1921.64</v>
      </c>
      <c r="W162" s="1141">
        <v>2868338407.8591232</v>
      </c>
      <c r="X162" s="1145">
        <v>5772</v>
      </c>
      <c r="Y162" s="1145">
        <v>5737.16</v>
      </c>
      <c r="Z162" s="1146">
        <v>6.0726910178554583E-3</v>
      </c>
      <c r="AA162" s="1147">
        <v>5772</v>
      </c>
      <c r="AB162" s="1135">
        <v>80</v>
      </c>
      <c r="AC162" s="1135">
        <v>10</v>
      </c>
      <c r="AD162" s="1134">
        <v>16</v>
      </c>
      <c r="AE162" s="1135">
        <v>81</v>
      </c>
      <c r="AF162" s="1135">
        <v>10</v>
      </c>
      <c r="AG162" s="1134">
        <v>15</v>
      </c>
      <c r="AH162" s="1135">
        <v>81</v>
      </c>
      <c r="AI162" s="1135">
        <v>10</v>
      </c>
      <c r="AJ162" s="1134">
        <v>22</v>
      </c>
      <c r="AK162" s="1134" t="s">
        <v>22</v>
      </c>
      <c r="AL162" s="1401" t="s">
        <v>22</v>
      </c>
    </row>
    <row r="163" spans="1:38" s="374" customFormat="1" ht="51.95" customHeight="1">
      <c r="A163" s="1133" t="s">
        <v>1253</v>
      </c>
      <c r="B163" s="1133" t="s">
        <v>1254</v>
      </c>
      <c r="C163" s="387" t="s">
        <v>1255</v>
      </c>
      <c r="D163" s="1135" t="s">
        <v>22</v>
      </c>
      <c r="E163" s="1135" t="s">
        <v>22</v>
      </c>
      <c r="F163" s="1135" t="s">
        <v>22</v>
      </c>
      <c r="G163" s="1134" t="s">
        <v>22</v>
      </c>
      <c r="H163" s="992" t="s">
        <v>214</v>
      </c>
      <c r="I163" s="375" t="s">
        <v>506</v>
      </c>
      <c r="J163" s="1136">
        <v>4</v>
      </c>
      <c r="K163" s="1131">
        <v>0.5</v>
      </c>
      <c r="L163" s="1148" t="s">
        <v>22</v>
      </c>
      <c r="M163" s="1139">
        <v>37576</v>
      </c>
      <c r="N163" s="1130">
        <v>38763</v>
      </c>
      <c r="O163" s="1135" t="s">
        <v>22</v>
      </c>
      <c r="P163" s="1149">
        <v>2006</v>
      </c>
      <c r="Q163" s="1141">
        <v>408000</v>
      </c>
      <c r="R163" s="1150">
        <v>2212803.58</v>
      </c>
      <c r="S163" s="1150" t="s">
        <v>142</v>
      </c>
      <c r="T163" s="1142">
        <v>1.1900999999999999</v>
      </c>
      <c r="U163" s="1143">
        <v>2633457.5405580001</v>
      </c>
      <c r="V163" s="1144">
        <v>2254.98</v>
      </c>
      <c r="W163" s="1141">
        <v>5938394084.8074789</v>
      </c>
      <c r="X163" s="1145">
        <v>14555</v>
      </c>
      <c r="Y163" s="1145">
        <v>14554.89</v>
      </c>
      <c r="Z163" s="1146">
        <v>7.5575974809449775E-6</v>
      </c>
      <c r="AA163" s="1147">
        <v>7278</v>
      </c>
      <c r="AB163" s="1135">
        <v>80</v>
      </c>
      <c r="AC163" s="1135">
        <v>10</v>
      </c>
      <c r="AD163" s="1134">
        <v>16</v>
      </c>
      <c r="AE163" s="1135">
        <v>81</v>
      </c>
      <c r="AF163" s="1135">
        <v>10</v>
      </c>
      <c r="AG163" s="1134">
        <v>15</v>
      </c>
      <c r="AH163" s="1135">
        <v>81</v>
      </c>
      <c r="AI163" s="1135">
        <v>10</v>
      </c>
      <c r="AJ163" s="1134">
        <v>22</v>
      </c>
      <c r="AK163" s="1134" t="s">
        <v>129</v>
      </c>
      <c r="AL163" s="1401" t="s">
        <v>22</v>
      </c>
    </row>
    <row r="164" spans="1:38" s="374" customFormat="1" ht="51.95" customHeight="1">
      <c r="A164" s="1133" t="s">
        <v>1253</v>
      </c>
      <c r="B164" s="1133" t="s">
        <v>1254</v>
      </c>
      <c r="C164" s="387" t="s">
        <v>1255</v>
      </c>
      <c r="D164" s="1135" t="s">
        <v>22</v>
      </c>
      <c r="E164" s="1135" t="s">
        <v>22</v>
      </c>
      <c r="F164" s="1135" t="s">
        <v>22</v>
      </c>
      <c r="G164" s="1134" t="s">
        <v>22</v>
      </c>
      <c r="H164" s="992" t="s">
        <v>214</v>
      </c>
      <c r="I164" s="375" t="s">
        <v>1256</v>
      </c>
      <c r="J164" s="1136">
        <v>7</v>
      </c>
      <c r="K164" s="1131">
        <v>0.5</v>
      </c>
      <c r="L164" s="1148" t="s">
        <v>22</v>
      </c>
      <c r="M164" s="1159">
        <v>36774</v>
      </c>
      <c r="N164" s="1160">
        <v>37806</v>
      </c>
      <c r="O164" s="1135" t="s">
        <v>22</v>
      </c>
      <c r="P164" s="1149">
        <v>2003</v>
      </c>
      <c r="Q164" s="1141">
        <v>332000</v>
      </c>
      <c r="R164" s="1150">
        <v>978371.63</v>
      </c>
      <c r="S164" s="1150" t="s">
        <v>142</v>
      </c>
      <c r="T164" s="1142">
        <v>1.1494</v>
      </c>
      <c r="U164" s="1143">
        <v>1124540.351522</v>
      </c>
      <c r="V164" s="1144">
        <v>2815.14</v>
      </c>
      <c r="W164" s="1141">
        <v>3165738525.1836429</v>
      </c>
      <c r="X164" s="1145">
        <v>9535</v>
      </c>
      <c r="Y164" s="1151">
        <v>9535.33</v>
      </c>
      <c r="Z164" s="1146">
        <v>3.4608136267988421E-5</v>
      </c>
      <c r="AA164" s="1147">
        <v>4768</v>
      </c>
      <c r="AB164" s="1135">
        <v>80</v>
      </c>
      <c r="AC164" s="1135">
        <v>10</v>
      </c>
      <c r="AD164" s="1134">
        <v>16</v>
      </c>
      <c r="AE164" s="1135">
        <v>81</v>
      </c>
      <c r="AF164" s="1135">
        <v>10</v>
      </c>
      <c r="AG164" s="1134">
        <v>15</v>
      </c>
      <c r="AH164" s="1135">
        <v>81</v>
      </c>
      <c r="AI164" s="1135">
        <v>10</v>
      </c>
      <c r="AJ164" s="1134">
        <v>22</v>
      </c>
      <c r="AK164" s="1134" t="s">
        <v>129</v>
      </c>
      <c r="AL164" s="1401" t="s">
        <v>22</v>
      </c>
    </row>
    <row r="165" spans="1:38" s="374" customFormat="1" ht="90.95" customHeight="1">
      <c r="A165" s="1133" t="s">
        <v>1253</v>
      </c>
      <c r="B165" s="1133" t="s">
        <v>1257</v>
      </c>
      <c r="C165" s="1134" t="s">
        <v>1258</v>
      </c>
      <c r="D165" s="1135" t="s">
        <v>22</v>
      </c>
      <c r="E165" s="1135" t="s">
        <v>22</v>
      </c>
      <c r="F165" s="1135" t="s">
        <v>22</v>
      </c>
      <c r="G165" s="1134" t="s">
        <v>22</v>
      </c>
      <c r="H165" s="992" t="s">
        <v>1259</v>
      </c>
      <c r="I165" s="375" t="s">
        <v>1260</v>
      </c>
      <c r="J165" s="1135">
        <v>1</v>
      </c>
      <c r="K165" s="1131">
        <v>1</v>
      </c>
      <c r="L165" s="1148" t="s">
        <v>22</v>
      </c>
      <c r="M165" s="1139">
        <v>38762</v>
      </c>
      <c r="N165" s="1130">
        <v>39710</v>
      </c>
      <c r="O165" s="1135" t="s">
        <v>22</v>
      </c>
      <c r="P165" s="1149">
        <v>2008</v>
      </c>
      <c r="Q165" s="1141">
        <v>461500</v>
      </c>
      <c r="R165" s="1150">
        <v>3635481658</v>
      </c>
      <c r="S165" s="1150" t="s">
        <v>151</v>
      </c>
      <c r="T165" s="1142" t="s">
        <v>140</v>
      </c>
      <c r="U165" s="1143" t="s">
        <v>140</v>
      </c>
      <c r="V165" s="1144">
        <v>1</v>
      </c>
      <c r="W165" s="1141">
        <v>3635481658</v>
      </c>
      <c r="X165" s="1145">
        <v>7878</v>
      </c>
      <c r="Y165" s="1145">
        <v>7877.53</v>
      </c>
      <c r="Z165" s="1146">
        <v>5.9663371640539253E-5</v>
      </c>
      <c r="AA165" s="1147">
        <v>7878</v>
      </c>
      <c r="AB165" s="1135">
        <v>80</v>
      </c>
      <c r="AC165" s="1135">
        <v>10</v>
      </c>
      <c r="AD165" s="1134">
        <v>16</v>
      </c>
      <c r="AE165" s="1135">
        <v>81</v>
      </c>
      <c r="AF165" s="1135">
        <v>10</v>
      </c>
      <c r="AG165" s="1134">
        <v>15</v>
      </c>
      <c r="AH165" s="1135">
        <v>81</v>
      </c>
      <c r="AI165" s="1135">
        <v>10</v>
      </c>
      <c r="AJ165" s="1134">
        <v>22</v>
      </c>
      <c r="AK165" s="1134" t="s">
        <v>129</v>
      </c>
      <c r="AL165" s="1401" t="s">
        <v>22</v>
      </c>
    </row>
    <row r="166" spans="1:38" s="374" customFormat="1" ht="65.099999999999994" customHeight="1">
      <c r="A166" s="1133" t="s">
        <v>1253</v>
      </c>
      <c r="B166" s="1133" t="s">
        <v>1257</v>
      </c>
      <c r="C166" s="1134" t="s">
        <v>1258</v>
      </c>
      <c r="D166" s="1135" t="s">
        <v>22</v>
      </c>
      <c r="E166" s="1135" t="s">
        <v>22</v>
      </c>
      <c r="F166" s="1135" t="s">
        <v>22</v>
      </c>
      <c r="G166" s="1134" t="s">
        <v>22</v>
      </c>
      <c r="H166" s="992" t="s">
        <v>1261</v>
      </c>
      <c r="I166" s="375" t="s">
        <v>1262</v>
      </c>
      <c r="J166" s="1136">
        <v>37</v>
      </c>
      <c r="K166" s="1131">
        <v>1</v>
      </c>
      <c r="L166" s="1148" t="s">
        <v>22</v>
      </c>
      <c r="M166" s="1139">
        <v>37956</v>
      </c>
      <c r="N166" s="1130">
        <v>39051</v>
      </c>
      <c r="O166" s="1135" t="s">
        <v>22</v>
      </c>
      <c r="P166" s="1149">
        <v>2006</v>
      </c>
      <c r="Q166" s="1141">
        <v>408000</v>
      </c>
      <c r="R166" s="1150">
        <v>2387827695</v>
      </c>
      <c r="S166" s="1150" t="s">
        <v>151</v>
      </c>
      <c r="T166" s="1142" t="s">
        <v>140</v>
      </c>
      <c r="U166" s="1143" t="s">
        <v>140</v>
      </c>
      <c r="V166" s="1144">
        <v>1</v>
      </c>
      <c r="W166" s="1141">
        <v>2387827695</v>
      </c>
      <c r="X166" s="1145">
        <v>5853</v>
      </c>
      <c r="Y166" s="1151">
        <v>5852.52</v>
      </c>
      <c r="Z166" s="1146">
        <v>8.2015952102665324E-5</v>
      </c>
      <c r="AA166" s="1147">
        <v>5853</v>
      </c>
      <c r="AB166" s="1135">
        <v>80</v>
      </c>
      <c r="AC166" s="1135">
        <v>10</v>
      </c>
      <c r="AD166" s="1134">
        <v>16</v>
      </c>
      <c r="AE166" s="1135">
        <v>81</v>
      </c>
      <c r="AF166" s="1135">
        <v>10</v>
      </c>
      <c r="AG166" s="1134">
        <v>15</v>
      </c>
      <c r="AH166" s="1135">
        <v>81</v>
      </c>
      <c r="AI166" s="1135">
        <v>10</v>
      </c>
      <c r="AJ166" s="1134">
        <v>22</v>
      </c>
      <c r="AK166" s="1134" t="s">
        <v>129</v>
      </c>
      <c r="AL166" s="1401" t="s">
        <v>22</v>
      </c>
    </row>
    <row r="167" spans="1:38" s="374" customFormat="1" ht="85.5">
      <c r="A167" s="1133" t="s">
        <v>1263</v>
      </c>
      <c r="B167" s="1133" t="s">
        <v>1264</v>
      </c>
      <c r="C167" s="387" t="s">
        <v>1265</v>
      </c>
      <c r="D167" s="1135" t="s">
        <v>129</v>
      </c>
      <c r="E167" s="1135" t="s">
        <v>22</v>
      </c>
      <c r="F167" s="1135" t="s">
        <v>22</v>
      </c>
      <c r="G167" s="1134" t="s">
        <v>22</v>
      </c>
      <c r="H167" s="992" t="s">
        <v>1266</v>
      </c>
      <c r="I167" s="375" t="s">
        <v>1267</v>
      </c>
      <c r="J167" s="1136">
        <v>67</v>
      </c>
      <c r="K167" s="1131">
        <v>0.5</v>
      </c>
      <c r="L167" s="1148" t="s">
        <v>22</v>
      </c>
      <c r="M167" s="1139">
        <v>39173</v>
      </c>
      <c r="N167" s="1130">
        <v>40574</v>
      </c>
      <c r="O167" s="1135" t="s">
        <v>22</v>
      </c>
      <c r="P167" s="1149">
        <v>2011</v>
      </c>
      <c r="Q167" s="1141">
        <v>535600</v>
      </c>
      <c r="R167" s="1150">
        <v>2664656.9300000002</v>
      </c>
      <c r="S167" s="1150" t="s">
        <v>142</v>
      </c>
      <c r="T167" s="1142">
        <v>1.3603000000000001</v>
      </c>
      <c r="U167" s="1143">
        <v>3624732.8218790004</v>
      </c>
      <c r="V167" s="1144">
        <v>1857.98</v>
      </c>
      <c r="W167" s="1141">
        <v>6734681088.3947449</v>
      </c>
      <c r="X167" s="1145">
        <v>12574</v>
      </c>
      <c r="Y167" s="1145">
        <v>12560.4</v>
      </c>
      <c r="Z167" s="1146">
        <v>1.0827680647114146E-3</v>
      </c>
      <c r="AA167" s="1147">
        <v>6287</v>
      </c>
      <c r="AB167" s="1135">
        <v>80</v>
      </c>
      <c r="AC167" s="1135">
        <v>10</v>
      </c>
      <c r="AD167" s="1134">
        <v>16</v>
      </c>
      <c r="AE167" s="1135">
        <v>81</v>
      </c>
      <c r="AF167" s="1135">
        <v>10</v>
      </c>
      <c r="AG167" s="1134">
        <v>15</v>
      </c>
      <c r="AH167" s="1135">
        <v>81</v>
      </c>
      <c r="AI167" s="1135">
        <v>10</v>
      </c>
      <c r="AJ167" s="1134">
        <v>22</v>
      </c>
      <c r="AK167" s="1134" t="s">
        <v>129</v>
      </c>
      <c r="AL167" s="1401" t="s">
        <v>22</v>
      </c>
    </row>
    <row r="168" spans="1:38" s="374" customFormat="1" ht="47.1" customHeight="1">
      <c r="A168" s="1133" t="s">
        <v>1263</v>
      </c>
      <c r="B168" s="1133" t="s">
        <v>1264</v>
      </c>
      <c r="C168" s="387" t="s">
        <v>1265</v>
      </c>
      <c r="D168" s="1135" t="s">
        <v>129</v>
      </c>
      <c r="E168" s="1135" t="s">
        <v>22</v>
      </c>
      <c r="F168" s="1135" t="s">
        <v>22</v>
      </c>
      <c r="G168" s="1134" t="s">
        <v>22</v>
      </c>
      <c r="H168" s="992" t="s">
        <v>1268</v>
      </c>
      <c r="I168" s="375" t="s">
        <v>1269</v>
      </c>
      <c r="J168" s="1136">
        <v>58</v>
      </c>
      <c r="K168" s="1131">
        <v>1</v>
      </c>
      <c r="L168" s="1148" t="s">
        <v>22</v>
      </c>
      <c r="M168" s="1139">
        <v>37288</v>
      </c>
      <c r="N168" s="1130">
        <v>38904</v>
      </c>
      <c r="O168" s="1135" t="s">
        <v>22</v>
      </c>
      <c r="P168" s="1149">
        <v>2006</v>
      </c>
      <c r="Q168" s="1141">
        <v>408000</v>
      </c>
      <c r="R168" s="1150">
        <v>2069370.4</v>
      </c>
      <c r="S168" s="1150" t="s">
        <v>142</v>
      </c>
      <c r="T168" s="1142">
        <v>1.2766</v>
      </c>
      <c r="U168" s="1143">
        <v>2641758.2526399996</v>
      </c>
      <c r="V168" s="1144">
        <v>2574.7399999999998</v>
      </c>
      <c r="W168" s="1141">
        <v>6801840643.4023123</v>
      </c>
      <c r="X168" s="1145">
        <v>16671</v>
      </c>
      <c r="Y168" s="1145">
        <v>16006.99</v>
      </c>
      <c r="Z168" s="1146">
        <v>4.1482502331793736E-2</v>
      </c>
      <c r="AA168" s="1147">
        <v>16671</v>
      </c>
      <c r="AB168" s="1135">
        <v>80</v>
      </c>
      <c r="AC168" s="1135">
        <v>10</v>
      </c>
      <c r="AD168" s="1134">
        <v>16</v>
      </c>
      <c r="AE168" s="1135">
        <v>81</v>
      </c>
      <c r="AF168" s="1135">
        <v>10</v>
      </c>
      <c r="AG168" s="1134">
        <v>15</v>
      </c>
      <c r="AH168" s="1135">
        <v>81</v>
      </c>
      <c r="AI168" s="1135">
        <v>10</v>
      </c>
      <c r="AJ168" s="1134">
        <v>22</v>
      </c>
      <c r="AK168" s="1134" t="s">
        <v>129</v>
      </c>
      <c r="AL168" s="1401" t="s">
        <v>22</v>
      </c>
    </row>
    <row r="169" spans="1:38" s="374" customFormat="1" ht="51.95" customHeight="1">
      <c r="A169" s="1133" t="s">
        <v>1263</v>
      </c>
      <c r="B169" s="1133" t="s">
        <v>1270</v>
      </c>
      <c r="C169" s="1134" t="s">
        <v>1271</v>
      </c>
      <c r="D169" s="1135" t="s">
        <v>129</v>
      </c>
      <c r="E169" s="1135" t="s">
        <v>22</v>
      </c>
      <c r="F169" s="1135" t="s">
        <v>22</v>
      </c>
      <c r="G169" s="1134" t="s">
        <v>22</v>
      </c>
      <c r="H169" s="375" t="s">
        <v>155</v>
      </c>
      <c r="I169" s="375" t="s">
        <v>1272</v>
      </c>
      <c r="J169" s="1136">
        <v>63</v>
      </c>
      <c r="K169" s="1131">
        <v>0.28000000000000003</v>
      </c>
      <c r="L169" s="1148" t="s">
        <v>22</v>
      </c>
      <c r="M169" s="1139">
        <v>40077</v>
      </c>
      <c r="N169" s="1130">
        <v>41977</v>
      </c>
      <c r="O169" s="1135" t="s">
        <v>22</v>
      </c>
      <c r="P169" s="1149">
        <v>2014</v>
      </c>
      <c r="Q169" s="1141">
        <v>616000</v>
      </c>
      <c r="R169" s="1150">
        <v>8396906456</v>
      </c>
      <c r="S169" s="1150" t="s">
        <v>151</v>
      </c>
      <c r="T169" s="1142" t="s">
        <v>140</v>
      </c>
      <c r="U169" s="1143" t="s">
        <v>140</v>
      </c>
      <c r="V169" s="1144">
        <v>1</v>
      </c>
      <c r="W169" s="1141">
        <v>8396906456</v>
      </c>
      <c r="X169" s="1145">
        <v>13631</v>
      </c>
      <c r="Y169" s="1145">
        <v>13631.34</v>
      </c>
      <c r="Z169" s="1146">
        <v>2.4942522158455382E-5</v>
      </c>
      <c r="AA169" s="1147">
        <v>3817</v>
      </c>
      <c r="AB169" s="1135">
        <v>80</v>
      </c>
      <c r="AC169" s="1135">
        <v>10</v>
      </c>
      <c r="AD169" s="1134">
        <v>16</v>
      </c>
      <c r="AE169" s="1135">
        <v>81</v>
      </c>
      <c r="AF169" s="1135">
        <v>10</v>
      </c>
      <c r="AG169" s="1134">
        <v>15</v>
      </c>
      <c r="AH169" s="1135">
        <v>81</v>
      </c>
      <c r="AI169" s="1135">
        <v>10</v>
      </c>
      <c r="AJ169" s="1134">
        <v>22</v>
      </c>
      <c r="AK169" s="1134" t="s">
        <v>129</v>
      </c>
      <c r="AL169" s="1401" t="s">
        <v>22</v>
      </c>
    </row>
    <row r="170" spans="1:38" s="374" customFormat="1" ht="51.95" customHeight="1">
      <c r="A170" s="1133" t="s">
        <v>1263</v>
      </c>
      <c r="B170" s="1133" t="s">
        <v>1273</v>
      </c>
      <c r="C170" s="387" t="s">
        <v>1274</v>
      </c>
      <c r="D170" s="1135" t="s">
        <v>129</v>
      </c>
      <c r="E170" s="1135" t="s">
        <v>22</v>
      </c>
      <c r="F170" s="1135" t="s">
        <v>22</v>
      </c>
      <c r="G170" s="1134" t="s">
        <v>22</v>
      </c>
      <c r="H170" s="992" t="s">
        <v>1275</v>
      </c>
      <c r="I170" s="375" t="s">
        <v>1276</v>
      </c>
      <c r="J170" s="1136" t="s">
        <v>903</v>
      </c>
      <c r="K170" s="1131">
        <v>0.75</v>
      </c>
      <c r="L170" s="1148" t="s">
        <v>22</v>
      </c>
      <c r="M170" s="1139">
        <v>38718</v>
      </c>
      <c r="N170" s="1130">
        <v>42066</v>
      </c>
      <c r="O170" s="1135" t="s">
        <v>22</v>
      </c>
      <c r="P170" s="1149">
        <v>2015</v>
      </c>
      <c r="Q170" s="1141">
        <v>644350</v>
      </c>
      <c r="R170" s="1150">
        <v>8567960679</v>
      </c>
      <c r="S170" s="384" t="s">
        <v>151</v>
      </c>
      <c r="T170" s="1142" t="s">
        <v>140</v>
      </c>
      <c r="U170" s="1143" t="s">
        <v>140</v>
      </c>
      <c r="V170" s="1144">
        <v>1</v>
      </c>
      <c r="W170" s="1141">
        <v>8567960679</v>
      </c>
      <c r="X170" s="1145">
        <v>13297</v>
      </c>
      <c r="Y170" s="384"/>
      <c r="Z170" s="1146" t="s">
        <v>140</v>
      </c>
      <c r="AA170" s="1147">
        <v>9973</v>
      </c>
      <c r="AB170" s="384"/>
      <c r="AC170" s="384"/>
      <c r="AD170" s="385"/>
      <c r="AE170" s="384"/>
      <c r="AF170" s="384"/>
      <c r="AG170" s="385"/>
      <c r="AH170" s="384"/>
      <c r="AI170" s="384"/>
      <c r="AJ170" s="385"/>
      <c r="AK170" s="387" t="s">
        <v>22</v>
      </c>
      <c r="AL170" s="1401" t="s">
        <v>22</v>
      </c>
    </row>
    <row r="171" spans="1:38" s="374" customFormat="1" ht="90.95" customHeight="1">
      <c r="A171" s="1133" t="s">
        <v>1263</v>
      </c>
      <c r="B171" s="1133" t="s">
        <v>1273</v>
      </c>
      <c r="C171" s="387" t="s">
        <v>1274</v>
      </c>
      <c r="D171" s="1135" t="s">
        <v>129</v>
      </c>
      <c r="E171" s="1135" t="s">
        <v>22</v>
      </c>
      <c r="F171" s="1135" t="s">
        <v>22</v>
      </c>
      <c r="G171" s="1134" t="s">
        <v>22</v>
      </c>
      <c r="H171" s="375" t="s">
        <v>1277</v>
      </c>
      <c r="I171" s="375" t="s">
        <v>1278</v>
      </c>
      <c r="J171" s="1136" t="s">
        <v>903</v>
      </c>
      <c r="K171" s="1131">
        <v>1</v>
      </c>
      <c r="L171" s="1148" t="s">
        <v>22</v>
      </c>
      <c r="M171" s="1139">
        <v>41379</v>
      </c>
      <c r="N171" s="1130">
        <v>42232</v>
      </c>
      <c r="O171" s="1135" t="s">
        <v>22</v>
      </c>
      <c r="P171" s="1149">
        <v>2015</v>
      </c>
      <c r="Q171" s="1141">
        <v>644350</v>
      </c>
      <c r="R171" s="1150">
        <v>1333670000</v>
      </c>
      <c r="S171" s="1150" t="s">
        <v>151</v>
      </c>
      <c r="T171" s="1142" t="s">
        <v>140</v>
      </c>
      <c r="U171" s="1143" t="s">
        <v>140</v>
      </c>
      <c r="V171" s="1144">
        <v>1</v>
      </c>
      <c r="W171" s="1141">
        <v>1333670000</v>
      </c>
      <c r="X171" s="1145">
        <v>2070</v>
      </c>
      <c r="Y171" s="1145"/>
      <c r="Z171" s="1146" t="s">
        <v>140</v>
      </c>
      <c r="AA171" s="1147">
        <v>2070</v>
      </c>
      <c r="AB171" s="1135"/>
      <c r="AC171" s="1135"/>
      <c r="AD171" s="1134"/>
      <c r="AE171" s="1135"/>
      <c r="AF171" s="1135"/>
      <c r="AG171" s="1134"/>
      <c r="AH171" s="1135"/>
      <c r="AI171" s="1135"/>
      <c r="AJ171" s="1134"/>
      <c r="AK171" s="1134" t="s">
        <v>22</v>
      </c>
      <c r="AL171" s="1401" t="s">
        <v>22</v>
      </c>
    </row>
    <row r="172" spans="1:38" s="374" customFormat="1" ht="78" customHeight="1">
      <c r="A172" s="1133" t="s">
        <v>1279</v>
      </c>
      <c r="B172" s="1133" t="s">
        <v>1280</v>
      </c>
      <c r="C172" s="1134" t="s">
        <v>1281</v>
      </c>
      <c r="D172" s="1135" t="s">
        <v>22</v>
      </c>
      <c r="E172" s="1135" t="s">
        <v>22</v>
      </c>
      <c r="F172" s="1135" t="s">
        <v>22</v>
      </c>
      <c r="G172" s="1134" t="s">
        <v>22</v>
      </c>
      <c r="H172" s="375" t="s">
        <v>970</v>
      </c>
      <c r="I172" s="375" t="s">
        <v>1282</v>
      </c>
      <c r="J172" s="1136">
        <v>51</v>
      </c>
      <c r="K172" s="1131">
        <v>0.23</v>
      </c>
      <c r="L172" s="1148" t="s">
        <v>22</v>
      </c>
      <c r="M172" s="1139">
        <v>35473</v>
      </c>
      <c r="N172" s="1130">
        <v>36189</v>
      </c>
      <c r="O172" s="1135" t="s">
        <v>22</v>
      </c>
      <c r="P172" s="1149">
        <v>1999</v>
      </c>
      <c r="Q172" s="1141">
        <v>236460</v>
      </c>
      <c r="R172" s="1150">
        <v>7035211.1399999997</v>
      </c>
      <c r="S172" s="1150" t="s">
        <v>142</v>
      </c>
      <c r="T172" s="1142">
        <v>1.1385000000000001</v>
      </c>
      <c r="U172" s="1143">
        <v>8009587.88289</v>
      </c>
      <c r="V172" s="1144">
        <v>1580.72</v>
      </c>
      <c r="W172" s="1141">
        <v>12660915758.24188</v>
      </c>
      <c r="X172" s="1145">
        <v>53544</v>
      </c>
      <c r="Y172" s="1145">
        <v>53421.31</v>
      </c>
      <c r="Z172" s="1146">
        <v>2.296649033878051E-3</v>
      </c>
      <c r="AA172" s="1147">
        <v>12315</v>
      </c>
      <c r="AB172" s="1135">
        <v>80</v>
      </c>
      <c r="AC172" s="1135">
        <v>10</v>
      </c>
      <c r="AD172" s="1134">
        <v>16</v>
      </c>
      <c r="AE172" s="1135">
        <v>81</v>
      </c>
      <c r="AF172" s="1135">
        <v>10</v>
      </c>
      <c r="AG172" s="1134">
        <v>15</v>
      </c>
      <c r="AH172" s="1135">
        <v>81</v>
      </c>
      <c r="AI172" s="1135">
        <v>10</v>
      </c>
      <c r="AJ172" s="1134">
        <v>22</v>
      </c>
      <c r="AK172" s="1134" t="s">
        <v>129</v>
      </c>
      <c r="AL172" s="1401" t="s">
        <v>22</v>
      </c>
    </row>
    <row r="173" spans="1:38" s="374" customFormat="1" ht="78" customHeight="1">
      <c r="A173" s="1133" t="s">
        <v>1279</v>
      </c>
      <c r="B173" s="1133" t="s">
        <v>1280</v>
      </c>
      <c r="C173" s="1134" t="s">
        <v>1281</v>
      </c>
      <c r="D173" s="1135" t="s">
        <v>22</v>
      </c>
      <c r="E173" s="1135" t="s">
        <v>22</v>
      </c>
      <c r="F173" s="1135" t="s">
        <v>22</v>
      </c>
      <c r="G173" s="1134" t="s">
        <v>22</v>
      </c>
      <c r="H173" s="992" t="s">
        <v>214</v>
      </c>
      <c r="I173" s="375" t="s">
        <v>1283</v>
      </c>
      <c r="J173" s="1136">
        <v>78</v>
      </c>
      <c r="K173" s="1131">
        <v>0.5</v>
      </c>
      <c r="L173" s="1148" t="s">
        <v>22</v>
      </c>
      <c r="M173" s="1139">
        <v>38693</v>
      </c>
      <c r="N173" s="1130">
        <v>40907</v>
      </c>
      <c r="O173" s="1135" t="s">
        <v>22</v>
      </c>
      <c r="P173" s="1149">
        <v>2011</v>
      </c>
      <c r="Q173" s="1141">
        <v>535600</v>
      </c>
      <c r="R173" s="1150">
        <v>1827620.16</v>
      </c>
      <c r="S173" s="1150" t="s">
        <v>142</v>
      </c>
      <c r="T173" s="1142">
        <v>1.2921</v>
      </c>
      <c r="U173" s="1143">
        <v>2361468.0087359999</v>
      </c>
      <c r="V173" s="1144">
        <v>1942.7</v>
      </c>
      <c r="W173" s="1141">
        <v>4587623900.5714273</v>
      </c>
      <c r="X173" s="1145">
        <v>8565</v>
      </c>
      <c r="Y173" s="1145">
        <v>8606.49</v>
      </c>
      <c r="Z173" s="1146">
        <v>4.8207805969681106E-3</v>
      </c>
      <c r="AA173" s="1147">
        <v>4283</v>
      </c>
      <c r="AB173" s="1135">
        <v>80</v>
      </c>
      <c r="AC173" s="1135">
        <v>10</v>
      </c>
      <c r="AD173" s="1134">
        <v>16</v>
      </c>
      <c r="AE173" s="1135">
        <v>81</v>
      </c>
      <c r="AF173" s="1135">
        <v>10</v>
      </c>
      <c r="AG173" s="1134">
        <v>15</v>
      </c>
      <c r="AH173" s="1135">
        <v>81</v>
      </c>
      <c r="AI173" s="1135">
        <v>10</v>
      </c>
      <c r="AJ173" s="1134">
        <v>22</v>
      </c>
      <c r="AK173" s="1134" t="s">
        <v>129</v>
      </c>
      <c r="AL173" s="1401" t="s">
        <v>22</v>
      </c>
    </row>
    <row r="174" spans="1:38" s="374" customFormat="1" ht="104.1" customHeight="1">
      <c r="A174" s="1133" t="s">
        <v>1279</v>
      </c>
      <c r="B174" s="1133" t="s">
        <v>1284</v>
      </c>
      <c r="C174" s="1134" t="s">
        <v>1285</v>
      </c>
      <c r="D174" s="1135" t="s">
        <v>22</v>
      </c>
      <c r="E174" s="1135" t="s">
        <v>22</v>
      </c>
      <c r="F174" s="1135" t="s">
        <v>22</v>
      </c>
      <c r="G174" s="1134" t="s">
        <v>22</v>
      </c>
      <c r="H174" s="992" t="s">
        <v>517</v>
      </c>
      <c r="I174" s="375" t="s">
        <v>1286</v>
      </c>
      <c r="J174" s="1136" t="s">
        <v>903</v>
      </c>
      <c r="K174" s="1131">
        <v>0.6</v>
      </c>
      <c r="L174" s="1148" t="s">
        <v>22</v>
      </c>
      <c r="M174" s="1139">
        <v>40000</v>
      </c>
      <c r="N174" s="1130">
        <v>42055</v>
      </c>
      <c r="O174" s="1135" t="s">
        <v>22</v>
      </c>
      <c r="P174" s="1149">
        <v>2015</v>
      </c>
      <c r="Q174" s="1141">
        <v>644350</v>
      </c>
      <c r="R174" s="1150">
        <v>5723435674</v>
      </c>
      <c r="S174" s="1150" t="s">
        <v>151</v>
      </c>
      <c r="T174" s="1142" t="s">
        <v>140</v>
      </c>
      <c r="U174" s="1143" t="s">
        <v>140</v>
      </c>
      <c r="V174" s="1144">
        <v>1</v>
      </c>
      <c r="W174" s="1141">
        <v>5723435674</v>
      </c>
      <c r="X174" s="1145">
        <v>8882</v>
      </c>
      <c r="Y174" s="1145"/>
      <c r="Z174" s="1146" t="s">
        <v>140</v>
      </c>
      <c r="AA174" s="1147">
        <v>5329</v>
      </c>
      <c r="AB174" s="1135"/>
      <c r="AC174" s="1135"/>
      <c r="AD174" s="1134"/>
      <c r="AE174" s="1135"/>
      <c r="AF174" s="1135"/>
      <c r="AG174" s="1134"/>
      <c r="AH174" s="1135"/>
      <c r="AI174" s="1135"/>
      <c r="AJ174" s="1134"/>
      <c r="AK174" s="1134" t="s">
        <v>22</v>
      </c>
      <c r="AL174" s="1401" t="s">
        <v>22</v>
      </c>
    </row>
    <row r="175" spans="1:38" s="374" customFormat="1" ht="78" customHeight="1">
      <c r="A175" s="1133" t="s">
        <v>1279</v>
      </c>
      <c r="B175" s="1133" t="s">
        <v>1284</v>
      </c>
      <c r="C175" s="1134" t="s">
        <v>1285</v>
      </c>
      <c r="D175" s="1135" t="s">
        <v>22</v>
      </c>
      <c r="E175" s="1135" t="s">
        <v>22</v>
      </c>
      <c r="F175" s="1135" t="s">
        <v>22</v>
      </c>
      <c r="G175" s="1134" t="s">
        <v>22</v>
      </c>
      <c r="H175" s="992" t="s">
        <v>517</v>
      </c>
      <c r="I175" s="375" t="s">
        <v>1287</v>
      </c>
      <c r="J175" s="1136" t="s">
        <v>903</v>
      </c>
      <c r="K175" s="1131">
        <v>0.45</v>
      </c>
      <c r="L175" s="1148" t="s">
        <v>22</v>
      </c>
      <c r="M175" s="1139">
        <v>40954</v>
      </c>
      <c r="N175" s="1130">
        <v>42219</v>
      </c>
      <c r="O175" s="1135" t="s">
        <v>22</v>
      </c>
      <c r="P175" s="1149">
        <v>2015</v>
      </c>
      <c r="Q175" s="1141">
        <v>644350</v>
      </c>
      <c r="R175" s="1150">
        <v>6057098507</v>
      </c>
      <c r="S175" s="1150" t="s">
        <v>151</v>
      </c>
      <c r="T175" s="1142" t="s">
        <v>140</v>
      </c>
      <c r="U175" s="1143" t="s">
        <v>140</v>
      </c>
      <c r="V175" s="1144">
        <v>1</v>
      </c>
      <c r="W175" s="1141">
        <v>6057098507</v>
      </c>
      <c r="X175" s="1145">
        <v>9400</v>
      </c>
      <c r="Y175" s="1166"/>
      <c r="Z175" s="1146" t="s">
        <v>140</v>
      </c>
      <c r="AA175" s="1147">
        <v>4230</v>
      </c>
      <c r="AB175" s="1135"/>
      <c r="AC175" s="1135"/>
      <c r="AD175" s="1134"/>
      <c r="AE175" s="1135"/>
      <c r="AF175" s="1135"/>
      <c r="AG175" s="1134"/>
      <c r="AH175" s="1135"/>
      <c r="AI175" s="1135"/>
      <c r="AJ175" s="1134"/>
      <c r="AK175" s="1134" t="s">
        <v>22</v>
      </c>
      <c r="AL175" s="1401" t="s">
        <v>22</v>
      </c>
    </row>
    <row r="176" spans="1:38" s="374" customFormat="1" ht="78" customHeight="1">
      <c r="A176" s="1133" t="s">
        <v>1288</v>
      </c>
      <c r="B176" s="1133" t="s">
        <v>1289</v>
      </c>
      <c r="C176" s="1134" t="s">
        <v>1290</v>
      </c>
      <c r="D176" s="1135" t="s">
        <v>22</v>
      </c>
      <c r="E176" s="1135" t="s">
        <v>22</v>
      </c>
      <c r="F176" s="1135" t="s">
        <v>22</v>
      </c>
      <c r="G176" s="1134" t="s">
        <v>22</v>
      </c>
      <c r="H176" s="992" t="s">
        <v>949</v>
      </c>
      <c r="I176" s="375" t="s">
        <v>1291</v>
      </c>
      <c r="J176" s="1136">
        <v>109</v>
      </c>
      <c r="K176" s="1131">
        <v>0.5</v>
      </c>
      <c r="L176" s="1148" t="s">
        <v>22</v>
      </c>
      <c r="M176" s="1139">
        <v>38338</v>
      </c>
      <c r="N176" s="1130">
        <v>40296</v>
      </c>
      <c r="O176" s="1135" t="s">
        <v>22</v>
      </c>
      <c r="P176" s="1149">
        <v>2010</v>
      </c>
      <c r="Q176" s="1141">
        <v>515000</v>
      </c>
      <c r="R176" s="1150">
        <v>5611007434</v>
      </c>
      <c r="S176" s="1150" t="s">
        <v>151</v>
      </c>
      <c r="T176" s="1142" t="s">
        <v>140</v>
      </c>
      <c r="U176" s="1143" t="s">
        <v>140</v>
      </c>
      <c r="V176" s="1144">
        <v>1</v>
      </c>
      <c r="W176" s="1141">
        <v>5611007434</v>
      </c>
      <c r="X176" s="1145">
        <v>10895</v>
      </c>
      <c r="Y176" s="1145">
        <v>10895.16</v>
      </c>
      <c r="Z176" s="1146">
        <v>1.4685419947979561E-5</v>
      </c>
      <c r="AA176" s="1147">
        <v>5448</v>
      </c>
      <c r="AB176" s="1135"/>
      <c r="AC176" s="1135"/>
      <c r="AD176" s="1134"/>
      <c r="AE176" s="1135">
        <v>81</v>
      </c>
      <c r="AF176" s="1135">
        <v>10</v>
      </c>
      <c r="AG176" s="1134">
        <v>15</v>
      </c>
      <c r="AH176" s="1135">
        <v>81</v>
      </c>
      <c r="AI176" s="1135">
        <v>10</v>
      </c>
      <c r="AJ176" s="1134">
        <v>22</v>
      </c>
      <c r="AK176" s="1134" t="s">
        <v>129</v>
      </c>
      <c r="AL176" s="1401" t="s">
        <v>22</v>
      </c>
    </row>
    <row r="177" spans="1:38" s="374" customFormat="1" ht="104.1" customHeight="1">
      <c r="A177" s="1133" t="s">
        <v>1288</v>
      </c>
      <c r="B177" s="1133" t="s">
        <v>1289</v>
      </c>
      <c r="C177" s="1134" t="s">
        <v>1290</v>
      </c>
      <c r="D177" s="1135" t="s">
        <v>22</v>
      </c>
      <c r="E177" s="1135" t="s">
        <v>22</v>
      </c>
      <c r="F177" s="1135" t="s">
        <v>22</v>
      </c>
      <c r="G177" s="1134" t="s">
        <v>22</v>
      </c>
      <c r="H177" s="992" t="s">
        <v>1292</v>
      </c>
      <c r="I177" s="375" t="s">
        <v>1293</v>
      </c>
      <c r="J177" s="1136">
        <v>182</v>
      </c>
      <c r="K177" s="1131">
        <v>1</v>
      </c>
      <c r="L177" s="1148" t="s">
        <v>22</v>
      </c>
      <c r="M177" s="1139">
        <v>40899</v>
      </c>
      <c r="N177" s="1130">
        <v>41446</v>
      </c>
      <c r="O177" s="1135" t="s">
        <v>22</v>
      </c>
      <c r="P177" s="1149">
        <v>2013</v>
      </c>
      <c r="Q177" s="1141">
        <v>589500</v>
      </c>
      <c r="R177" s="1150">
        <v>1588008215</v>
      </c>
      <c r="S177" s="1150" t="s">
        <v>151</v>
      </c>
      <c r="T177" s="1142" t="s">
        <v>140</v>
      </c>
      <c r="U177" s="1143" t="s">
        <v>140</v>
      </c>
      <c r="V177" s="1144">
        <v>1</v>
      </c>
      <c r="W177" s="1141">
        <v>1588008215</v>
      </c>
      <c r="X177" s="1145">
        <v>2694</v>
      </c>
      <c r="Y177" s="1145">
        <v>2693.82</v>
      </c>
      <c r="Z177" s="1146">
        <v>6.6819609327861684E-5</v>
      </c>
      <c r="AA177" s="1147">
        <v>2694</v>
      </c>
      <c r="AB177" s="1135">
        <v>80</v>
      </c>
      <c r="AC177" s="1135">
        <v>10</v>
      </c>
      <c r="AD177" s="1134">
        <v>16</v>
      </c>
      <c r="AE177" s="1135">
        <v>81</v>
      </c>
      <c r="AF177" s="1135">
        <v>10</v>
      </c>
      <c r="AG177" s="1134">
        <v>15</v>
      </c>
      <c r="AH177" s="1135">
        <v>81</v>
      </c>
      <c r="AI177" s="1135">
        <v>10</v>
      </c>
      <c r="AJ177" s="1134">
        <v>22</v>
      </c>
      <c r="AK177" s="1134" t="s">
        <v>129</v>
      </c>
      <c r="AL177" s="1401" t="s">
        <v>22</v>
      </c>
    </row>
    <row r="178" spans="1:38" s="374" customFormat="1" ht="51.95" customHeight="1">
      <c r="A178" s="1133" t="s">
        <v>1288</v>
      </c>
      <c r="B178" s="1133" t="s">
        <v>1289</v>
      </c>
      <c r="C178" s="1134" t="s">
        <v>1290</v>
      </c>
      <c r="D178" s="1135" t="s">
        <v>22</v>
      </c>
      <c r="E178" s="1135" t="s">
        <v>22</v>
      </c>
      <c r="F178" s="1135" t="s">
        <v>22</v>
      </c>
      <c r="G178" s="1134" t="s">
        <v>22</v>
      </c>
      <c r="H178" s="992" t="s">
        <v>427</v>
      </c>
      <c r="I178" s="375" t="s">
        <v>1294</v>
      </c>
      <c r="J178" s="1136">
        <v>38</v>
      </c>
      <c r="K178" s="1131">
        <v>1</v>
      </c>
      <c r="L178" s="1148" t="s">
        <v>22</v>
      </c>
      <c r="M178" s="1139">
        <v>40609</v>
      </c>
      <c r="N178" s="1130">
        <v>41440</v>
      </c>
      <c r="O178" s="1135" t="s">
        <v>22</v>
      </c>
      <c r="P178" s="1149">
        <v>2013</v>
      </c>
      <c r="Q178" s="1141">
        <v>589500</v>
      </c>
      <c r="R178" s="1150">
        <v>1749995913</v>
      </c>
      <c r="S178" s="1150" t="s">
        <v>151</v>
      </c>
      <c r="T178" s="1142" t="s">
        <v>140</v>
      </c>
      <c r="U178" s="1143" t="s">
        <v>140</v>
      </c>
      <c r="V178" s="1144">
        <v>1</v>
      </c>
      <c r="W178" s="1141">
        <v>1749995913</v>
      </c>
      <c r="X178" s="1145">
        <v>2969</v>
      </c>
      <c r="Y178" s="1145">
        <v>2968.61</v>
      </c>
      <c r="Z178" s="1146">
        <v>1.3137461640289061E-4</v>
      </c>
      <c r="AA178" s="1147">
        <v>2969</v>
      </c>
      <c r="AB178" s="1135">
        <v>80</v>
      </c>
      <c r="AC178" s="1135">
        <v>10</v>
      </c>
      <c r="AD178" s="1134">
        <v>16</v>
      </c>
      <c r="AE178" s="1135">
        <v>81</v>
      </c>
      <c r="AF178" s="1135">
        <v>10</v>
      </c>
      <c r="AG178" s="1134">
        <v>15</v>
      </c>
      <c r="AH178" s="1135">
        <v>81</v>
      </c>
      <c r="AI178" s="1135">
        <v>10</v>
      </c>
      <c r="AJ178" s="1134">
        <v>22</v>
      </c>
      <c r="AK178" s="1134" t="s">
        <v>129</v>
      </c>
      <c r="AL178" s="1401" t="s">
        <v>22</v>
      </c>
    </row>
    <row r="179" spans="1:38" s="374" customFormat="1" ht="78" customHeight="1">
      <c r="A179" s="1133" t="s">
        <v>1288</v>
      </c>
      <c r="B179" s="1133" t="s">
        <v>1289</v>
      </c>
      <c r="C179" s="1134" t="s">
        <v>1290</v>
      </c>
      <c r="D179" s="1135" t="s">
        <v>22</v>
      </c>
      <c r="E179" s="1135" t="s">
        <v>22</v>
      </c>
      <c r="F179" s="1135" t="s">
        <v>22</v>
      </c>
      <c r="G179" s="1134" t="s">
        <v>22</v>
      </c>
      <c r="H179" s="992" t="s">
        <v>448</v>
      </c>
      <c r="I179" s="375" t="s">
        <v>1295</v>
      </c>
      <c r="J179" s="1136">
        <v>180</v>
      </c>
      <c r="K179" s="1131">
        <v>1</v>
      </c>
      <c r="L179" s="1148" t="s">
        <v>22</v>
      </c>
      <c r="M179" s="1139">
        <v>39181</v>
      </c>
      <c r="N179" s="1130">
        <v>39950</v>
      </c>
      <c r="O179" s="1135" t="s">
        <v>22</v>
      </c>
      <c r="P179" s="1149">
        <v>2009</v>
      </c>
      <c r="Q179" s="1141">
        <v>496900</v>
      </c>
      <c r="R179" s="1150">
        <v>1219868640</v>
      </c>
      <c r="S179" s="1150" t="s">
        <v>151</v>
      </c>
      <c r="T179" s="1142" t="s">
        <v>140</v>
      </c>
      <c r="U179" s="1143" t="s">
        <v>140</v>
      </c>
      <c r="V179" s="1144">
        <v>1</v>
      </c>
      <c r="W179" s="1141">
        <v>1219868640</v>
      </c>
      <c r="X179" s="1145">
        <v>2455</v>
      </c>
      <c r="Y179" s="1145">
        <v>2454.9499999999998</v>
      </c>
      <c r="Z179" s="1146">
        <v>2.0367013584765559E-5</v>
      </c>
      <c r="AA179" s="1147">
        <v>2455</v>
      </c>
      <c r="AB179" s="1135">
        <v>80</v>
      </c>
      <c r="AC179" s="1135">
        <v>10</v>
      </c>
      <c r="AD179" s="1134">
        <v>16</v>
      </c>
      <c r="AE179" s="1135">
        <v>81</v>
      </c>
      <c r="AF179" s="1135">
        <v>10</v>
      </c>
      <c r="AG179" s="1134">
        <v>15</v>
      </c>
      <c r="AH179" s="1135">
        <v>81</v>
      </c>
      <c r="AI179" s="1135">
        <v>10</v>
      </c>
      <c r="AJ179" s="1134">
        <v>22</v>
      </c>
      <c r="AK179" s="1134" t="s">
        <v>129</v>
      </c>
      <c r="AL179" s="1401" t="s">
        <v>22</v>
      </c>
    </row>
    <row r="180" spans="1:38" s="374" customFormat="1" ht="78" customHeight="1">
      <c r="A180" s="1133" t="s">
        <v>1288</v>
      </c>
      <c r="B180" s="1133" t="s">
        <v>1296</v>
      </c>
      <c r="C180" s="1134" t="s">
        <v>1297</v>
      </c>
      <c r="D180" s="1135" t="s">
        <v>22</v>
      </c>
      <c r="E180" s="1135" t="s">
        <v>22</v>
      </c>
      <c r="F180" s="1135" t="s">
        <v>22</v>
      </c>
      <c r="G180" s="1134" t="s">
        <v>22</v>
      </c>
      <c r="H180" s="992" t="s">
        <v>1298</v>
      </c>
      <c r="I180" s="375" t="s">
        <v>1299</v>
      </c>
      <c r="J180" s="1136">
        <v>3</v>
      </c>
      <c r="K180" s="1131">
        <v>1</v>
      </c>
      <c r="L180" s="1148" t="s">
        <v>22</v>
      </c>
      <c r="M180" s="1139">
        <v>40778</v>
      </c>
      <c r="N180" s="1130">
        <v>41225</v>
      </c>
      <c r="O180" s="1135" t="s">
        <v>22</v>
      </c>
      <c r="P180" s="1149">
        <v>2012</v>
      </c>
      <c r="Q180" s="1141">
        <v>566700</v>
      </c>
      <c r="R180" s="1150">
        <v>1568703830</v>
      </c>
      <c r="S180" s="1150" t="s">
        <v>151</v>
      </c>
      <c r="T180" s="1142" t="s">
        <v>140</v>
      </c>
      <c r="U180" s="1143" t="s">
        <v>140</v>
      </c>
      <c r="V180" s="1144">
        <v>1</v>
      </c>
      <c r="W180" s="1141">
        <v>1568703830</v>
      </c>
      <c r="X180" s="1145">
        <v>2768</v>
      </c>
      <c r="Y180" s="1145">
        <v>2768.13</v>
      </c>
      <c r="Z180" s="1146">
        <v>4.6963112281583896E-5</v>
      </c>
      <c r="AA180" s="1147">
        <v>2768</v>
      </c>
      <c r="AB180" s="1135">
        <v>80</v>
      </c>
      <c r="AC180" s="1135">
        <v>10</v>
      </c>
      <c r="AD180" s="1134">
        <v>16</v>
      </c>
      <c r="AE180" s="1135">
        <v>81</v>
      </c>
      <c r="AF180" s="1135">
        <v>10</v>
      </c>
      <c r="AG180" s="1134">
        <v>15</v>
      </c>
      <c r="AH180" s="1135">
        <v>81</v>
      </c>
      <c r="AI180" s="1135">
        <v>10</v>
      </c>
      <c r="AJ180" s="1134">
        <v>22</v>
      </c>
      <c r="AK180" s="1134" t="s">
        <v>129</v>
      </c>
      <c r="AL180" s="1401" t="s">
        <v>22</v>
      </c>
    </row>
    <row r="181" spans="1:38" s="374" customFormat="1" ht="51.95" customHeight="1">
      <c r="A181" s="1133" t="s">
        <v>1288</v>
      </c>
      <c r="B181" s="1133" t="s">
        <v>1296</v>
      </c>
      <c r="C181" s="1134" t="s">
        <v>1297</v>
      </c>
      <c r="D181" s="1135" t="s">
        <v>22</v>
      </c>
      <c r="E181" s="1135" t="s">
        <v>22</v>
      </c>
      <c r="F181" s="1135" t="s">
        <v>22</v>
      </c>
      <c r="G181" s="1134" t="s">
        <v>22</v>
      </c>
      <c r="H181" s="992" t="s">
        <v>433</v>
      </c>
      <c r="I181" s="375" t="s">
        <v>1300</v>
      </c>
      <c r="J181" s="1136" t="s">
        <v>903</v>
      </c>
      <c r="K181" s="1137">
        <v>0.5</v>
      </c>
      <c r="L181" s="1138" t="s">
        <v>22</v>
      </c>
      <c r="M181" s="1139">
        <v>37288</v>
      </c>
      <c r="N181" s="1130">
        <v>42136</v>
      </c>
      <c r="O181" s="1135" t="s">
        <v>22</v>
      </c>
      <c r="P181" s="1140">
        <v>2015</v>
      </c>
      <c r="Q181" s="1141">
        <v>644350</v>
      </c>
      <c r="R181" s="1141">
        <v>10251750257</v>
      </c>
      <c r="S181" s="1141" t="s">
        <v>151</v>
      </c>
      <c r="T181" s="1142" t="s">
        <v>140</v>
      </c>
      <c r="U181" s="1143" t="s">
        <v>140</v>
      </c>
      <c r="V181" s="1144">
        <v>1</v>
      </c>
      <c r="W181" s="1141">
        <v>10251750257</v>
      </c>
      <c r="X181" s="1145">
        <v>15910</v>
      </c>
      <c r="Y181" s="1170">
        <v>15910.22</v>
      </c>
      <c r="Z181" s="1146">
        <v>1.3827590064741102E-5</v>
      </c>
      <c r="AA181" s="1147">
        <v>7955</v>
      </c>
      <c r="AB181" s="1136"/>
      <c r="AC181" s="1179"/>
      <c r="AD181" s="1180"/>
      <c r="AE181" s="1136"/>
      <c r="AF181" s="1179"/>
      <c r="AG181" s="1180"/>
      <c r="AH181" s="1136"/>
      <c r="AI181" s="1179"/>
      <c r="AJ181" s="1180"/>
      <c r="AK181" s="1181" t="s">
        <v>22</v>
      </c>
      <c r="AL181" s="1401" t="s">
        <v>22</v>
      </c>
    </row>
    <row r="182" spans="1:38" s="374" customFormat="1" ht="104.1" customHeight="1">
      <c r="A182" s="1133" t="s">
        <v>1301</v>
      </c>
      <c r="B182" s="1133" t="s">
        <v>1302</v>
      </c>
      <c r="C182" s="1134" t="s">
        <v>1303</v>
      </c>
      <c r="D182" s="1135" t="s">
        <v>22</v>
      </c>
      <c r="E182" s="1135" t="s">
        <v>22</v>
      </c>
      <c r="F182" s="1135" t="s">
        <v>22</v>
      </c>
      <c r="G182" s="1134" t="s">
        <v>22</v>
      </c>
      <c r="H182" s="992" t="s">
        <v>1304</v>
      </c>
      <c r="I182" s="375" t="s">
        <v>1305</v>
      </c>
      <c r="J182" s="1136" t="s">
        <v>909</v>
      </c>
      <c r="K182" s="1131">
        <v>1</v>
      </c>
      <c r="L182" s="1148" t="s">
        <v>22</v>
      </c>
      <c r="M182" s="1139">
        <v>38733</v>
      </c>
      <c r="N182" s="1130">
        <v>39254</v>
      </c>
      <c r="O182" s="1135" t="s">
        <v>22</v>
      </c>
      <c r="P182" s="1149">
        <v>2007</v>
      </c>
      <c r="Q182" s="1141">
        <v>433700</v>
      </c>
      <c r="R182" s="1150">
        <v>465430.5</v>
      </c>
      <c r="S182" s="1150" t="s">
        <v>142</v>
      </c>
      <c r="T182" s="1142">
        <v>1.3425</v>
      </c>
      <c r="U182" s="1143">
        <v>624840.44625000004</v>
      </c>
      <c r="V182" s="1144">
        <v>1905.13</v>
      </c>
      <c r="W182" s="1141">
        <v>1190402279.3642626</v>
      </c>
      <c r="X182" s="1145">
        <v>2745</v>
      </c>
      <c r="Y182" s="1166"/>
      <c r="Z182" s="1146" t="s">
        <v>140</v>
      </c>
      <c r="AA182" s="1147">
        <v>2745</v>
      </c>
      <c r="AB182" s="1135"/>
      <c r="AC182" s="1135"/>
      <c r="AD182" s="1134"/>
      <c r="AE182" s="1135"/>
      <c r="AF182" s="1135"/>
      <c r="AG182" s="1134"/>
      <c r="AH182" s="1135"/>
      <c r="AI182" s="1135"/>
      <c r="AJ182" s="1134"/>
      <c r="AK182" s="1134" t="s">
        <v>22</v>
      </c>
      <c r="AL182" s="1401" t="s">
        <v>22</v>
      </c>
    </row>
    <row r="183" spans="1:38" s="374" customFormat="1" ht="143.1" customHeight="1">
      <c r="A183" s="1133" t="s">
        <v>1301</v>
      </c>
      <c r="B183" s="1133" t="s">
        <v>1302</v>
      </c>
      <c r="C183" s="1134" t="s">
        <v>1303</v>
      </c>
      <c r="D183" s="1135" t="s">
        <v>22</v>
      </c>
      <c r="E183" s="1135" t="s">
        <v>22</v>
      </c>
      <c r="F183" s="1135" t="s">
        <v>22</v>
      </c>
      <c r="G183" s="1134" t="s">
        <v>22</v>
      </c>
      <c r="H183" s="992" t="s">
        <v>1304</v>
      </c>
      <c r="I183" s="375" t="s">
        <v>1306</v>
      </c>
      <c r="J183" s="1136" t="s">
        <v>909</v>
      </c>
      <c r="K183" s="1131">
        <v>1</v>
      </c>
      <c r="L183" s="1148" t="s">
        <v>22</v>
      </c>
      <c r="M183" s="1139">
        <v>39839</v>
      </c>
      <c r="N183" s="1130">
        <v>40339</v>
      </c>
      <c r="O183" s="1135" t="s">
        <v>22</v>
      </c>
      <c r="P183" s="1149">
        <v>2010</v>
      </c>
      <c r="Q183" s="1141">
        <v>515000</v>
      </c>
      <c r="R183" s="1150">
        <v>864969.84</v>
      </c>
      <c r="S183" s="1150" t="s">
        <v>142</v>
      </c>
      <c r="T183" s="1142">
        <v>1.1989000000000001</v>
      </c>
      <c r="U183" s="1143">
        <v>1037012.3411760001</v>
      </c>
      <c r="V183" s="1144">
        <v>1943.41</v>
      </c>
      <c r="W183" s="1141">
        <v>2015340153.9648504</v>
      </c>
      <c r="X183" s="1145">
        <v>3913</v>
      </c>
      <c r="Y183" s="1166"/>
      <c r="Z183" s="1146" t="s">
        <v>140</v>
      </c>
      <c r="AA183" s="1147">
        <v>3913</v>
      </c>
      <c r="AB183" s="1135"/>
      <c r="AC183" s="1135"/>
      <c r="AD183" s="1134"/>
      <c r="AE183" s="1135"/>
      <c r="AF183" s="1135"/>
      <c r="AG183" s="1134"/>
      <c r="AH183" s="1135"/>
      <c r="AI183" s="1135"/>
      <c r="AJ183" s="1134"/>
      <c r="AK183" s="1134" t="s">
        <v>22</v>
      </c>
      <c r="AL183" s="1401" t="s">
        <v>22</v>
      </c>
    </row>
    <row r="184" spans="1:38" s="374" customFormat="1" ht="78" customHeight="1">
      <c r="A184" s="1133" t="s">
        <v>1301</v>
      </c>
      <c r="B184" s="1133" t="s">
        <v>1302</v>
      </c>
      <c r="C184" s="1134" t="s">
        <v>1303</v>
      </c>
      <c r="D184" s="1135" t="s">
        <v>22</v>
      </c>
      <c r="E184" s="1135" t="s">
        <v>22</v>
      </c>
      <c r="F184" s="1135" t="s">
        <v>22</v>
      </c>
      <c r="G184" s="1134" t="s">
        <v>22</v>
      </c>
      <c r="H184" s="992" t="s">
        <v>1304</v>
      </c>
      <c r="I184" s="375" t="s">
        <v>1307</v>
      </c>
      <c r="J184" s="1136" t="s">
        <v>909</v>
      </c>
      <c r="K184" s="1131">
        <v>1</v>
      </c>
      <c r="L184" s="1148" t="s">
        <v>22</v>
      </c>
      <c r="M184" s="1139">
        <v>40400</v>
      </c>
      <c r="N184" s="1130">
        <v>40753</v>
      </c>
      <c r="O184" s="1135" t="s">
        <v>22</v>
      </c>
      <c r="P184" s="1149">
        <v>2011</v>
      </c>
      <c r="Q184" s="1141">
        <v>535600</v>
      </c>
      <c r="R184" s="1150">
        <v>655152.30000000005</v>
      </c>
      <c r="S184" s="1150" t="s">
        <v>142</v>
      </c>
      <c r="T184" s="1142">
        <v>1.4332</v>
      </c>
      <c r="U184" s="1143">
        <v>938964.27636000013</v>
      </c>
      <c r="V184" s="1144">
        <v>1771.15</v>
      </c>
      <c r="W184" s="1141">
        <v>1663046578.0750144</v>
      </c>
      <c r="X184" s="1145">
        <v>3105</v>
      </c>
      <c r="Y184" s="1166"/>
      <c r="Z184" s="1146" t="s">
        <v>140</v>
      </c>
      <c r="AA184" s="1147">
        <v>3105</v>
      </c>
      <c r="AB184" s="1135"/>
      <c r="AC184" s="1135"/>
      <c r="AD184" s="1134"/>
      <c r="AE184" s="1135"/>
      <c r="AF184" s="1135"/>
      <c r="AG184" s="1134"/>
      <c r="AH184" s="1135"/>
      <c r="AI184" s="1135"/>
      <c r="AJ184" s="1134"/>
      <c r="AK184" s="1134" t="s">
        <v>22</v>
      </c>
      <c r="AL184" s="1401" t="s">
        <v>22</v>
      </c>
    </row>
    <row r="185" spans="1:38" s="374" customFormat="1" ht="90.95" customHeight="1">
      <c r="A185" s="1133" t="s">
        <v>1301</v>
      </c>
      <c r="B185" s="1133" t="s">
        <v>1302</v>
      </c>
      <c r="C185" s="1134" t="s">
        <v>1303</v>
      </c>
      <c r="D185" s="1135" t="s">
        <v>22</v>
      </c>
      <c r="E185" s="1135" t="s">
        <v>22</v>
      </c>
      <c r="F185" s="1135" t="s">
        <v>22</v>
      </c>
      <c r="G185" s="1134" t="s">
        <v>22</v>
      </c>
      <c r="H185" s="992" t="s">
        <v>1304</v>
      </c>
      <c r="I185" s="375" t="s">
        <v>1308</v>
      </c>
      <c r="J185" s="1136" t="s">
        <v>909</v>
      </c>
      <c r="K185" s="1131">
        <v>1</v>
      </c>
      <c r="L185" s="1148" t="s">
        <v>22</v>
      </c>
      <c r="M185" s="1139">
        <v>37572</v>
      </c>
      <c r="N185" s="1130">
        <v>38330</v>
      </c>
      <c r="O185" s="1135" t="s">
        <v>22</v>
      </c>
      <c r="P185" s="1149">
        <v>2004</v>
      </c>
      <c r="Q185" s="1141">
        <v>358000</v>
      </c>
      <c r="R185" s="1150">
        <v>610050.4</v>
      </c>
      <c r="S185" s="1150" t="s">
        <v>142</v>
      </c>
      <c r="T185" s="1142">
        <v>1.3329</v>
      </c>
      <c r="U185" s="1143">
        <v>813136.17816000001</v>
      </c>
      <c r="V185" s="1144">
        <v>2455.12</v>
      </c>
      <c r="W185" s="1141">
        <v>1996346893.724179</v>
      </c>
      <c r="X185" s="1145">
        <v>5576</v>
      </c>
      <c r="Y185" s="1166"/>
      <c r="Z185" s="1146" t="s">
        <v>140</v>
      </c>
      <c r="AA185" s="1147">
        <v>5576</v>
      </c>
      <c r="AB185" s="1135"/>
      <c r="AC185" s="1135"/>
      <c r="AD185" s="1134"/>
      <c r="AE185" s="1135"/>
      <c r="AF185" s="1135"/>
      <c r="AG185" s="1134"/>
      <c r="AH185" s="1135"/>
      <c r="AI185" s="1135"/>
      <c r="AJ185" s="1134"/>
      <c r="AK185" s="1134" t="s">
        <v>22</v>
      </c>
      <c r="AL185" s="1401" t="s">
        <v>22</v>
      </c>
    </row>
    <row r="186" spans="1:38" s="374" customFormat="1" ht="51.95" customHeight="1">
      <c r="A186" s="1133" t="s">
        <v>1301</v>
      </c>
      <c r="B186" s="1133" t="s">
        <v>1309</v>
      </c>
      <c r="C186" s="1134" t="s">
        <v>146</v>
      </c>
      <c r="D186" s="1135" t="s">
        <v>22</v>
      </c>
      <c r="E186" s="1135" t="s">
        <v>22</v>
      </c>
      <c r="F186" s="1135" t="s">
        <v>22</v>
      </c>
      <c r="G186" s="1134" t="s">
        <v>22</v>
      </c>
      <c r="H186" s="375" t="s">
        <v>517</v>
      </c>
      <c r="I186" s="375" t="s">
        <v>1310</v>
      </c>
      <c r="J186" s="1136" t="s">
        <v>903</v>
      </c>
      <c r="K186" s="1169">
        <v>0.6</v>
      </c>
      <c r="L186" s="1417" t="s">
        <v>22</v>
      </c>
      <c r="M186" s="1139">
        <v>41649</v>
      </c>
      <c r="N186" s="1130">
        <v>42151</v>
      </c>
      <c r="O186" s="1135" t="s">
        <v>22</v>
      </c>
      <c r="P186" s="1149">
        <v>2015</v>
      </c>
      <c r="Q186" s="1141">
        <v>644350</v>
      </c>
      <c r="R186" s="1150">
        <v>4710651972</v>
      </c>
      <c r="S186" s="1150" t="s">
        <v>151</v>
      </c>
      <c r="T186" s="1142" t="s">
        <v>140</v>
      </c>
      <c r="U186" s="1143" t="s">
        <v>140</v>
      </c>
      <c r="V186" s="1144">
        <v>1</v>
      </c>
      <c r="W186" s="1141">
        <v>4710651972</v>
      </c>
      <c r="X186" s="1145">
        <v>7311</v>
      </c>
      <c r="Y186" s="1145"/>
      <c r="Z186" s="1146" t="s">
        <v>140</v>
      </c>
      <c r="AA186" s="1147">
        <v>4387</v>
      </c>
      <c r="AB186" s="1135"/>
      <c r="AC186" s="1135"/>
      <c r="AD186" s="1134"/>
      <c r="AE186" s="1135"/>
      <c r="AF186" s="1135"/>
      <c r="AG186" s="1134"/>
      <c r="AH186" s="1135"/>
      <c r="AI186" s="1135"/>
      <c r="AJ186" s="1134"/>
      <c r="AK186" s="1134" t="s">
        <v>22</v>
      </c>
      <c r="AL186" s="1401" t="s">
        <v>22</v>
      </c>
    </row>
    <row r="187" spans="1:38" s="374" customFormat="1" ht="65.099999999999994" customHeight="1">
      <c r="A187" s="1133" t="s">
        <v>1301</v>
      </c>
      <c r="B187" s="1133" t="s">
        <v>1309</v>
      </c>
      <c r="C187" s="1134" t="s">
        <v>146</v>
      </c>
      <c r="D187" s="1135" t="s">
        <v>22</v>
      </c>
      <c r="E187" s="1135" t="s">
        <v>22</v>
      </c>
      <c r="F187" s="1135" t="s">
        <v>22</v>
      </c>
      <c r="G187" s="1134" t="s">
        <v>22</v>
      </c>
      <c r="H187" s="388" t="s">
        <v>207</v>
      </c>
      <c r="I187" s="389" t="s">
        <v>1311</v>
      </c>
      <c r="J187" s="381">
        <v>7</v>
      </c>
      <c r="K187" s="390">
        <v>0.55000000000000004</v>
      </c>
      <c r="L187" s="1417" t="s">
        <v>22</v>
      </c>
      <c r="M187" s="391">
        <v>39860</v>
      </c>
      <c r="N187" s="392">
        <v>41213</v>
      </c>
      <c r="O187" s="1135" t="s">
        <v>22</v>
      </c>
      <c r="P187" s="1149">
        <v>2012</v>
      </c>
      <c r="Q187" s="1141">
        <v>566700</v>
      </c>
      <c r="R187" s="393">
        <v>8291206645</v>
      </c>
      <c r="S187" s="1150" t="s">
        <v>151</v>
      </c>
      <c r="T187" s="1142" t="s">
        <v>140</v>
      </c>
      <c r="U187" s="1143" t="s">
        <v>140</v>
      </c>
      <c r="V187" s="1144">
        <v>1</v>
      </c>
      <c r="W187" s="1141">
        <v>8291206645</v>
      </c>
      <c r="X187" s="1145">
        <v>14631</v>
      </c>
      <c r="Y187" s="394">
        <v>14630.68</v>
      </c>
      <c r="Z187" s="1146">
        <v>2.1871847378118758E-5</v>
      </c>
      <c r="AA187" s="1147">
        <v>8047</v>
      </c>
      <c r="AB187" s="1135">
        <v>80</v>
      </c>
      <c r="AC187" s="1135">
        <v>10</v>
      </c>
      <c r="AD187" s="1134">
        <v>16</v>
      </c>
      <c r="AE187" s="1154">
        <v>81</v>
      </c>
      <c r="AF187" s="1154">
        <v>10</v>
      </c>
      <c r="AG187" s="1155">
        <v>15</v>
      </c>
      <c r="AH187" s="1135">
        <v>81</v>
      </c>
      <c r="AI187" s="1135">
        <v>10</v>
      </c>
      <c r="AJ187" s="1134">
        <v>22</v>
      </c>
      <c r="AK187" s="1134" t="s">
        <v>129</v>
      </c>
      <c r="AL187" s="1401" t="s">
        <v>22</v>
      </c>
    </row>
    <row r="188" spans="1:38" s="374" customFormat="1" ht="114">
      <c r="A188" s="1133" t="s">
        <v>1312</v>
      </c>
      <c r="B188" s="1133" t="s">
        <v>1313</v>
      </c>
      <c r="C188" s="1134" t="s">
        <v>1314</v>
      </c>
      <c r="D188" s="1135" t="s">
        <v>22</v>
      </c>
      <c r="E188" s="1135" t="s">
        <v>22</v>
      </c>
      <c r="F188" s="1135" t="s">
        <v>22</v>
      </c>
      <c r="G188" s="1134" t="s">
        <v>22</v>
      </c>
      <c r="H188" s="992" t="s">
        <v>442</v>
      </c>
      <c r="I188" s="375" t="s">
        <v>1315</v>
      </c>
      <c r="J188" s="1136">
        <v>25</v>
      </c>
      <c r="K188" s="1131">
        <v>0.75</v>
      </c>
      <c r="L188" s="1148" t="s">
        <v>22</v>
      </c>
      <c r="M188" s="1139">
        <v>38177</v>
      </c>
      <c r="N188" s="1130">
        <v>39760</v>
      </c>
      <c r="O188" s="1135" t="s">
        <v>22</v>
      </c>
      <c r="P188" s="1149">
        <v>2008</v>
      </c>
      <c r="Q188" s="1141">
        <v>461500</v>
      </c>
      <c r="R188" s="1150">
        <v>2364531867</v>
      </c>
      <c r="S188" s="1150" t="s">
        <v>151</v>
      </c>
      <c r="T188" s="1142" t="s">
        <v>140</v>
      </c>
      <c r="U188" s="1143" t="s">
        <v>140</v>
      </c>
      <c r="V188" s="1144">
        <v>1</v>
      </c>
      <c r="W188" s="1141">
        <v>2364531867</v>
      </c>
      <c r="X188" s="1145">
        <v>5124</v>
      </c>
      <c r="Y188" s="1145">
        <v>4959.6000000000004</v>
      </c>
      <c r="Z188" s="1146">
        <v>3.3147834502782469E-2</v>
      </c>
      <c r="AA188" s="1147">
        <v>3843</v>
      </c>
      <c r="AB188" s="1135">
        <v>80</v>
      </c>
      <c r="AC188" s="1135">
        <v>10</v>
      </c>
      <c r="AD188" s="1134">
        <v>16</v>
      </c>
      <c r="AE188" s="1135">
        <v>81</v>
      </c>
      <c r="AF188" s="1135">
        <v>10</v>
      </c>
      <c r="AG188" s="1134">
        <v>15</v>
      </c>
      <c r="AH188" s="1135">
        <v>81</v>
      </c>
      <c r="AI188" s="1135">
        <v>10</v>
      </c>
      <c r="AJ188" s="1134">
        <v>22</v>
      </c>
      <c r="AK188" s="1134" t="s">
        <v>129</v>
      </c>
      <c r="AL188" s="1401" t="s">
        <v>22</v>
      </c>
    </row>
    <row r="189" spans="1:38" s="374" customFormat="1" ht="78" customHeight="1">
      <c r="A189" s="1133" t="s">
        <v>1312</v>
      </c>
      <c r="B189" s="1133" t="s">
        <v>1313</v>
      </c>
      <c r="C189" s="1134" t="s">
        <v>1314</v>
      </c>
      <c r="D189" s="1135" t="s">
        <v>22</v>
      </c>
      <c r="E189" s="1135" t="s">
        <v>22</v>
      </c>
      <c r="F189" s="1135" t="s">
        <v>22</v>
      </c>
      <c r="G189" s="1134" t="s">
        <v>22</v>
      </c>
      <c r="H189" s="992" t="s">
        <v>442</v>
      </c>
      <c r="I189" s="375" t="s">
        <v>1316</v>
      </c>
      <c r="J189" s="1136">
        <v>26</v>
      </c>
      <c r="K189" s="1131">
        <v>0.75</v>
      </c>
      <c r="L189" s="1148" t="s">
        <v>22</v>
      </c>
      <c r="M189" s="1139">
        <v>38374</v>
      </c>
      <c r="N189" s="1130">
        <v>39512</v>
      </c>
      <c r="O189" s="1135" t="s">
        <v>22</v>
      </c>
      <c r="P189" s="1149">
        <v>2008</v>
      </c>
      <c r="Q189" s="1141">
        <v>461500</v>
      </c>
      <c r="R189" s="1150">
        <v>4505935152</v>
      </c>
      <c r="S189" s="1150" t="s">
        <v>151</v>
      </c>
      <c r="T189" s="1142" t="s">
        <v>140</v>
      </c>
      <c r="U189" s="1143" t="s">
        <v>140</v>
      </c>
      <c r="V189" s="1144">
        <v>1</v>
      </c>
      <c r="W189" s="1141">
        <v>4505935152</v>
      </c>
      <c r="X189" s="1145">
        <v>9764</v>
      </c>
      <c r="Y189" s="1145">
        <v>9763.67</v>
      </c>
      <c r="Z189" s="1146">
        <v>3.379876624265421E-5</v>
      </c>
      <c r="AA189" s="1147">
        <v>7323</v>
      </c>
      <c r="AB189" s="1135">
        <v>80</v>
      </c>
      <c r="AC189" s="1135">
        <v>10</v>
      </c>
      <c r="AD189" s="1134">
        <v>16</v>
      </c>
      <c r="AE189" s="1135">
        <v>81</v>
      </c>
      <c r="AF189" s="1135">
        <v>10</v>
      </c>
      <c r="AG189" s="1134">
        <v>15</v>
      </c>
      <c r="AH189" s="1135">
        <v>81</v>
      </c>
      <c r="AI189" s="1135">
        <v>10</v>
      </c>
      <c r="AJ189" s="1134">
        <v>22</v>
      </c>
      <c r="AK189" s="1134" t="s">
        <v>129</v>
      </c>
      <c r="AL189" s="1401" t="s">
        <v>22</v>
      </c>
    </row>
    <row r="190" spans="1:38" s="374" customFormat="1" ht="85.5">
      <c r="A190" s="1133" t="s">
        <v>1312</v>
      </c>
      <c r="B190" s="1133" t="s">
        <v>1313</v>
      </c>
      <c r="C190" s="1134" t="s">
        <v>1314</v>
      </c>
      <c r="D190" s="1135" t="s">
        <v>22</v>
      </c>
      <c r="E190" s="1135" t="s">
        <v>22</v>
      </c>
      <c r="F190" s="1135" t="s">
        <v>22</v>
      </c>
      <c r="G190" s="1134" t="s">
        <v>22</v>
      </c>
      <c r="H190" s="992" t="s">
        <v>493</v>
      </c>
      <c r="I190" s="375" t="s">
        <v>1317</v>
      </c>
      <c r="J190" s="1136">
        <v>14</v>
      </c>
      <c r="K190" s="1131">
        <v>1</v>
      </c>
      <c r="L190" s="1148" t="s">
        <v>22</v>
      </c>
      <c r="M190" s="1139">
        <v>38337</v>
      </c>
      <c r="N190" s="1130">
        <v>39401</v>
      </c>
      <c r="O190" s="1135" t="s">
        <v>22</v>
      </c>
      <c r="P190" s="1149">
        <v>2007</v>
      </c>
      <c r="Q190" s="1141">
        <v>433700</v>
      </c>
      <c r="R190" s="1150">
        <v>2544987926</v>
      </c>
      <c r="S190" s="1150" t="s">
        <v>151</v>
      </c>
      <c r="T190" s="1142" t="s">
        <v>140</v>
      </c>
      <c r="U190" s="1143" t="s">
        <v>140</v>
      </c>
      <c r="V190" s="1144">
        <v>1</v>
      </c>
      <c r="W190" s="1141">
        <v>2544987926</v>
      </c>
      <c r="X190" s="1145">
        <v>5868</v>
      </c>
      <c r="Y190" s="1145">
        <v>5868.08</v>
      </c>
      <c r="Z190" s="1146">
        <v>1.3633079303576601E-5</v>
      </c>
      <c r="AA190" s="1147">
        <v>5868</v>
      </c>
      <c r="AB190" s="1135"/>
      <c r="AC190" s="1135"/>
      <c r="AD190" s="1134"/>
      <c r="AE190" s="1135">
        <v>81</v>
      </c>
      <c r="AF190" s="1135">
        <v>10</v>
      </c>
      <c r="AG190" s="1134">
        <v>15</v>
      </c>
      <c r="AH190" s="1135">
        <v>81</v>
      </c>
      <c r="AI190" s="1135">
        <v>10</v>
      </c>
      <c r="AJ190" s="1134">
        <v>22</v>
      </c>
      <c r="AK190" s="1134" t="s">
        <v>129</v>
      </c>
      <c r="AL190" s="1401" t="s">
        <v>22</v>
      </c>
    </row>
    <row r="191" spans="1:38" s="374" customFormat="1" ht="117" customHeight="1">
      <c r="A191" s="1133" t="s">
        <v>1312</v>
      </c>
      <c r="B191" s="1133" t="s">
        <v>1313</v>
      </c>
      <c r="C191" s="1134" t="s">
        <v>1314</v>
      </c>
      <c r="D191" s="1135" t="s">
        <v>22</v>
      </c>
      <c r="E191" s="1135" t="s">
        <v>22</v>
      </c>
      <c r="F191" s="1135" t="s">
        <v>22</v>
      </c>
      <c r="G191" s="1134" t="s">
        <v>22</v>
      </c>
      <c r="H191" s="992" t="s">
        <v>448</v>
      </c>
      <c r="I191" s="375" t="s">
        <v>287</v>
      </c>
      <c r="J191" s="1136">
        <v>37</v>
      </c>
      <c r="K191" s="1131">
        <v>0.5</v>
      </c>
      <c r="L191" s="1148" t="s">
        <v>22</v>
      </c>
      <c r="M191" s="1139">
        <v>38034</v>
      </c>
      <c r="N191" s="1130">
        <v>40770</v>
      </c>
      <c r="O191" s="1135" t="s">
        <v>22</v>
      </c>
      <c r="P191" s="1149">
        <v>2011</v>
      </c>
      <c r="Q191" s="1141">
        <v>535600</v>
      </c>
      <c r="R191" s="1150">
        <v>9131630030</v>
      </c>
      <c r="S191" s="1150" t="s">
        <v>151</v>
      </c>
      <c r="T191" s="1142" t="s">
        <v>140</v>
      </c>
      <c r="U191" s="1143" t="s">
        <v>140</v>
      </c>
      <c r="V191" s="1144">
        <v>1</v>
      </c>
      <c r="W191" s="1141">
        <v>9131630030</v>
      </c>
      <c r="X191" s="1145">
        <v>17049</v>
      </c>
      <c r="Y191" s="1145">
        <v>17049.350999999999</v>
      </c>
      <c r="Z191" s="1146">
        <v>2.0587293909191118E-5</v>
      </c>
      <c r="AA191" s="1147">
        <v>8525</v>
      </c>
      <c r="AB191" s="1135">
        <v>80</v>
      </c>
      <c r="AC191" s="1135">
        <v>10</v>
      </c>
      <c r="AD191" s="1134">
        <v>16</v>
      </c>
      <c r="AE191" s="1135">
        <v>81</v>
      </c>
      <c r="AF191" s="1135">
        <v>10</v>
      </c>
      <c r="AG191" s="1134">
        <v>15</v>
      </c>
      <c r="AH191" s="1135">
        <v>81</v>
      </c>
      <c r="AI191" s="1135">
        <v>10</v>
      </c>
      <c r="AJ191" s="1134">
        <v>22</v>
      </c>
      <c r="AK191" s="1134" t="s">
        <v>129</v>
      </c>
      <c r="AL191" s="1401" t="s">
        <v>22</v>
      </c>
    </row>
    <row r="192" spans="1:38" s="374" customFormat="1" ht="104.1" customHeight="1">
      <c r="A192" s="1133" t="s">
        <v>1312</v>
      </c>
      <c r="B192" s="1133" t="s">
        <v>1313</v>
      </c>
      <c r="C192" s="1134" t="s">
        <v>1314</v>
      </c>
      <c r="D192" s="1135" t="s">
        <v>22</v>
      </c>
      <c r="E192" s="1135" t="s">
        <v>22</v>
      </c>
      <c r="F192" s="1135" t="s">
        <v>22</v>
      </c>
      <c r="G192" s="1134" t="s">
        <v>22</v>
      </c>
      <c r="H192" s="992" t="s">
        <v>1318</v>
      </c>
      <c r="I192" s="375" t="s">
        <v>1319</v>
      </c>
      <c r="J192" s="1136">
        <v>46</v>
      </c>
      <c r="K192" s="1131">
        <v>0.5</v>
      </c>
      <c r="L192" s="1148" t="s">
        <v>22</v>
      </c>
      <c r="M192" s="1139">
        <v>40329</v>
      </c>
      <c r="N192" s="1130">
        <v>41076</v>
      </c>
      <c r="O192" s="1135" t="s">
        <v>22</v>
      </c>
      <c r="P192" s="1149">
        <v>2012</v>
      </c>
      <c r="Q192" s="1141">
        <v>566700</v>
      </c>
      <c r="R192" s="1150">
        <v>4660189234</v>
      </c>
      <c r="S192" s="1150" t="s">
        <v>151</v>
      </c>
      <c r="T192" s="1142" t="s">
        <v>140</v>
      </c>
      <c r="U192" s="1143" t="s">
        <v>140</v>
      </c>
      <c r="V192" s="1144">
        <v>1</v>
      </c>
      <c r="W192" s="1141">
        <v>4660189234</v>
      </c>
      <c r="X192" s="1145">
        <v>8223</v>
      </c>
      <c r="Y192" s="1145">
        <v>8223.3799999999992</v>
      </c>
      <c r="Z192" s="1146">
        <v>4.6209709389510856E-5</v>
      </c>
      <c r="AA192" s="1147">
        <v>4112</v>
      </c>
      <c r="AB192" s="1135"/>
      <c r="AC192" s="1135"/>
      <c r="AD192" s="1134"/>
      <c r="AE192" s="1135">
        <v>81</v>
      </c>
      <c r="AF192" s="1135">
        <v>10</v>
      </c>
      <c r="AG192" s="1134">
        <v>15</v>
      </c>
      <c r="AH192" s="1135">
        <v>81</v>
      </c>
      <c r="AI192" s="1135">
        <v>10</v>
      </c>
      <c r="AJ192" s="1134">
        <v>22</v>
      </c>
      <c r="AK192" s="1134" t="s">
        <v>129</v>
      </c>
      <c r="AL192" s="1401" t="s">
        <v>22</v>
      </c>
    </row>
    <row r="193" spans="1:38" s="374" customFormat="1" ht="51.95" customHeight="1">
      <c r="A193" s="1133" t="s">
        <v>1312</v>
      </c>
      <c r="B193" s="1133" t="s">
        <v>1320</v>
      </c>
      <c r="C193" s="1134" t="s">
        <v>1321</v>
      </c>
      <c r="D193" s="1135" t="s">
        <v>22</v>
      </c>
      <c r="E193" s="1135" t="s">
        <v>22</v>
      </c>
      <c r="F193" s="1135" t="s">
        <v>22</v>
      </c>
      <c r="G193" s="1134" t="s">
        <v>22</v>
      </c>
      <c r="H193" s="992" t="s">
        <v>493</v>
      </c>
      <c r="I193" s="375" t="s">
        <v>1322</v>
      </c>
      <c r="J193" s="1136" t="s">
        <v>903</v>
      </c>
      <c r="K193" s="1131">
        <v>0.4</v>
      </c>
      <c r="L193" s="1148" t="s">
        <v>22</v>
      </c>
      <c r="M193" s="1139">
        <v>41109</v>
      </c>
      <c r="N193" s="1130">
        <v>42072</v>
      </c>
      <c r="O193" s="1135" t="s">
        <v>22</v>
      </c>
      <c r="P193" s="1149">
        <v>2015</v>
      </c>
      <c r="Q193" s="1141">
        <v>644350</v>
      </c>
      <c r="R193" s="1150">
        <v>5281678857</v>
      </c>
      <c r="S193" s="1150" t="s">
        <v>151</v>
      </c>
      <c r="T193" s="1142" t="s">
        <v>140</v>
      </c>
      <c r="U193" s="1143" t="s">
        <v>140</v>
      </c>
      <c r="V193" s="1144">
        <v>1</v>
      </c>
      <c r="W193" s="1141">
        <v>5281678857</v>
      </c>
      <c r="X193" s="1145">
        <v>8197</v>
      </c>
      <c r="Y193" s="1145"/>
      <c r="Z193" s="1146" t="s">
        <v>140</v>
      </c>
      <c r="AA193" s="1147">
        <v>3279</v>
      </c>
      <c r="AB193" s="1135"/>
      <c r="AC193" s="1135"/>
      <c r="AD193" s="1134"/>
      <c r="AE193" s="1135"/>
      <c r="AF193" s="1135"/>
      <c r="AG193" s="1134"/>
      <c r="AH193" s="1135"/>
      <c r="AI193" s="1135"/>
      <c r="AJ193" s="1134"/>
      <c r="AK193" s="1134" t="s">
        <v>22</v>
      </c>
      <c r="AL193" s="1401" t="s">
        <v>22</v>
      </c>
    </row>
    <row r="194" spans="1:38" s="374" customFormat="1" ht="51.95" customHeight="1">
      <c r="A194" s="1133" t="s">
        <v>1323</v>
      </c>
      <c r="B194" s="1133" t="s">
        <v>1324</v>
      </c>
      <c r="C194" s="1134" t="s">
        <v>1325</v>
      </c>
      <c r="D194" s="1135" t="s">
        <v>22</v>
      </c>
      <c r="E194" s="1135" t="s">
        <v>22</v>
      </c>
      <c r="F194" s="1135" t="s">
        <v>22</v>
      </c>
      <c r="G194" s="1134" t="s">
        <v>22</v>
      </c>
      <c r="H194" s="992" t="s">
        <v>147</v>
      </c>
      <c r="I194" s="375" t="s">
        <v>1326</v>
      </c>
      <c r="J194" s="1136">
        <v>15</v>
      </c>
      <c r="K194" s="395">
        <v>0.75</v>
      </c>
      <c r="L194" s="1148" t="s">
        <v>22</v>
      </c>
      <c r="M194" s="391">
        <v>38191</v>
      </c>
      <c r="N194" s="392">
        <v>39835</v>
      </c>
      <c r="O194" s="1135" t="s">
        <v>22</v>
      </c>
      <c r="P194" s="384">
        <v>2009</v>
      </c>
      <c r="Q194" s="1141">
        <v>496900</v>
      </c>
      <c r="R194" s="1150">
        <v>9425542047</v>
      </c>
      <c r="S194" s="1150" t="s">
        <v>151</v>
      </c>
      <c r="T194" s="1142" t="s">
        <v>140</v>
      </c>
      <c r="U194" s="1143" t="s">
        <v>140</v>
      </c>
      <c r="V194" s="1144">
        <v>1</v>
      </c>
      <c r="W194" s="1141">
        <v>9425542047</v>
      </c>
      <c r="X194" s="1145">
        <v>18969</v>
      </c>
      <c r="Y194" s="1145">
        <v>18968.689999999999</v>
      </c>
      <c r="Z194" s="1146">
        <v>1.6342720556838941E-5</v>
      </c>
      <c r="AA194" s="1147">
        <v>14227</v>
      </c>
      <c r="AB194" s="1135">
        <v>80</v>
      </c>
      <c r="AC194" s="1135">
        <v>10</v>
      </c>
      <c r="AD194" s="1134">
        <v>16</v>
      </c>
      <c r="AE194" s="1135">
        <v>81</v>
      </c>
      <c r="AF194" s="1135">
        <v>10</v>
      </c>
      <c r="AG194" s="1134">
        <v>15</v>
      </c>
      <c r="AH194" s="1135">
        <v>81</v>
      </c>
      <c r="AI194" s="1135">
        <v>10</v>
      </c>
      <c r="AJ194" s="1134">
        <v>22</v>
      </c>
      <c r="AK194" s="1134" t="s">
        <v>129</v>
      </c>
      <c r="AL194" s="1401" t="s">
        <v>22</v>
      </c>
    </row>
    <row r="195" spans="1:38" s="374" customFormat="1" ht="71.25">
      <c r="A195" s="1133" t="s">
        <v>1323</v>
      </c>
      <c r="B195" s="1133" t="s">
        <v>1327</v>
      </c>
      <c r="C195" s="1134" t="s">
        <v>1328</v>
      </c>
      <c r="D195" s="1135" t="s">
        <v>22</v>
      </c>
      <c r="E195" s="1135" t="s">
        <v>22</v>
      </c>
      <c r="F195" s="1135" t="s">
        <v>22</v>
      </c>
      <c r="G195" s="1134" t="s">
        <v>22</v>
      </c>
      <c r="H195" s="992" t="s">
        <v>319</v>
      </c>
      <c r="I195" s="375" t="s">
        <v>1329</v>
      </c>
      <c r="J195" s="1136">
        <v>99</v>
      </c>
      <c r="K195" s="1131">
        <v>0.8</v>
      </c>
      <c r="L195" s="1148" t="s">
        <v>22</v>
      </c>
      <c r="M195" s="1139">
        <v>41282</v>
      </c>
      <c r="N195" s="1130">
        <v>41818</v>
      </c>
      <c r="O195" s="1135" t="s">
        <v>22</v>
      </c>
      <c r="P195" s="1149">
        <v>2014</v>
      </c>
      <c r="Q195" s="1141">
        <v>616000</v>
      </c>
      <c r="R195" s="1150">
        <v>1544774057</v>
      </c>
      <c r="S195" s="1150" t="s">
        <v>151</v>
      </c>
      <c r="T195" s="1142" t="s">
        <v>140</v>
      </c>
      <c r="U195" s="1143" t="s">
        <v>140</v>
      </c>
      <c r="V195" s="1144">
        <v>1</v>
      </c>
      <c r="W195" s="1141">
        <v>1544774057</v>
      </c>
      <c r="X195" s="1145">
        <v>2508</v>
      </c>
      <c r="Y195" s="1145">
        <v>2507.75</v>
      </c>
      <c r="Z195" s="1146">
        <v>9.9690958030196342E-5</v>
      </c>
      <c r="AA195" s="1147">
        <v>2006</v>
      </c>
      <c r="AB195" s="1135"/>
      <c r="AC195" s="1135"/>
      <c r="AD195" s="1134"/>
      <c r="AE195" s="1135">
        <v>81</v>
      </c>
      <c r="AF195" s="1135">
        <v>10</v>
      </c>
      <c r="AG195" s="1134">
        <v>15</v>
      </c>
      <c r="AH195" s="1135">
        <v>81</v>
      </c>
      <c r="AI195" s="1135">
        <v>10</v>
      </c>
      <c r="AJ195" s="1134">
        <v>22</v>
      </c>
      <c r="AK195" s="1134" t="s">
        <v>129</v>
      </c>
      <c r="AL195" s="1401" t="s">
        <v>22</v>
      </c>
    </row>
    <row r="196" spans="1:38" s="374" customFormat="1" ht="65.099999999999994" customHeight="1">
      <c r="A196" s="1133" t="s">
        <v>1323</v>
      </c>
      <c r="B196" s="1133" t="s">
        <v>1327</v>
      </c>
      <c r="C196" s="1134" t="s">
        <v>1328</v>
      </c>
      <c r="D196" s="1135" t="s">
        <v>22</v>
      </c>
      <c r="E196" s="1135" t="s">
        <v>22</v>
      </c>
      <c r="F196" s="1135" t="s">
        <v>22</v>
      </c>
      <c r="G196" s="1134" t="s">
        <v>22</v>
      </c>
      <c r="H196" s="992" t="s">
        <v>1330</v>
      </c>
      <c r="I196" s="375" t="s">
        <v>1331</v>
      </c>
      <c r="J196" s="1136">
        <v>6</v>
      </c>
      <c r="K196" s="1131">
        <v>0.95</v>
      </c>
      <c r="L196" s="1148" t="s">
        <v>22</v>
      </c>
      <c r="M196" s="1139">
        <v>40854</v>
      </c>
      <c r="N196" s="1130">
        <v>41628</v>
      </c>
      <c r="O196" s="1135" t="s">
        <v>22</v>
      </c>
      <c r="P196" s="1149">
        <v>2013</v>
      </c>
      <c r="Q196" s="1141">
        <v>589500</v>
      </c>
      <c r="R196" s="1150">
        <v>1071250790</v>
      </c>
      <c r="S196" s="1150" t="s">
        <v>151</v>
      </c>
      <c r="T196" s="1142" t="s">
        <v>140</v>
      </c>
      <c r="U196" s="1143" t="s">
        <v>140</v>
      </c>
      <c r="V196" s="1144">
        <v>1</v>
      </c>
      <c r="W196" s="1141">
        <v>1071250790</v>
      </c>
      <c r="X196" s="1145">
        <v>1817</v>
      </c>
      <c r="Y196" s="1145">
        <v>1817.22</v>
      </c>
      <c r="Z196" s="1146">
        <v>1.2106404287870465E-4</v>
      </c>
      <c r="AA196" s="1147">
        <v>1726</v>
      </c>
      <c r="AB196" s="1135"/>
      <c r="AC196" s="1135"/>
      <c r="AD196" s="1134"/>
      <c r="AE196" s="1135">
        <v>81</v>
      </c>
      <c r="AF196" s="1135">
        <v>10</v>
      </c>
      <c r="AG196" s="1134">
        <v>15</v>
      </c>
      <c r="AH196" s="1135">
        <v>81</v>
      </c>
      <c r="AI196" s="1135">
        <v>10</v>
      </c>
      <c r="AJ196" s="1134">
        <v>22</v>
      </c>
      <c r="AK196" s="1134" t="s">
        <v>129</v>
      </c>
      <c r="AL196" s="1401" t="s">
        <v>22</v>
      </c>
    </row>
    <row r="197" spans="1:38" s="374" customFormat="1" ht="51.95" customHeight="1">
      <c r="A197" s="1133" t="s">
        <v>1323</v>
      </c>
      <c r="B197" s="1133" t="s">
        <v>1327</v>
      </c>
      <c r="C197" s="1134" t="s">
        <v>1328</v>
      </c>
      <c r="D197" s="1135" t="s">
        <v>22</v>
      </c>
      <c r="E197" s="1135" t="s">
        <v>22</v>
      </c>
      <c r="F197" s="1135" t="s">
        <v>22</v>
      </c>
      <c r="G197" s="1134" t="s">
        <v>22</v>
      </c>
      <c r="H197" s="992" t="s">
        <v>1332</v>
      </c>
      <c r="I197" s="375" t="s">
        <v>1333</v>
      </c>
      <c r="J197" s="1136" t="s">
        <v>903</v>
      </c>
      <c r="K197" s="1131">
        <v>1</v>
      </c>
      <c r="L197" s="1148" t="s">
        <v>22</v>
      </c>
      <c r="M197" s="1139">
        <v>41686</v>
      </c>
      <c r="N197" s="1130">
        <v>42160</v>
      </c>
      <c r="O197" s="1135" t="s">
        <v>22</v>
      </c>
      <c r="P197" s="1149">
        <v>2015</v>
      </c>
      <c r="Q197" s="1141">
        <v>644350</v>
      </c>
      <c r="R197" s="1150">
        <v>1686799414</v>
      </c>
      <c r="S197" s="1150" t="s">
        <v>151</v>
      </c>
      <c r="T197" s="1142" t="s">
        <v>140</v>
      </c>
      <c r="U197" s="1143" t="s">
        <v>140</v>
      </c>
      <c r="V197" s="1144">
        <v>1</v>
      </c>
      <c r="W197" s="1141">
        <v>1686799414</v>
      </c>
      <c r="X197" s="1145">
        <v>2618</v>
      </c>
      <c r="Y197" s="1145"/>
      <c r="Z197" s="1146" t="s">
        <v>140</v>
      </c>
      <c r="AA197" s="1147">
        <v>2618</v>
      </c>
      <c r="AB197" s="1135"/>
      <c r="AC197" s="1135"/>
      <c r="AD197" s="1134"/>
      <c r="AE197" s="1135"/>
      <c r="AF197" s="1135"/>
      <c r="AG197" s="1134"/>
      <c r="AH197" s="1135"/>
      <c r="AI197" s="1135"/>
      <c r="AJ197" s="1134"/>
      <c r="AK197" s="1134" t="s">
        <v>22</v>
      </c>
      <c r="AL197" s="1401" t="s">
        <v>22</v>
      </c>
    </row>
    <row r="198" spans="1:38" s="384" customFormat="1" ht="51.95" customHeight="1">
      <c r="A198" s="1133" t="s">
        <v>1323</v>
      </c>
      <c r="B198" s="1133" t="s">
        <v>1327</v>
      </c>
      <c r="C198" s="1134" t="s">
        <v>1328</v>
      </c>
      <c r="D198" s="1135" t="s">
        <v>22</v>
      </c>
      <c r="E198" s="1135" t="s">
        <v>22</v>
      </c>
      <c r="F198" s="1135" t="s">
        <v>22</v>
      </c>
      <c r="G198" s="1134" t="s">
        <v>22</v>
      </c>
      <c r="H198" s="992" t="s">
        <v>207</v>
      </c>
      <c r="I198" s="375" t="s">
        <v>1334</v>
      </c>
      <c r="J198" s="1136">
        <v>139</v>
      </c>
      <c r="K198" s="1131">
        <v>0.4</v>
      </c>
      <c r="L198" s="1148" t="s">
        <v>22</v>
      </c>
      <c r="M198" s="1139">
        <v>41365</v>
      </c>
      <c r="N198" s="1130">
        <v>41907</v>
      </c>
      <c r="O198" s="1135" t="s">
        <v>22</v>
      </c>
      <c r="P198" s="1149">
        <v>2014</v>
      </c>
      <c r="Q198" s="1141">
        <v>616000</v>
      </c>
      <c r="R198" s="1150">
        <v>1700319036</v>
      </c>
      <c r="S198" s="1150" t="s">
        <v>151</v>
      </c>
      <c r="T198" s="1142" t="s">
        <v>140</v>
      </c>
      <c r="U198" s="1143" t="s">
        <v>140</v>
      </c>
      <c r="V198" s="1144">
        <v>1</v>
      </c>
      <c r="W198" s="1141">
        <v>1700319036</v>
      </c>
      <c r="X198" s="1145">
        <v>2760</v>
      </c>
      <c r="Y198" s="1151">
        <v>2760.26</v>
      </c>
      <c r="Z198" s="1146">
        <v>9.4194025200611264E-5</v>
      </c>
      <c r="AA198" s="1147">
        <v>1104</v>
      </c>
      <c r="AB198" s="1135"/>
      <c r="AC198" s="1135"/>
      <c r="AD198" s="1134"/>
      <c r="AE198" s="1135">
        <v>81</v>
      </c>
      <c r="AF198" s="1135">
        <v>10</v>
      </c>
      <c r="AG198" s="1134">
        <v>15</v>
      </c>
      <c r="AH198" s="1135">
        <v>81</v>
      </c>
      <c r="AI198" s="1135">
        <v>10</v>
      </c>
      <c r="AJ198" s="1134">
        <v>22</v>
      </c>
      <c r="AK198" s="1153"/>
      <c r="AL198" s="1401" t="s">
        <v>22</v>
      </c>
    </row>
    <row r="199" spans="1:38" s="384" customFormat="1" ht="51.95" customHeight="1">
      <c r="A199" s="1133" t="s">
        <v>1323</v>
      </c>
      <c r="B199" s="1133" t="s">
        <v>1327</v>
      </c>
      <c r="C199" s="1134" t="s">
        <v>1328</v>
      </c>
      <c r="D199" s="1135" t="s">
        <v>22</v>
      </c>
      <c r="E199" s="1135" t="s">
        <v>22</v>
      </c>
      <c r="F199" s="1135" t="s">
        <v>22</v>
      </c>
      <c r="G199" s="1134" t="s">
        <v>22</v>
      </c>
      <c r="H199" s="992" t="s">
        <v>1330</v>
      </c>
      <c r="I199" s="375" t="s">
        <v>1335</v>
      </c>
      <c r="J199" s="1136">
        <v>1</v>
      </c>
      <c r="K199" s="1131">
        <v>0.8</v>
      </c>
      <c r="L199" s="1148" t="s">
        <v>22</v>
      </c>
      <c r="M199" s="1139">
        <v>40484</v>
      </c>
      <c r="N199" s="1130">
        <v>40907</v>
      </c>
      <c r="O199" s="1135" t="s">
        <v>22</v>
      </c>
      <c r="P199" s="1149">
        <v>2011</v>
      </c>
      <c r="Q199" s="1141">
        <v>535600</v>
      </c>
      <c r="R199" s="1150">
        <v>759990240</v>
      </c>
      <c r="S199" s="1150" t="s">
        <v>151</v>
      </c>
      <c r="T199" s="1142" t="s">
        <v>140</v>
      </c>
      <c r="U199" s="1143" t="s">
        <v>140</v>
      </c>
      <c r="V199" s="1144">
        <v>1</v>
      </c>
      <c r="W199" s="1141">
        <v>759990240</v>
      </c>
      <c r="X199" s="1145">
        <v>1419</v>
      </c>
      <c r="Y199" s="1145">
        <v>1418.95</v>
      </c>
      <c r="Z199" s="1146">
        <v>3.5237323372960816E-5</v>
      </c>
      <c r="AA199" s="1147">
        <v>1135</v>
      </c>
      <c r="AB199" s="1135"/>
      <c r="AC199" s="1135"/>
      <c r="AD199" s="1134"/>
      <c r="AE199" s="1135">
        <v>81</v>
      </c>
      <c r="AF199" s="1135">
        <v>10</v>
      </c>
      <c r="AG199" s="1134">
        <v>15</v>
      </c>
      <c r="AH199" s="1135">
        <v>81</v>
      </c>
      <c r="AI199" s="1135">
        <v>10</v>
      </c>
      <c r="AJ199" s="1134">
        <v>22</v>
      </c>
      <c r="AK199" s="1134"/>
      <c r="AL199" s="1401" t="s">
        <v>22</v>
      </c>
    </row>
    <row r="200" spans="1:38" s="384" customFormat="1" ht="78" customHeight="1">
      <c r="A200" s="1133" t="s">
        <v>1336</v>
      </c>
      <c r="B200" s="1133" t="s">
        <v>1337</v>
      </c>
      <c r="C200" s="1134" t="s">
        <v>1338</v>
      </c>
      <c r="D200" s="1135" t="s">
        <v>22</v>
      </c>
      <c r="E200" s="1135" t="s">
        <v>22</v>
      </c>
      <c r="F200" s="1135" t="s">
        <v>22</v>
      </c>
      <c r="G200" s="1134" t="s">
        <v>22</v>
      </c>
      <c r="H200" s="992" t="s">
        <v>1339</v>
      </c>
      <c r="I200" s="375" t="s">
        <v>1340</v>
      </c>
      <c r="J200" s="1136">
        <v>21</v>
      </c>
      <c r="K200" s="1131">
        <v>1</v>
      </c>
      <c r="L200" s="1148" t="s">
        <v>22</v>
      </c>
      <c r="M200" s="1139">
        <v>37809</v>
      </c>
      <c r="N200" s="1130">
        <v>38260</v>
      </c>
      <c r="O200" s="1135" t="s">
        <v>22</v>
      </c>
      <c r="P200" s="1149">
        <v>2004</v>
      </c>
      <c r="Q200" s="1141">
        <v>358000</v>
      </c>
      <c r="R200" s="1150">
        <v>19507017.219999999</v>
      </c>
      <c r="S200" s="1150" t="s">
        <v>525</v>
      </c>
      <c r="T200" s="1142">
        <v>8.7499999999999994E-2</v>
      </c>
      <c r="U200" s="1143">
        <v>1706864.0067499997</v>
      </c>
      <c r="V200" s="1144">
        <v>2595.17</v>
      </c>
      <c r="W200" s="1141">
        <v>4429602264.397397</v>
      </c>
      <c r="X200" s="1145">
        <v>12373</v>
      </c>
      <c r="Y200" s="1145">
        <v>12416.84</v>
      </c>
      <c r="Z200" s="1146">
        <v>3.5306889675633668E-3</v>
      </c>
      <c r="AA200" s="1147">
        <v>12373</v>
      </c>
      <c r="AB200" s="1135">
        <v>80</v>
      </c>
      <c r="AC200" s="1135">
        <v>10</v>
      </c>
      <c r="AD200" s="1134">
        <v>16</v>
      </c>
      <c r="AE200" s="1135">
        <v>81</v>
      </c>
      <c r="AF200" s="1135">
        <v>10</v>
      </c>
      <c r="AG200" s="1134">
        <v>15</v>
      </c>
      <c r="AH200" s="1135">
        <v>81</v>
      </c>
      <c r="AI200" s="1135">
        <v>10</v>
      </c>
      <c r="AJ200" s="1134">
        <v>22</v>
      </c>
      <c r="AK200" s="1134" t="s">
        <v>129</v>
      </c>
      <c r="AL200" s="1401" t="s">
        <v>22</v>
      </c>
    </row>
    <row r="201" spans="1:38" s="384" customFormat="1" ht="65.099999999999994" customHeight="1">
      <c r="A201" s="1133" t="s">
        <v>1336</v>
      </c>
      <c r="B201" s="1133" t="s">
        <v>1337</v>
      </c>
      <c r="C201" s="1134" t="s">
        <v>1338</v>
      </c>
      <c r="D201" s="1135" t="s">
        <v>22</v>
      </c>
      <c r="E201" s="1135" t="s">
        <v>22</v>
      </c>
      <c r="F201" s="1135" t="s">
        <v>22</v>
      </c>
      <c r="G201" s="1134" t="s">
        <v>22</v>
      </c>
      <c r="H201" s="992" t="s">
        <v>1339</v>
      </c>
      <c r="I201" s="375" t="s">
        <v>1341</v>
      </c>
      <c r="J201" s="1136">
        <v>25</v>
      </c>
      <c r="K201" s="1131">
        <v>1</v>
      </c>
      <c r="L201" s="1148" t="s">
        <v>22</v>
      </c>
      <c r="M201" s="1139">
        <v>38467</v>
      </c>
      <c r="N201" s="1130">
        <v>38960</v>
      </c>
      <c r="O201" s="1135" t="s">
        <v>22</v>
      </c>
      <c r="P201" s="1149">
        <v>2006</v>
      </c>
      <c r="Q201" s="1141">
        <v>408000</v>
      </c>
      <c r="R201" s="1150">
        <v>13552658.52</v>
      </c>
      <c r="S201" s="1150" t="s">
        <v>525</v>
      </c>
      <c r="T201" s="1142">
        <v>9.1899999999999996E-2</v>
      </c>
      <c r="U201" s="1143">
        <v>1245489.3179879999</v>
      </c>
      <c r="V201" s="1144">
        <v>2396.63</v>
      </c>
      <c r="W201" s="1141">
        <v>2984977064.1695805</v>
      </c>
      <c r="X201" s="1145">
        <v>7316</v>
      </c>
      <c r="Y201" s="1145">
        <v>7301.15</v>
      </c>
      <c r="Z201" s="1146">
        <v>2.0339261623170124E-3</v>
      </c>
      <c r="AA201" s="1147">
        <v>7316</v>
      </c>
      <c r="AB201" s="1135">
        <v>80</v>
      </c>
      <c r="AC201" s="1135">
        <v>10</v>
      </c>
      <c r="AD201" s="1134">
        <v>16</v>
      </c>
      <c r="AE201" s="1135">
        <v>81</v>
      </c>
      <c r="AF201" s="1135">
        <v>10</v>
      </c>
      <c r="AG201" s="1134">
        <v>15</v>
      </c>
      <c r="AH201" s="1135">
        <v>81</v>
      </c>
      <c r="AI201" s="1135">
        <v>10</v>
      </c>
      <c r="AJ201" s="1134">
        <v>22</v>
      </c>
      <c r="AK201" s="1134" t="s">
        <v>129</v>
      </c>
      <c r="AL201" s="1401" t="s">
        <v>22</v>
      </c>
    </row>
    <row r="202" spans="1:38" s="374" customFormat="1" ht="65.099999999999994" customHeight="1">
      <c r="A202" s="1133" t="s">
        <v>1336</v>
      </c>
      <c r="B202" s="1133" t="s">
        <v>1337</v>
      </c>
      <c r="C202" s="1134" t="s">
        <v>1338</v>
      </c>
      <c r="D202" s="1135" t="s">
        <v>22</v>
      </c>
      <c r="E202" s="1135" t="s">
        <v>22</v>
      </c>
      <c r="F202" s="1135" t="s">
        <v>22</v>
      </c>
      <c r="G202" s="1134" t="s">
        <v>22</v>
      </c>
      <c r="H202" s="992" t="s">
        <v>1339</v>
      </c>
      <c r="I202" s="375" t="s">
        <v>1342</v>
      </c>
      <c r="J202" s="1136">
        <v>10</v>
      </c>
      <c r="K202" s="1131">
        <v>1</v>
      </c>
      <c r="L202" s="1148" t="s">
        <v>22</v>
      </c>
      <c r="M202" s="1139">
        <v>40735</v>
      </c>
      <c r="N202" s="1130">
        <v>41079</v>
      </c>
      <c r="O202" s="1135" t="s">
        <v>22</v>
      </c>
      <c r="P202" s="1149">
        <v>2012</v>
      </c>
      <c r="Q202" s="1141">
        <v>566700</v>
      </c>
      <c r="R202" s="1150">
        <v>17552043.609999999</v>
      </c>
      <c r="S202" s="1150" t="s">
        <v>525</v>
      </c>
      <c r="T202" s="1142">
        <v>7.2099999999999997E-2</v>
      </c>
      <c r="U202" s="1143">
        <v>1265502.3442809999</v>
      </c>
      <c r="V202" s="1144">
        <v>1786.21</v>
      </c>
      <c r="W202" s="1141">
        <v>2260452942.3781648</v>
      </c>
      <c r="X202" s="1145">
        <v>3989</v>
      </c>
      <c r="Y202" s="1145">
        <v>4037.21</v>
      </c>
      <c r="Z202" s="1146">
        <v>1.1941414987082677E-2</v>
      </c>
      <c r="AA202" s="1147">
        <v>3989</v>
      </c>
      <c r="AB202" s="1135"/>
      <c r="AC202" s="1135"/>
      <c r="AD202" s="1134"/>
      <c r="AE202" s="1135">
        <v>81</v>
      </c>
      <c r="AF202" s="1135">
        <v>10</v>
      </c>
      <c r="AG202" s="1134">
        <v>15</v>
      </c>
      <c r="AH202" s="1135"/>
      <c r="AI202" s="1135"/>
      <c r="AJ202" s="1134"/>
      <c r="AK202" s="1134" t="s">
        <v>129</v>
      </c>
      <c r="AL202" s="1401" t="s">
        <v>22</v>
      </c>
    </row>
    <row r="203" spans="1:38" s="374" customFormat="1" ht="51.95" customHeight="1">
      <c r="A203" s="1133" t="s">
        <v>1336</v>
      </c>
      <c r="B203" s="1133" t="s">
        <v>1343</v>
      </c>
      <c r="C203" s="1134" t="s">
        <v>1344</v>
      </c>
      <c r="D203" s="1135" t="s">
        <v>22</v>
      </c>
      <c r="E203" s="1135" t="s">
        <v>22</v>
      </c>
      <c r="F203" s="1135" t="s">
        <v>22</v>
      </c>
      <c r="G203" s="1134" t="s">
        <v>22</v>
      </c>
      <c r="H203" s="992" t="s">
        <v>448</v>
      </c>
      <c r="I203" s="375" t="s">
        <v>1345</v>
      </c>
      <c r="J203" s="1136">
        <v>21</v>
      </c>
      <c r="K203" s="1131">
        <v>1</v>
      </c>
      <c r="L203" s="1148" t="s">
        <v>22</v>
      </c>
      <c r="M203" s="1139">
        <v>39156</v>
      </c>
      <c r="N203" s="1130">
        <v>39963</v>
      </c>
      <c r="O203" s="1135" t="s">
        <v>22</v>
      </c>
      <c r="P203" s="1149">
        <v>2009</v>
      </c>
      <c r="Q203" s="1141">
        <v>496900</v>
      </c>
      <c r="R203" s="1150">
        <v>2927141854</v>
      </c>
      <c r="S203" s="1150" t="s">
        <v>151</v>
      </c>
      <c r="T203" s="1142" t="s">
        <v>140</v>
      </c>
      <c r="U203" s="1143" t="s">
        <v>140</v>
      </c>
      <c r="V203" s="1144">
        <v>1</v>
      </c>
      <c r="W203" s="1141">
        <v>2927141854</v>
      </c>
      <c r="X203" s="1145">
        <v>5891</v>
      </c>
      <c r="Y203" s="1145">
        <v>5890.81</v>
      </c>
      <c r="Z203" s="1146">
        <v>3.225362895764583E-5</v>
      </c>
      <c r="AA203" s="1147">
        <v>5891</v>
      </c>
      <c r="AB203" s="1154"/>
      <c r="AC203" s="1154"/>
      <c r="AD203" s="1155"/>
      <c r="AE203" s="1154">
        <v>81</v>
      </c>
      <c r="AF203" s="1154">
        <v>10</v>
      </c>
      <c r="AG203" s="1155">
        <v>15</v>
      </c>
      <c r="AH203" s="1154">
        <v>81</v>
      </c>
      <c r="AI203" s="1154">
        <v>10</v>
      </c>
      <c r="AJ203" s="1155">
        <v>22</v>
      </c>
      <c r="AK203" s="1134" t="s">
        <v>129</v>
      </c>
      <c r="AL203" s="1401" t="s">
        <v>22</v>
      </c>
    </row>
    <row r="204" spans="1:38" s="374" customFormat="1" ht="71.25">
      <c r="A204" s="1133" t="s">
        <v>1336</v>
      </c>
      <c r="B204" s="1133" t="s">
        <v>1343</v>
      </c>
      <c r="C204" s="1134" t="s">
        <v>1344</v>
      </c>
      <c r="D204" s="1135" t="s">
        <v>22</v>
      </c>
      <c r="E204" s="1135" t="s">
        <v>22</v>
      </c>
      <c r="F204" s="1135" t="s">
        <v>22</v>
      </c>
      <c r="G204" s="1134" t="s">
        <v>22</v>
      </c>
      <c r="H204" s="1136" t="s">
        <v>263</v>
      </c>
      <c r="I204" s="375" t="s">
        <v>1346</v>
      </c>
      <c r="J204" s="1136">
        <v>5</v>
      </c>
      <c r="K204" s="1131">
        <v>1</v>
      </c>
      <c r="L204" s="1148" t="s">
        <v>22</v>
      </c>
      <c r="M204" s="1139">
        <v>39147</v>
      </c>
      <c r="N204" s="1130">
        <v>40016</v>
      </c>
      <c r="O204" s="1135" t="s">
        <v>22</v>
      </c>
      <c r="P204" s="1149">
        <v>2009</v>
      </c>
      <c r="Q204" s="1141">
        <v>496900</v>
      </c>
      <c r="R204" s="1150">
        <v>4704397815</v>
      </c>
      <c r="S204" s="1150" t="s">
        <v>151</v>
      </c>
      <c r="T204" s="1142" t="s">
        <v>140</v>
      </c>
      <c r="U204" s="1143" t="s">
        <v>140</v>
      </c>
      <c r="V204" s="1144">
        <v>1</v>
      </c>
      <c r="W204" s="1141">
        <v>4704397815</v>
      </c>
      <c r="X204" s="1145">
        <v>9467</v>
      </c>
      <c r="Y204" s="1145">
        <v>9497.6200000000008</v>
      </c>
      <c r="Z204" s="1146">
        <v>3.2239655829566782E-3</v>
      </c>
      <c r="AA204" s="1147">
        <v>9467</v>
      </c>
      <c r="AB204" s="1135">
        <v>80</v>
      </c>
      <c r="AC204" s="1135">
        <v>10</v>
      </c>
      <c r="AD204" s="1134">
        <v>16</v>
      </c>
      <c r="AE204" s="1135">
        <v>81</v>
      </c>
      <c r="AF204" s="1135">
        <v>10</v>
      </c>
      <c r="AG204" s="1134">
        <v>15</v>
      </c>
      <c r="AH204" s="1135">
        <v>81</v>
      </c>
      <c r="AI204" s="1135">
        <v>10</v>
      </c>
      <c r="AJ204" s="1134">
        <v>22</v>
      </c>
      <c r="AK204" s="1134" t="s">
        <v>129</v>
      </c>
      <c r="AL204" s="1401" t="s">
        <v>22</v>
      </c>
    </row>
    <row r="205" spans="1:38" s="374" customFormat="1" ht="42.75">
      <c r="A205" s="1133" t="s">
        <v>1347</v>
      </c>
      <c r="B205" s="1133" t="s">
        <v>1348</v>
      </c>
      <c r="C205" s="1134" t="s">
        <v>1349</v>
      </c>
      <c r="D205" s="1135" t="s">
        <v>22</v>
      </c>
      <c r="E205" s="1135" t="s">
        <v>22</v>
      </c>
      <c r="F205" s="1135" t="s">
        <v>22</v>
      </c>
      <c r="G205" s="1134" t="s">
        <v>22</v>
      </c>
      <c r="H205" s="992" t="s">
        <v>949</v>
      </c>
      <c r="I205" s="375" t="s">
        <v>1350</v>
      </c>
      <c r="J205" s="1136">
        <v>52</v>
      </c>
      <c r="K205" s="1131">
        <v>1</v>
      </c>
      <c r="L205" s="1148" t="s">
        <v>22</v>
      </c>
      <c r="M205" s="1139">
        <v>36523</v>
      </c>
      <c r="N205" s="1130">
        <v>37769</v>
      </c>
      <c r="O205" s="1135" t="s">
        <v>22</v>
      </c>
      <c r="P205" s="1149">
        <v>2003</v>
      </c>
      <c r="Q205" s="1141">
        <v>332000</v>
      </c>
      <c r="R205" s="1150">
        <v>2582274473</v>
      </c>
      <c r="S205" s="1150" t="s">
        <v>151</v>
      </c>
      <c r="T205" s="1142" t="s">
        <v>140</v>
      </c>
      <c r="U205" s="1143" t="s">
        <v>140</v>
      </c>
      <c r="V205" s="1144">
        <v>1</v>
      </c>
      <c r="W205" s="1141">
        <v>2582274473</v>
      </c>
      <c r="X205" s="1145">
        <v>7778</v>
      </c>
      <c r="Y205" s="1145">
        <v>7777.94</v>
      </c>
      <c r="Z205" s="1146">
        <v>7.7141248198131507E-6</v>
      </c>
      <c r="AA205" s="1147">
        <v>7778</v>
      </c>
      <c r="AB205" s="1135"/>
      <c r="AC205" s="1135"/>
      <c r="AD205" s="1134"/>
      <c r="AE205" s="1135">
        <v>81</v>
      </c>
      <c r="AF205" s="1135">
        <v>10</v>
      </c>
      <c r="AG205" s="1134">
        <v>15</v>
      </c>
      <c r="AH205" s="1135">
        <v>81</v>
      </c>
      <c r="AI205" s="1135">
        <v>10</v>
      </c>
      <c r="AJ205" s="1134">
        <v>22</v>
      </c>
      <c r="AK205" s="1134" t="s">
        <v>22</v>
      </c>
      <c r="AL205" s="1401" t="s">
        <v>22</v>
      </c>
    </row>
    <row r="206" spans="1:38" s="374" customFormat="1" ht="57">
      <c r="A206" s="1133" t="s">
        <v>1347</v>
      </c>
      <c r="B206" s="1133" t="s">
        <v>1348</v>
      </c>
      <c r="C206" s="1134" t="s">
        <v>1349</v>
      </c>
      <c r="D206" s="1135" t="s">
        <v>22</v>
      </c>
      <c r="E206" s="1135" t="s">
        <v>22</v>
      </c>
      <c r="F206" s="1135" t="s">
        <v>22</v>
      </c>
      <c r="G206" s="1134" t="s">
        <v>22</v>
      </c>
      <c r="H206" s="992" t="s">
        <v>448</v>
      </c>
      <c r="I206" s="375" t="s">
        <v>1351</v>
      </c>
      <c r="J206" s="1136">
        <v>67</v>
      </c>
      <c r="K206" s="1131">
        <v>0.65</v>
      </c>
      <c r="L206" s="1148" t="s">
        <v>22</v>
      </c>
      <c r="M206" s="1139">
        <v>37986</v>
      </c>
      <c r="N206" s="1130">
        <v>40748</v>
      </c>
      <c r="O206" s="1135" t="s">
        <v>22</v>
      </c>
      <c r="P206" s="1149">
        <v>2011</v>
      </c>
      <c r="Q206" s="1141">
        <v>535600</v>
      </c>
      <c r="R206" s="1150">
        <v>6087540759</v>
      </c>
      <c r="S206" s="1150" t="s">
        <v>151</v>
      </c>
      <c r="T206" s="1142" t="s">
        <v>140</v>
      </c>
      <c r="U206" s="1143" t="s">
        <v>140</v>
      </c>
      <c r="V206" s="1144">
        <v>1</v>
      </c>
      <c r="W206" s="1141">
        <v>6087540759</v>
      </c>
      <c r="X206" s="1145">
        <v>11366</v>
      </c>
      <c r="Y206" s="1145">
        <v>11365.83</v>
      </c>
      <c r="Z206" s="1146">
        <v>1.4957112679070406E-5</v>
      </c>
      <c r="AA206" s="1147">
        <v>7388</v>
      </c>
      <c r="AB206" s="1135"/>
      <c r="AC206" s="1135"/>
      <c r="AD206" s="1134"/>
      <c r="AE206" s="1135">
        <v>81</v>
      </c>
      <c r="AF206" s="1135">
        <v>10</v>
      </c>
      <c r="AG206" s="1134">
        <v>15</v>
      </c>
      <c r="AH206" s="1135">
        <v>81</v>
      </c>
      <c r="AI206" s="1135">
        <v>10</v>
      </c>
      <c r="AJ206" s="1134">
        <v>22</v>
      </c>
      <c r="AK206" s="1134" t="s">
        <v>22</v>
      </c>
      <c r="AL206" s="1401" t="s">
        <v>22</v>
      </c>
    </row>
    <row r="207" spans="1:38" s="374" customFormat="1" ht="57">
      <c r="A207" s="1133" t="s">
        <v>1347</v>
      </c>
      <c r="B207" s="1133" t="s">
        <v>1348</v>
      </c>
      <c r="C207" s="1134" t="s">
        <v>1349</v>
      </c>
      <c r="D207" s="1135" t="s">
        <v>22</v>
      </c>
      <c r="E207" s="1135" t="s">
        <v>22</v>
      </c>
      <c r="F207" s="1135" t="s">
        <v>22</v>
      </c>
      <c r="G207" s="1134" t="s">
        <v>22</v>
      </c>
      <c r="H207" s="992" t="s">
        <v>949</v>
      </c>
      <c r="I207" s="375" t="s">
        <v>1352</v>
      </c>
      <c r="J207" s="1136">
        <v>62</v>
      </c>
      <c r="K207" s="1131">
        <v>1</v>
      </c>
      <c r="L207" s="1148" t="s">
        <v>22</v>
      </c>
      <c r="M207" s="1139">
        <v>38366</v>
      </c>
      <c r="N207" s="1130">
        <v>39064</v>
      </c>
      <c r="O207" s="1135" t="s">
        <v>22</v>
      </c>
      <c r="P207" s="1149">
        <v>2006</v>
      </c>
      <c r="Q207" s="1141">
        <v>408000</v>
      </c>
      <c r="R207" s="1150">
        <v>1473683024</v>
      </c>
      <c r="S207" s="1150" t="s">
        <v>151</v>
      </c>
      <c r="T207" s="1142" t="s">
        <v>140</v>
      </c>
      <c r="U207" s="1143" t="s">
        <v>140</v>
      </c>
      <c r="V207" s="1144">
        <v>1</v>
      </c>
      <c r="W207" s="1141">
        <v>1473683024</v>
      </c>
      <c r="X207" s="1145">
        <v>3612</v>
      </c>
      <c r="Y207" s="1145">
        <v>3611.97</v>
      </c>
      <c r="Z207" s="1146">
        <v>8.3057168249744961E-6</v>
      </c>
      <c r="AA207" s="1147">
        <v>3612</v>
      </c>
      <c r="AB207" s="1135"/>
      <c r="AC207" s="1135"/>
      <c r="AD207" s="1134"/>
      <c r="AE207" s="1135">
        <v>81</v>
      </c>
      <c r="AF207" s="1135">
        <v>10</v>
      </c>
      <c r="AG207" s="1134">
        <v>15</v>
      </c>
      <c r="AH207" s="1135">
        <v>81</v>
      </c>
      <c r="AI207" s="1135">
        <v>10</v>
      </c>
      <c r="AJ207" s="1134">
        <v>22</v>
      </c>
      <c r="AK207" s="1134" t="s">
        <v>22</v>
      </c>
      <c r="AL207" s="1401" t="s">
        <v>22</v>
      </c>
    </row>
    <row r="208" spans="1:38" s="374" customFormat="1" ht="51.95" customHeight="1">
      <c r="A208" s="1133" t="s">
        <v>1347</v>
      </c>
      <c r="B208" s="1133" t="s">
        <v>1353</v>
      </c>
      <c r="C208" s="1134" t="s">
        <v>1354</v>
      </c>
      <c r="D208" s="1135" t="s">
        <v>22</v>
      </c>
      <c r="E208" s="1135" t="s">
        <v>22</v>
      </c>
      <c r="F208" s="1135" t="s">
        <v>22</v>
      </c>
      <c r="G208" s="1134" t="s">
        <v>22</v>
      </c>
      <c r="H208" s="375" t="s">
        <v>1355</v>
      </c>
      <c r="I208" s="375" t="s">
        <v>1356</v>
      </c>
      <c r="J208" s="1136">
        <v>14</v>
      </c>
      <c r="K208" s="1131">
        <v>1</v>
      </c>
      <c r="L208" s="1148" t="s">
        <v>22</v>
      </c>
      <c r="M208" s="1139">
        <v>36628</v>
      </c>
      <c r="N208" s="1130">
        <v>36961</v>
      </c>
      <c r="O208" s="1135" t="s">
        <v>22</v>
      </c>
      <c r="P208" s="1149">
        <v>2001</v>
      </c>
      <c r="Q208" s="1141">
        <v>286000</v>
      </c>
      <c r="R208" s="1150">
        <v>751174268</v>
      </c>
      <c r="S208" s="1150" t="s">
        <v>151</v>
      </c>
      <c r="T208" s="1142" t="s">
        <v>140</v>
      </c>
      <c r="U208" s="1143" t="s">
        <v>140</v>
      </c>
      <c r="V208" s="1144">
        <v>1</v>
      </c>
      <c r="W208" s="1141">
        <v>751174268</v>
      </c>
      <c r="X208" s="1145">
        <v>2626</v>
      </c>
      <c r="Y208" s="1145">
        <v>2626.48</v>
      </c>
      <c r="Z208" s="1146">
        <v>1.8275410435264483E-4</v>
      </c>
      <c r="AA208" s="1147">
        <v>2626</v>
      </c>
      <c r="AB208" s="1135">
        <v>80</v>
      </c>
      <c r="AC208" s="1135">
        <v>10</v>
      </c>
      <c r="AD208" s="1134">
        <v>16</v>
      </c>
      <c r="AE208" s="1135">
        <v>81</v>
      </c>
      <c r="AF208" s="1135">
        <v>10</v>
      </c>
      <c r="AG208" s="1134">
        <v>15</v>
      </c>
      <c r="AH208" s="1135">
        <v>81</v>
      </c>
      <c r="AI208" s="1135">
        <v>10</v>
      </c>
      <c r="AJ208" s="1134">
        <v>22</v>
      </c>
      <c r="AK208" s="1134"/>
      <c r="AL208" s="1401" t="s">
        <v>22</v>
      </c>
    </row>
    <row r="209" spans="1:38" s="374" customFormat="1" ht="99.75">
      <c r="A209" s="1133" t="s">
        <v>1347</v>
      </c>
      <c r="B209" s="1133" t="s">
        <v>1353</v>
      </c>
      <c r="C209" s="1134" t="s">
        <v>1354</v>
      </c>
      <c r="D209" s="1135" t="s">
        <v>22</v>
      </c>
      <c r="E209" s="1135" t="s">
        <v>22</v>
      </c>
      <c r="F209" s="1135" t="s">
        <v>22</v>
      </c>
      <c r="G209" s="1134" t="s">
        <v>22</v>
      </c>
      <c r="H209" s="375" t="s">
        <v>155</v>
      </c>
      <c r="I209" s="375" t="s">
        <v>1357</v>
      </c>
      <c r="J209" s="1136">
        <v>9</v>
      </c>
      <c r="K209" s="1131">
        <v>0.75</v>
      </c>
      <c r="L209" s="1148" t="s">
        <v>22</v>
      </c>
      <c r="M209" s="1139">
        <v>38678</v>
      </c>
      <c r="N209" s="1130">
        <v>39690</v>
      </c>
      <c r="O209" s="1135" t="s">
        <v>22</v>
      </c>
      <c r="P209" s="1149">
        <v>2008</v>
      </c>
      <c r="Q209" s="1141">
        <v>461500</v>
      </c>
      <c r="R209" s="1150">
        <v>1702409736</v>
      </c>
      <c r="S209" s="1150" t="s">
        <v>151</v>
      </c>
      <c r="T209" s="1142" t="s">
        <v>140</v>
      </c>
      <c r="U209" s="1143" t="s">
        <v>140</v>
      </c>
      <c r="V209" s="1144">
        <v>1</v>
      </c>
      <c r="W209" s="1141">
        <v>1702409736</v>
      </c>
      <c r="X209" s="1145">
        <v>3689</v>
      </c>
      <c r="Y209" s="1145">
        <v>3688.86</v>
      </c>
      <c r="Z209" s="1146">
        <v>3.7952104444238799E-5</v>
      </c>
      <c r="AA209" s="1147">
        <v>2767</v>
      </c>
      <c r="AB209" s="1135">
        <v>80</v>
      </c>
      <c r="AC209" s="1135">
        <v>10</v>
      </c>
      <c r="AD209" s="1134">
        <v>16</v>
      </c>
      <c r="AE209" s="1135">
        <v>81</v>
      </c>
      <c r="AF209" s="1135">
        <v>10</v>
      </c>
      <c r="AG209" s="1134">
        <v>15</v>
      </c>
      <c r="AH209" s="1135">
        <v>81</v>
      </c>
      <c r="AI209" s="1135">
        <v>10</v>
      </c>
      <c r="AJ209" s="1134">
        <v>22</v>
      </c>
      <c r="AK209" s="1134"/>
      <c r="AL209" s="1401" t="s">
        <v>22</v>
      </c>
    </row>
    <row r="210" spans="1:38" s="374" customFormat="1" ht="71.25">
      <c r="A210" s="1133" t="s">
        <v>1347</v>
      </c>
      <c r="B210" s="1133" t="s">
        <v>1353</v>
      </c>
      <c r="C210" s="1134" t="s">
        <v>1354</v>
      </c>
      <c r="D210" s="1135" t="s">
        <v>22</v>
      </c>
      <c r="E210" s="1135" t="s">
        <v>22</v>
      </c>
      <c r="F210" s="1135" t="s">
        <v>22</v>
      </c>
      <c r="G210" s="1134" t="s">
        <v>22</v>
      </c>
      <c r="H210" s="375" t="s">
        <v>965</v>
      </c>
      <c r="I210" s="375" t="s">
        <v>1358</v>
      </c>
      <c r="J210" s="1136">
        <v>18</v>
      </c>
      <c r="K210" s="1131">
        <v>0.3</v>
      </c>
      <c r="L210" s="1148" t="s">
        <v>22</v>
      </c>
      <c r="M210" s="1139">
        <v>40504</v>
      </c>
      <c r="N210" s="1130">
        <v>41287</v>
      </c>
      <c r="O210" s="1135" t="s">
        <v>22</v>
      </c>
      <c r="P210" s="1149">
        <v>2013</v>
      </c>
      <c r="Q210" s="1141">
        <v>589500</v>
      </c>
      <c r="R210" s="1150">
        <v>3199078844.48</v>
      </c>
      <c r="S210" s="1150" t="s">
        <v>151</v>
      </c>
      <c r="T210" s="1142" t="s">
        <v>140</v>
      </c>
      <c r="U210" s="1143" t="s">
        <v>140</v>
      </c>
      <c r="V210" s="1144">
        <v>1</v>
      </c>
      <c r="W210" s="1141">
        <v>3199078844.48</v>
      </c>
      <c r="X210" s="1145">
        <v>5427</v>
      </c>
      <c r="Y210" s="1157">
        <v>5426.76</v>
      </c>
      <c r="Z210" s="1146">
        <v>4.4225283594601095E-5</v>
      </c>
      <c r="AA210" s="1147">
        <v>1628</v>
      </c>
      <c r="AB210" s="1135">
        <v>80</v>
      </c>
      <c r="AC210" s="1135">
        <v>10</v>
      </c>
      <c r="AD210" s="1134">
        <v>16</v>
      </c>
      <c r="AE210" s="1135">
        <v>81</v>
      </c>
      <c r="AF210" s="1135">
        <v>10</v>
      </c>
      <c r="AG210" s="1134">
        <v>15</v>
      </c>
      <c r="AH210" s="1135">
        <v>81</v>
      </c>
      <c r="AI210" s="1135">
        <v>10</v>
      </c>
      <c r="AJ210" s="1134">
        <v>22</v>
      </c>
      <c r="AK210" s="1134"/>
      <c r="AL210" s="1401" t="s">
        <v>22</v>
      </c>
    </row>
    <row r="211" spans="1:38" s="374" customFormat="1" ht="90.95" customHeight="1">
      <c r="A211" s="1133" t="s">
        <v>1359</v>
      </c>
      <c r="B211" s="1133" t="s">
        <v>1360</v>
      </c>
      <c r="C211" s="1134" t="s">
        <v>1361</v>
      </c>
      <c r="D211" s="1135" t="s">
        <v>22</v>
      </c>
      <c r="E211" s="1135" t="s">
        <v>22</v>
      </c>
      <c r="F211" s="1135" t="s">
        <v>22</v>
      </c>
      <c r="G211" s="1134" t="s">
        <v>22</v>
      </c>
      <c r="H211" s="992" t="s">
        <v>1362</v>
      </c>
      <c r="I211" s="375" t="s">
        <v>1363</v>
      </c>
      <c r="J211" s="1136">
        <v>13</v>
      </c>
      <c r="K211" s="1131">
        <v>1</v>
      </c>
      <c r="L211" s="1148" t="s">
        <v>22</v>
      </c>
      <c r="M211" s="1139">
        <v>38323</v>
      </c>
      <c r="N211" s="1130">
        <v>40694</v>
      </c>
      <c r="O211" s="1135" t="s">
        <v>22</v>
      </c>
      <c r="P211" s="1149">
        <v>2011</v>
      </c>
      <c r="Q211" s="1141">
        <v>535600</v>
      </c>
      <c r="R211" s="1150">
        <v>8415351165</v>
      </c>
      <c r="S211" s="1150" t="s">
        <v>151</v>
      </c>
      <c r="T211" s="1142" t="s">
        <v>140</v>
      </c>
      <c r="U211" s="1143" t="s">
        <v>140</v>
      </c>
      <c r="V211" s="1144">
        <v>1</v>
      </c>
      <c r="W211" s="1141">
        <v>8415351165</v>
      </c>
      <c r="X211" s="1145">
        <v>15712</v>
      </c>
      <c r="Y211" s="1145">
        <v>15712.01</v>
      </c>
      <c r="Z211" s="1146">
        <v>6.3645580672400115E-7</v>
      </c>
      <c r="AA211" s="1147">
        <v>15712</v>
      </c>
      <c r="AB211" s="1135"/>
      <c r="AC211" s="1135"/>
      <c r="AD211" s="1134"/>
      <c r="AE211" s="1135">
        <v>81</v>
      </c>
      <c r="AF211" s="1135">
        <v>10</v>
      </c>
      <c r="AG211" s="1134">
        <v>15</v>
      </c>
      <c r="AH211" s="1135"/>
      <c r="AI211" s="1135"/>
      <c r="AJ211" s="1134"/>
      <c r="AK211" s="1134" t="s">
        <v>129</v>
      </c>
      <c r="AL211" s="1401" t="s">
        <v>22</v>
      </c>
    </row>
    <row r="212" spans="1:38" s="374" customFormat="1" ht="129.94999999999999" customHeight="1">
      <c r="A212" s="1133" t="s">
        <v>1359</v>
      </c>
      <c r="B212" s="1133" t="s">
        <v>1360</v>
      </c>
      <c r="C212" s="1134" t="s">
        <v>1361</v>
      </c>
      <c r="D212" s="1135" t="s">
        <v>22</v>
      </c>
      <c r="E212" s="1135" t="s">
        <v>22</v>
      </c>
      <c r="F212" s="1135" t="s">
        <v>22</v>
      </c>
      <c r="G212" s="1134" t="s">
        <v>22</v>
      </c>
      <c r="H212" s="992" t="s">
        <v>1364</v>
      </c>
      <c r="I212" s="375" t="s">
        <v>1365</v>
      </c>
      <c r="J212" s="1136">
        <v>2</v>
      </c>
      <c r="K212" s="1131">
        <v>1</v>
      </c>
      <c r="L212" s="1148" t="s">
        <v>22</v>
      </c>
      <c r="M212" s="1139">
        <v>39246</v>
      </c>
      <c r="N212" s="1130">
        <v>40311</v>
      </c>
      <c r="O212" s="1135" t="s">
        <v>22</v>
      </c>
      <c r="P212" s="1149">
        <v>2010</v>
      </c>
      <c r="Q212" s="1141">
        <v>515000</v>
      </c>
      <c r="R212" s="1150">
        <v>4653247126</v>
      </c>
      <c r="S212" s="1150" t="s">
        <v>151</v>
      </c>
      <c r="T212" s="1142" t="s">
        <v>140</v>
      </c>
      <c r="U212" s="1143" t="s">
        <v>140</v>
      </c>
      <c r="V212" s="1144">
        <v>1</v>
      </c>
      <c r="W212" s="1141">
        <v>4653247126</v>
      </c>
      <c r="X212" s="1145">
        <v>9035</v>
      </c>
      <c r="Y212" s="1145">
        <v>9035.43</v>
      </c>
      <c r="Z212" s="1146">
        <v>4.7590430117927518E-5</v>
      </c>
      <c r="AA212" s="1147">
        <v>9035</v>
      </c>
      <c r="AB212" s="1135"/>
      <c r="AC212" s="1135"/>
      <c r="AD212" s="1134"/>
      <c r="AE212" s="1135">
        <v>81</v>
      </c>
      <c r="AF212" s="1135">
        <v>10</v>
      </c>
      <c r="AG212" s="1134">
        <v>15</v>
      </c>
      <c r="AH212" s="1135">
        <v>81</v>
      </c>
      <c r="AI212" s="1135">
        <v>10</v>
      </c>
      <c r="AJ212" s="1134">
        <v>22</v>
      </c>
      <c r="AK212" s="1134" t="s">
        <v>129</v>
      </c>
      <c r="AL212" s="1401" t="s">
        <v>22</v>
      </c>
    </row>
    <row r="213" spans="1:38" s="374" customFormat="1" ht="71.25">
      <c r="A213" s="1133" t="s">
        <v>1359</v>
      </c>
      <c r="B213" s="1133" t="s">
        <v>1360</v>
      </c>
      <c r="C213" s="1134" t="s">
        <v>1361</v>
      </c>
      <c r="D213" s="1135" t="s">
        <v>22</v>
      </c>
      <c r="E213" s="1135" t="s">
        <v>22</v>
      </c>
      <c r="F213" s="1135" t="s">
        <v>22</v>
      </c>
      <c r="G213" s="1134" t="s">
        <v>22</v>
      </c>
      <c r="H213" s="992" t="s">
        <v>1364</v>
      </c>
      <c r="I213" s="375" t="s">
        <v>1366</v>
      </c>
      <c r="J213" s="1136">
        <v>24</v>
      </c>
      <c r="K213" s="1131">
        <v>1</v>
      </c>
      <c r="L213" s="1148" t="s">
        <v>22</v>
      </c>
      <c r="M213" s="1139">
        <v>39153</v>
      </c>
      <c r="N213" s="1130">
        <v>39867</v>
      </c>
      <c r="O213" s="1135" t="s">
        <v>22</v>
      </c>
      <c r="P213" s="1149">
        <v>2009</v>
      </c>
      <c r="Q213" s="1141">
        <v>496900</v>
      </c>
      <c r="R213" s="1150">
        <v>1607052207</v>
      </c>
      <c r="S213" s="1150" t="s">
        <v>151</v>
      </c>
      <c r="T213" s="1142" t="s">
        <v>140</v>
      </c>
      <c r="U213" s="1143" t="s">
        <v>140</v>
      </c>
      <c r="V213" s="1144">
        <v>1</v>
      </c>
      <c r="W213" s="1141">
        <v>1607052207</v>
      </c>
      <c r="X213" s="1145">
        <v>3234</v>
      </c>
      <c r="Y213" s="1145">
        <v>3234.16</v>
      </c>
      <c r="Z213" s="1146">
        <v>4.9471887599850106E-5</v>
      </c>
      <c r="AA213" s="1147">
        <v>3234</v>
      </c>
      <c r="AB213" s="1135"/>
      <c r="AC213" s="1135"/>
      <c r="AD213" s="1134"/>
      <c r="AE213" s="1135">
        <v>81</v>
      </c>
      <c r="AF213" s="1135">
        <v>10</v>
      </c>
      <c r="AG213" s="1134">
        <v>15</v>
      </c>
      <c r="AH213" s="1135">
        <v>81</v>
      </c>
      <c r="AI213" s="1135">
        <v>10</v>
      </c>
      <c r="AJ213" s="1134">
        <v>22</v>
      </c>
      <c r="AK213" s="1134" t="s">
        <v>129</v>
      </c>
      <c r="AL213" s="1401" t="s">
        <v>22</v>
      </c>
    </row>
    <row r="214" spans="1:38" s="374" customFormat="1" ht="51.95" customHeight="1">
      <c r="A214" s="1133" t="s">
        <v>1359</v>
      </c>
      <c r="B214" s="1133" t="s">
        <v>1360</v>
      </c>
      <c r="C214" s="1134" t="s">
        <v>1361</v>
      </c>
      <c r="D214" s="1135" t="s">
        <v>22</v>
      </c>
      <c r="E214" s="1135" t="s">
        <v>22</v>
      </c>
      <c r="F214" s="1135" t="s">
        <v>22</v>
      </c>
      <c r="G214" s="1134" t="s">
        <v>22</v>
      </c>
      <c r="H214" s="992" t="s">
        <v>1364</v>
      </c>
      <c r="I214" s="375" t="s">
        <v>1367</v>
      </c>
      <c r="J214" s="1136">
        <v>50</v>
      </c>
      <c r="K214" s="1131">
        <v>1</v>
      </c>
      <c r="L214" s="1148" t="s">
        <v>22</v>
      </c>
      <c r="M214" s="1139">
        <v>38852</v>
      </c>
      <c r="N214" s="1130">
        <v>39431</v>
      </c>
      <c r="O214" s="1135" t="s">
        <v>22</v>
      </c>
      <c r="P214" s="1149">
        <v>2007</v>
      </c>
      <c r="Q214" s="1141">
        <v>433700</v>
      </c>
      <c r="R214" s="1150">
        <v>1681765496</v>
      </c>
      <c r="S214" s="1150" t="s">
        <v>151</v>
      </c>
      <c r="T214" s="1142" t="s">
        <v>140</v>
      </c>
      <c r="U214" s="1143" t="s">
        <v>140</v>
      </c>
      <c r="V214" s="1144">
        <v>1</v>
      </c>
      <c r="W214" s="1141">
        <v>1681765496</v>
      </c>
      <c r="X214" s="1145">
        <v>3878</v>
      </c>
      <c r="Y214" s="1145">
        <v>3877.72</v>
      </c>
      <c r="Z214" s="1146">
        <v>7.2207379594235732E-5</v>
      </c>
      <c r="AA214" s="1147">
        <v>3878</v>
      </c>
      <c r="AB214" s="1135">
        <v>80</v>
      </c>
      <c r="AC214" s="1135">
        <v>10</v>
      </c>
      <c r="AD214" s="1134">
        <v>16</v>
      </c>
      <c r="AE214" s="1135">
        <v>81</v>
      </c>
      <c r="AF214" s="1135">
        <v>10</v>
      </c>
      <c r="AG214" s="1134">
        <v>15</v>
      </c>
      <c r="AH214" s="1135">
        <v>81</v>
      </c>
      <c r="AI214" s="1135">
        <v>10</v>
      </c>
      <c r="AJ214" s="1134">
        <v>22</v>
      </c>
      <c r="AK214" s="1134" t="s">
        <v>129</v>
      </c>
      <c r="AL214" s="1401" t="s">
        <v>22</v>
      </c>
    </row>
    <row r="215" spans="1:38" s="374" customFormat="1" ht="85.5">
      <c r="A215" s="1133" t="s">
        <v>1359</v>
      </c>
      <c r="B215" s="1133" t="s">
        <v>1360</v>
      </c>
      <c r="C215" s="1134" t="s">
        <v>1361</v>
      </c>
      <c r="D215" s="1135" t="s">
        <v>22</v>
      </c>
      <c r="E215" s="1135" t="s">
        <v>22</v>
      </c>
      <c r="F215" s="1135" t="s">
        <v>22</v>
      </c>
      <c r="G215" s="1134" t="s">
        <v>22</v>
      </c>
      <c r="H215" s="992" t="s">
        <v>1362</v>
      </c>
      <c r="I215" s="375" t="s">
        <v>1368</v>
      </c>
      <c r="J215" s="1136">
        <v>8</v>
      </c>
      <c r="K215" s="1131">
        <v>0.5</v>
      </c>
      <c r="L215" s="1148" t="s">
        <v>22</v>
      </c>
      <c r="M215" s="1139">
        <v>36161</v>
      </c>
      <c r="N215" s="1130">
        <v>37803</v>
      </c>
      <c r="O215" s="1135" t="s">
        <v>22</v>
      </c>
      <c r="P215" s="1149">
        <v>2003</v>
      </c>
      <c r="Q215" s="1141">
        <v>332000</v>
      </c>
      <c r="R215" s="1150">
        <v>5331439397</v>
      </c>
      <c r="S215" s="1150" t="s">
        <v>151</v>
      </c>
      <c r="T215" s="1142" t="s">
        <v>140</v>
      </c>
      <c r="U215" s="1143" t="s">
        <v>140</v>
      </c>
      <c r="V215" s="1144">
        <v>1</v>
      </c>
      <c r="W215" s="1141">
        <v>5331439397</v>
      </c>
      <c r="X215" s="1145">
        <v>16059</v>
      </c>
      <c r="Y215" s="1145">
        <v>16058.55</v>
      </c>
      <c r="Z215" s="1146">
        <v>2.8022455327514351E-5</v>
      </c>
      <c r="AA215" s="1147">
        <v>8030</v>
      </c>
      <c r="AB215" s="1135">
        <v>80</v>
      </c>
      <c r="AC215" s="1135">
        <v>10</v>
      </c>
      <c r="AD215" s="1134">
        <v>16</v>
      </c>
      <c r="AE215" s="1135">
        <v>81</v>
      </c>
      <c r="AF215" s="1135">
        <v>10</v>
      </c>
      <c r="AG215" s="1134">
        <v>15</v>
      </c>
      <c r="AH215" s="1135">
        <v>81</v>
      </c>
      <c r="AI215" s="1135">
        <v>10</v>
      </c>
      <c r="AJ215" s="1134">
        <v>22</v>
      </c>
      <c r="AK215" s="1134" t="s">
        <v>129</v>
      </c>
      <c r="AL215" s="1401" t="s">
        <v>22</v>
      </c>
    </row>
    <row r="216" spans="1:38" s="374" customFormat="1" ht="28.5">
      <c r="A216" s="1133" t="s">
        <v>1359</v>
      </c>
      <c r="B216" s="1133" t="s">
        <v>1360</v>
      </c>
      <c r="C216" s="1134" t="s">
        <v>1361</v>
      </c>
      <c r="D216" s="1135" t="s">
        <v>22</v>
      </c>
      <c r="E216" s="1135" t="s">
        <v>22</v>
      </c>
      <c r="F216" s="1135" t="s">
        <v>22</v>
      </c>
      <c r="G216" s="1134" t="s">
        <v>22</v>
      </c>
      <c r="H216" s="992" t="s">
        <v>1369</v>
      </c>
      <c r="I216" s="375" t="s">
        <v>1370</v>
      </c>
      <c r="J216" s="1136">
        <v>128</v>
      </c>
      <c r="K216" s="1131">
        <v>0.5</v>
      </c>
      <c r="L216" s="1148" t="s">
        <v>22</v>
      </c>
      <c r="M216" s="1139">
        <v>35612</v>
      </c>
      <c r="N216" s="1130">
        <v>36311</v>
      </c>
      <c r="O216" s="1135" t="s">
        <v>22</v>
      </c>
      <c r="P216" s="1149">
        <v>1999</v>
      </c>
      <c r="Q216" s="1141">
        <v>236460</v>
      </c>
      <c r="R216" s="1150">
        <v>1549994366</v>
      </c>
      <c r="S216" s="1150" t="s">
        <v>151</v>
      </c>
      <c r="T216" s="1142" t="s">
        <v>140</v>
      </c>
      <c r="U216" s="1143" t="s">
        <v>140</v>
      </c>
      <c r="V216" s="1144">
        <v>1</v>
      </c>
      <c r="W216" s="1141">
        <v>1549994366</v>
      </c>
      <c r="X216" s="1145">
        <v>6555</v>
      </c>
      <c r="Y216" s="1145">
        <v>6555</v>
      </c>
      <c r="Z216" s="1146">
        <v>0</v>
      </c>
      <c r="AA216" s="1147">
        <v>3278</v>
      </c>
      <c r="AB216" s="1135">
        <v>80</v>
      </c>
      <c r="AC216" s="1135">
        <v>10</v>
      </c>
      <c r="AD216" s="1134">
        <v>16</v>
      </c>
      <c r="AE216" s="1135">
        <v>81</v>
      </c>
      <c r="AF216" s="1135">
        <v>10</v>
      </c>
      <c r="AG216" s="1134">
        <v>15</v>
      </c>
      <c r="AH216" s="1135">
        <v>81</v>
      </c>
      <c r="AI216" s="1135">
        <v>10</v>
      </c>
      <c r="AJ216" s="1134">
        <v>22</v>
      </c>
      <c r="AK216" s="1134" t="s">
        <v>129</v>
      </c>
      <c r="AL216" s="1401" t="s">
        <v>22</v>
      </c>
    </row>
    <row r="217" spans="1:38" s="374" customFormat="1" ht="90.95" customHeight="1">
      <c r="A217" s="1133" t="s">
        <v>1371</v>
      </c>
      <c r="B217" s="1133" t="s">
        <v>1372</v>
      </c>
      <c r="C217" s="1134" t="s">
        <v>1373</v>
      </c>
      <c r="D217" s="1135" t="s">
        <v>22</v>
      </c>
      <c r="E217" s="1135" t="s">
        <v>22</v>
      </c>
      <c r="F217" s="1135" t="s">
        <v>129</v>
      </c>
      <c r="G217" s="1134" t="s">
        <v>129</v>
      </c>
      <c r="H217" s="992" t="s">
        <v>1038</v>
      </c>
      <c r="I217" s="375" t="s">
        <v>1374</v>
      </c>
      <c r="J217" s="1136">
        <v>6</v>
      </c>
      <c r="K217" s="1131">
        <v>0.9</v>
      </c>
      <c r="L217" s="1148" t="s">
        <v>22</v>
      </c>
      <c r="M217" s="1139">
        <v>38341</v>
      </c>
      <c r="N217" s="1130">
        <v>40694</v>
      </c>
      <c r="O217" s="1135" t="s">
        <v>22</v>
      </c>
      <c r="P217" s="1149">
        <v>2011</v>
      </c>
      <c r="Q217" s="1141">
        <v>535600</v>
      </c>
      <c r="R217" s="1150">
        <v>5410438796</v>
      </c>
      <c r="S217" s="1150" t="s">
        <v>151</v>
      </c>
      <c r="T217" s="1142" t="s">
        <v>140</v>
      </c>
      <c r="U217" s="1143" t="s">
        <v>140</v>
      </c>
      <c r="V217" s="1144">
        <v>1</v>
      </c>
      <c r="W217" s="1141">
        <v>5410438796</v>
      </c>
      <c r="X217" s="1145">
        <v>10102</v>
      </c>
      <c r="Y217" s="1145">
        <v>10101.64</v>
      </c>
      <c r="Z217" s="1146">
        <v>3.563777762827236E-5</v>
      </c>
      <c r="AA217" s="1147">
        <v>9092</v>
      </c>
      <c r="AB217" s="1135"/>
      <c r="AC217" s="1135"/>
      <c r="AD217" s="1134"/>
      <c r="AE217" s="1135">
        <v>81</v>
      </c>
      <c r="AF217" s="1135">
        <v>10</v>
      </c>
      <c r="AG217" s="1134">
        <v>15</v>
      </c>
      <c r="AH217" s="1135">
        <v>81</v>
      </c>
      <c r="AI217" s="1135">
        <v>10</v>
      </c>
      <c r="AJ217" s="1134">
        <v>22</v>
      </c>
      <c r="AK217" s="1134" t="s">
        <v>129</v>
      </c>
      <c r="AL217" s="1401" t="s">
        <v>22</v>
      </c>
    </row>
    <row r="218" spans="1:38" s="374" customFormat="1" ht="51.95" customHeight="1">
      <c r="A218" s="1133" t="s">
        <v>1371</v>
      </c>
      <c r="B218" s="1133" t="s">
        <v>1372</v>
      </c>
      <c r="C218" s="1134" t="s">
        <v>1373</v>
      </c>
      <c r="D218" s="1135" t="s">
        <v>22</v>
      </c>
      <c r="E218" s="1135" t="s">
        <v>22</v>
      </c>
      <c r="F218" s="1135" t="s">
        <v>129</v>
      </c>
      <c r="G218" s="1134" t="s">
        <v>129</v>
      </c>
      <c r="H218" s="992" t="s">
        <v>1375</v>
      </c>
      <c r="I218" s="375" t="s">
        <v>1376</v>
      </c>
      <c r="J218" s="1136" t="s">
        <v>903</v>
      </c>
      <c r="K218" s="1131">
        <v>0.45</v>
      </c>
      <c r="L218" s="1148" t="s">
        <v>22</v>
      </c>
      <c r="M218" s="1139">
        <v>39125</v>
      </c>
      <c r="N218" s="1130">
        <v>42012</v>
      </c>
      <c r="O218" s="1135" t="s">
        <v>22</v>
      </c>
      <c r="P218" s="1149">
        <v>2015</v>
      </c>
      <c r="Q218" s="1141">
        <v>644350</v>
      </c>
      <c r="R218" s="1150">
        <v>15319357761</v>
      </c>
      <c r="S218" s="1150" t="s">
        <v>151</v>
      </c>
      <c r="T218" s="1142" t="s">
        <v>140</v>
      </c>
      <c r="U218" s="1143" t="s">
        <v>140</v>
      </c>
      <c r="V218" s="1144">
        <v>1</v>
      </c>
      <c r="W218" s="1141">
        <v>15319357761</v>
      </c>
      <c r="X218" s="1145">
        <v>23775</v>
      </c>
      <c r="Y218" s="1145"/>
      <c r="Z218" s="1146" t="s">
        <v>140</v>
      </c>
      <c r="AA218" s="1147">
        <v>10699</v>
      </c>
      <c r="AB218" s="1135"/>
      <c r="AC218" s="1135"/>
      <c r="AD218" s="1134"/>
      <c r="AE218" s="1135"/>
      <c r="AF218" s="1135"/>
      <c r="AG218" s="1134"/>
      <c r="AH218" s="1135"/>
      <c r="AI218" s="1135"/>
      <c r="AJ218" s="1134"/>
      <c r="AK218" s="1134" t="s">
        <v>22</v>
      </c>
      <c r="AL218" s="1401" t="s">
        <v>22</v>
      </c>
    </row>
    <row r="219" spans="1:38" s="384" customFormat="1" ht="137.1" customHeight="1">
      <c r="A219" s="1133" t="s">
        <v>1371</v>
      </c>
      <c r="B219" s="1133" t="s">
        <v>1377</v>
      </c>
      <c r="C219" s="1134" t="s">
        <v>1378</v>
      </c>
      <c r="D219" s="1135" t="s">
        <v>22</v>
      </c>
      <c r="E219" s="1135" t="s">
        <v>22</v>
      </c>
      <c r="F219" s="1135" t="s">
        <v>129</v>
      </c>
      <c r="G219" s="1134" t="s">
        <v>129</v>
      </c>
      <c r="H219" s="992" t="s">
        <v>448</v>
      </c>
      <c r="I219" s="375" t="s">
        <v>1379</v>
      </c>
      <c r="J219" s="1136">
        <v>42</v>
      </c>
      <c r="K219" s="1131">
        <v>0.2</v>
      </c>
      <c r="L219" s="1148" t="s">
        <v>22</v>
      </c>
      <c r="M219" s="1182">
        <v>39615</v>
      </c>
      <c r="N219" s="1130">
        <v>41502</v>
      </c>
      <c r="O219" s="1135" t="s">
        <v>22</v>
      </c>
      <c r="P219" s="1149">
        <v>2013</v>
      </c>
      <c r="Q219" s="1141">
        <v>589500</v>
      </c>
      <c r="R219" s="1150">
        <v>28736581560</v>
      </c>
      <c r="S219" s="1150" t="s">
        <v>151</v>
      </c>
      <c r="T219" s="1142" t="s">
        <v>140</v>
      </c>
      <c r="U219" s="1143" t="s">
        <v>140</v>
      </c>
      <c r="V219" s="1144">
        <v>1</v>
      </c>
      <c r="W219" s="1141">
        <v>28736581560</v>
      </c>
      <c r="X219" s="1145">
        <v>48747</v>
      </c>
      <c r="Y219" s="1145">
        <v>50224.35</v>
      </c>
      <c r="Z219" s="1146">
        <v>2.9415014828464647E-2</v>
      </c>
      <c r="AA219" s="1147">
        <v>9749</v>
      </c>
      <c r="AB219" s="1135">
        <v>80</v>
      </c>
      <c r="AC219" s="1135">
        <v>10</v>
      </c>
      <c r="AD219" s="1134">
        <v>16</v>
      </c>
      <c r="AE219" s="1135">
        <v>81</v>
      </c>
      <c r="AF219" s="1135">
        <v>10</v>
      </c>
      <c r="AG219" s="1134">
        <v>15</v>
      </c>
      <c r="AH219" s="1135">
        <v>81</v>
      </c>
      <c r="AI219" s="1135">
        <v>10</v>
      </c>
      <c r="AJ219" s="1134">
        <v>22</v>
      </c>
      <c r="AK219" s="1134" t="s">
        <v>129</v>
      </c>
      <c r="AL219" s="1401" t="s">
        <v>22</v>
      </c>
    </row>
    <row r="220" spans="1:38" s="384" customFormat="1" ht="57">
      <c r="A220" s="1133" t="s">
        <v>1371</v>
      </c>
      <c r="B220" s="1133" t="s">
        <v>1380</v>
      </c>
      <c r="C220" s="1134" t="s">
        <v>1381</v>
      </c>
      <c r="D220" s="1135" t="s">
        <v>22</v>
      </c>
      <c r="E220" s="1135" t="s">
        <v>22</v>
      </c>
      <c r="F220" s="1135" t="s">
        <v>129</v>
      </c>
      <c r="G220" s="1134" t="s">
        <v>129</v>
      </c>
      <c r="H220" s="992" t="s">
        <v>214</v>
      </c>
      <c r="I220" s="375" t="s">
        <v>1382</v>
      </c>
      <c r="J220" s="1136">
        <v>5</v>
      </c>
      <c r="K220" s="1131">
        <v>1</v>
      </c>
      <c r="L220" s="1148" t="s">
        <v>22</v>
      </c>
      <c r="M220" s="1128">
        <v>38681</v>
      </c>
      <c r="N220" s="1156">
        <v>39994</v>
      </c>
      <c r="O220" s="1135" t="s">
        <v>22</v>
      </c>
      <c r="P220" s="1149">
        <v>2009</v>
      </c>
      <c r="Q220" s="1141">
        <v>496900</v>
      </c>
      <c r="R220" s="1150">
        <v>1194924.49</v>
      </c>
      <c r="S220" s="1150" t="s">
        <v>142</v>
      </c>
      <c r="T220" s="1142">
        <v>1.4047000000000001</v>
      </c>
      <c r="U220" s="1143">
        <v>1678510.431103</v>
      </c>
      <c r="V220" s="1144">
        <v>2158.67</v>
      </c>
      <c r="W220" s="1141">
        <v>3623350112.309113</v>
      </c>
      <c r="X220" s="1145">
        <v>7292</v>
      </c>
      <c r="Y220" s="1145">
        <v>6890.15</v>
      </c>
      <c r="Z220" s="1146">
        <v>5.8322387756434946E-2</v>
      </c>
      <c r="AA220" s="1147">
        <v>7292</v>
      </c>
      <c r="AB220" s="1135">
        <v>80</v>
      </c>
      <c r="AC220" s="1135">
        <v>10</v>
      </c>
      <c r="AD220" s="1134">
        <v>16</v>
      </c>
      <c r="AE220" s="1135">
        <v>81</v>
      </c>
      <c r="AF220" s="1135">
        <v>10</v>
      </c>
      <c r="AG220" s="1134">
        <v>15</v>
      </c>
      <c r="AH220" s="1135">
        <v>81</v>
      </c>
      <c r="AI220" s="1135">
        <v>10</v>
      </c>
      <c r="AJ220" s="1134">
        <v>22</v>
      </c>
      <c r="AK220" s="1134" t="s">
        <v>129</v>
      </c>
      <c r="AL220" s="1401" t="s">
        <v>22</v>
      </c>
    </row>
    <row r="221" spans="1:38" s="384" customFormat="1" ht="42.75">
      <c r="A221" s="1133" t="s">
        <v>1371</v>
      </c>
      <c r="B221" s="1133" t="s">
        <v>1380</v>
      </c>
      <c r="C221" s="1134" t="s">
        <v>1381</v>
      </c>
      <c r="D221" s="1135" t="s">
        <v>22</v>
      </c>
      <c r="E221" s="1135" t="s">
        <v>22</v>
      </c>
      <c r="F221" s="1135" t="s">
        <v>129</v>
      </c>
      <c r="G221" s="1134" t="s">
        <v>129</v>
      </c>
      <c r="H221" s="992" t="s">
        <v>214</v>
      </c>
      <c r="I221" s="375" t="s">
        <v>1383</v>
      </c>
      <c r="J221" s="1136">
        <v>10</v>
      </c>
      <c r="K221" s="1131">
        <v>1</v>
      </c>
      <c r="L221" s="1148" t="s">
        <v>22</v>
      </c>
      <c r="M221" s="1139">
        <v>36850</v>
      </c>
      <c r="N221" s="1130">
        <v>38291</v>
      </c>
      <c r="O221" s="1135" t="s">
        <v>22</v>
      </c>
      <c r="P221" s="1149">
        <v>2004</v>
      </c>
      <c r="Q221" s="1141">
        <v>358000</v>
      </c>
      <c r="R221" s="1150">
        <v>1526917.675</v>
      </c>
      <c r="S221" s="1150" t="s">
        <v>142</v>
      </c>
      <c r="T221" s="1142">
        <v>1.2790999999999999</v>
      </c>
      <c r="U221" s="1143">
        <v>1953080.3980924999</v>
      </c>
      <c r="V221" s="1144">
        <v>2575.19</v>
      </c>
      <c r="W221" s="1141">
        <v>5029553110.3638248</v>
      </c>
      <c r="X221" s="1145">
        <v>14049</v>
      </c>
      <c r="Y221" s="1145">
        <v>10651.07</v>
      </c>
      <c r="Z221" s="1146">
        <v>0.31902240807731053</v>
      </c>
      <c r="AA221" s="1147">
        <v>14049</v>
      </c>
      <c r="AB221" s="1135">
        <v>80</v>
      </c>
      <c r="AC221" s="1135">
        <v>10</v>
      </c>
      <c r="AD221" s="1134">
        <v>16</v>
      </c>
      <c r="AE221" s="1135">
        <v>81</v>
      </c>
      <c r="AF221" s="1135">
        <v>10</v>
      </c>
      <c r="AG221" s="1134">
        <v>15</v>
      </c>
      <c r="AH221" s="1135">
        <v>81</v>
      </c>
      <c r="AI221" s="1135">
        <v>10</v>
      </c>
      <c r="AJ221" s="1134">
        <v>22</v>
      </c>
      <c r="AK221" s="1134" t="s">
        <v>129</v>
      </c>
      <c r="AL221" s="1401" t="s">
        <v>22</v>
      </c>
    </row>
    <row r="222" spans="1:38" s="384" customFormat="1" ht="90.95" customHeight="1">
      <c r="A222" s="1133" t="s">
        <v>1371</v>
      </c>
      <c r="B222" s="1133" t="s">
        <v>1380</v>
      </c>
      <c r="C222" s="1134" t="s">
        <v>1381</v>
      </c>
      <c r="D222" s="1135" t="s">
        <v>22</v>
      </c>
      <c r="E222" s="1135" t="s">
        <v>22</v>
      </c>
      <c r="F222" s="1135" t="s">
        <v>129</v>
      </c>
      <c r="G222" s="1134" t="s">
        <v>129</v>
      </c>
      <c r="H222" s="992" t="s">
        <v>1384</v>
      </c>
      <c r="I222" s="375" t="s">
        <v>1385</v>
      </c>
      <c r="J222" s="1136">
        <v>17</v>
      </c>
      <c r="K222" s="1131">
        <v>1</v>
      </c>
      <c r="L222" s="1148" t="s">
        <v>22</v>
      </c>
      <c r="M222" s="1139">
        <v>37237</v>
      </c>
      <c r="N222" s="1130">
        <v>37978</v>
      </c>
      <c r="O222" s="1135" t="s">
        <v>22</v>
      </c>
      <c r="P222" s="1149">
        <v>2003</v>
      </c>
      <c r="Q222" s="1141">
        <v>332000</v>
      </c>
      <c r="R222" s="1150">
        <v>935604.46</v>
      </c>
      <c r="S222" s="1150" t="s">
        <v>142</v>
      </c>
      <c r="T222" s="1142">
        <v>1.24</v>
      </c>
      <c r="U222" s="1143">
        <v>1160149.5304</v>
      </c>
      <c r="V222" s="1144">
        <v>2809.09</v>
      </c>
      <c r="W222" s="1141">
        <v>3258964444.3513365</v>
      </c>
      <c r="X222" s="1145">
        <v>9816</v>
      </c>
      <c r="Y222" s="1145">
        <v>7683.55</v>
      </c>
      <c r="Z222" s="1146">
        <v>0.27753447299750755</v>
      </c>
      <c r="AA222" s="1147">
        <v>9816</v>
      </c>
      <c r="AB222" s="1135">
        <v>80</v>
      </c>
      <c r="AC222" s="1135">
        <v>10</v>
      </c>
      <c r="AD222" s="1134">
        <v>16</v>
      </c>
      <c r="AE222" s="1135">
        <v>81</v>
      </c>
      <c r="AF222" s="1135">
        <v>10</v>
      </c>
      <c r="AG222" s="1134">
        <v>15</v>
      </c>
      <c r="AH222" s="1135">
        <v>81</v>
      </c>
      <c r="AI222" s="1135">
        <v>10</v>
      </c>
      <c r="AJ222" s="1134">
        <v>22</v>
      </c>
      <c r="AK222" s="1134" t="s">
        <v>129</v>
      </c>
      <c r="AL222" s="1401" t="s">
        <v>22</v>
      </c>
    </row>
    <row r="223" spans="1:38" s="384" customFormat="1" ht="90.95" customHeight="1">
      <c r="A223" s="1133" t="s">
        <v>1386</v>
      </c>
      <c r="B223" s="1133" t="s">
        <v>1387</v>
      </c>
      <c r="C223" s="1134" t="s">
        <v>1388</v>
      </c>
      <c r="D223" s="1135" t="s">
        <v>22</v>
      </c>
      <c r="E223" s="1135" t="s">
        <v>22</v>
      </c>
      <c r="F223" s="1135" t="s">
        <v>22</v>
      </c>
      <c r="G223" s="1134" t="s">
        <v>22</v>
      </c>
      <c r="H223" s="992" t="s">
        <v>517</v>
      </c>
      <c r="I223" s="375" t="s">
        <v>1389</v>
      </c>
      <c r="J223" s="1136" t="s">
        <v>903</v>
      </c>
      <c r="K223" s="1131">
        <v>0.5</v>
      </c>
      <c r="L223" s="1148" t="s">
        <v>22</v>
      </c>
      <c r="M223" s="1139">
        <v>41059</v>
      </c>
      <c r="N223" s="1130">
        <v>42263</v>
      </c>
      <c r="O223" s="1135" t="s">
        <v>22</v>
      </c>
      <c r="P223" s="1149">
        <v>2011</v>
      </c>
      <c r="Q223" s="1141">
        <v>535600</v>
      </c>
      <c r="R223" s="1150">
        <v>7208358320</v>
      </c>
      <c r="S223" s="1150" t="s">
        <v>151</v>
      </c>
      <c r="T223" s="1142" t="s">
        <v>140</v>
      </c>
      <c r="U223" s="1143" t="s">
        <v>140</v>
      </c>
      <c r="V223" s="1144">
        <v>1</v>
      </c>
      <c r="W223" s="1141">
        <v>7208358320</v>
      </c>
      <c r="X223" s="1145">
        <v>13458</v>
      </c>
      <c r="Y223" s="1145"/>
      <c r="Z223" s="1146" t="s">
        <v>140</v>
      </c>
      <c r="AA223" s="1147">
        <v>6729</v>
      </c>
      <c r="AB223" s="1135"/>
      <c r="AC223" s="1135"/>
      <c r="AD223" s="1134"/>
      <c r="AE223" s="1135"/>
      <c r="AF223" s="1135"/>
      <c r="AG223" s="1134"/>
      <c r="AH223" s="1135"/>
      <c r="AI223" s="1135"/>
      <c r="AJ223" s="1134"/>
      <c r="AK223" s="1134" t="s">
        <v>22</v>
      </c>
      <c r="AL223" s="1401" t="s">
        <v>22</v>
      </c>
    </row>
    <row r="224" spans="1:38" s="384" customFormat="1" ht="90.95" customHeight="1">
      <c r="A224" s="1133" t="s">
        <v>1386</v>
      </c>
      <c r="B224" s="1133" t="s">
        <v>1387</v>
      </c>
      <c r="C224" s="1134" t="s">
        <v>1388</v>
      </c>
      <c r="D224" s="1135" t="s">
        <v>22</v>
      </c>
      <c r="E224" s="1135" t="s">
        <v>22</v>
      </c>
      <c r="F224" s="1135" t="s">
        <v>22</v>
      </c>
      <c r="G224" s="1134" t="s">
        <v>22</v>
      </c>
      <c r="H224" s="992" t="s">
        <v>517</v>
      </c>
      <c r="I224" s="375" t="s">
        <v>1390</v>
      </c>
      <c r="J224" s="1136" t="s">
        <v>903</v>
      </c>
      <c r="K224" s="1131">
        <v>1</v>
      </c>
      <c r="L224" s="1148" t="s">
        <v>22</v>
      </c>
      <c r="M224" s="1139">
        <v>41185</v>
      </c>
      <c r="N224" s="1130">
        <v>42090</v>
      </c>
      <c r="O224" s="1135" t="s">
        <v>22</v>
      </c>
      <c r="P224" s="1149">
        <v>2015</v>
      </c>
      <c r="Q224" s="1141">
        <v>644350</v>
      </c>
      <c r="R224" s="1150">
        <v>3783362852</v>
      </c>
      <c r="S224" s="1150" t="s">
        <v>151</v>
      </c>
      <c r="T224" s="1142" t="s">
        <v>140</v>
      </c>
      <c r="U224" s="1143" t="s">
        <v>140</v>
      </c>
      <c r="V224" s="1144">
        <v>1</v>
      </c>
      <c r="W224" s="1141">
        <v>3783362852</v>
      </c>
      <c r="X224" s="1145">
        <v>5872</v>
      </c>
      <c r="Y224" s="1145"/>
      <c r="Z224" s="1146" t="s">
        <v>140</v>
      </c>
      <c r="AA224" s="1147">
        <v>5872</v>
      </c>
      <c r="AB224" s="1135"/>
      <c r="AC224" s="1135"/>
      <c r="AD224" s="1134"/>
      <c r="AE224" s="1135"/>
      <c r="AF224" s="1135"/>
      <c r="AG224" s="1134"/>
      <c r="AH224" s="1135"/>
      <c r="AI224" s="1135"/>
      <c r="AJ224" s="1134"/>
      <c r="AK224" s="1134" t="s">
        <v>22</v>
      </c>
      <c r="AL224" s="1401" t="s">
        <v>22</v>
      </c>
    </row>
    <row r="225" spans="1:38" s="384" customFormat="1" ht="51.95" customHeight="1">
      <c r="A225" s="1133" t="s">
        <v>1386</v>
      </c>
      <c r="B225" s="1133" t="s">
        <v>1387</v>
      </c>
      <c r="C225" s="1134" t="s">
        <v>1388</v>
      </c>
      <c r="D225" s="1135" t="s">
        <v>22</v>
      </c>
      <c r="E225" s="1135" t="s">
        <v>22</v>
      </c>
      <c r="F225" s="1135" t="s">
        <v>22</v>
      </c>
      <c r="G225" s="1134" t="s">
        <v>22</v>
      </c>
      <c r="H225" s="992" t="s">
        <v>1391</v>
      </c>
      <c r="I225" s="375" t="s">
        <v>1392</v>
      </c>
      <c r="J225" s="1136">
        <v>4</v>
      </c>
      <c r="K225" s="1131">
        <v>1</v>
      </c>
      <c r="L225" s="1148" t="s">
        <v>22</v>
      </c>
      <c r="M225" s="1139">
        <v>35711</v>
      </c>
      <c r="N225" s="1130">
        <v>37444</v>
      </c>
      <c r="O225" s="1135" t="s">
        <v>22</v>
      </c>
      <c r="P225" s="1149">
        <v>2002</v>
      </c>
      <c r="Q225" s="1141">
        <v>309000</v>
      </c>
      <c r="R225" s="1150">
        <v>1736939.39</v>
      </c>
      <c r="S225" s="1150" t="s">
        <v>179</v>
      </c>
      <c r="T225" s="1142">
        <v>1</v>
      </c>
      <c r="U225" s="1143">
        <v>1736939.39</v>
      </c>
      <c r="V225" s="1144">
        <v>2434.3200000000002</v>
      </c>
      <c r="W225" s="1141">
        <v>4228266295.8648</v>
      </c>
      <c r="X225" s="1145">
        <v>13684</v>
      </c>
      <c r="Y225" s="1145">
        <v>13683.71</v>
      </c>
      <c r="Z225" s="1146">
        <v>2.119308287018562E-5</v>
      </c>
      <c r="AA225" s="1147">
        <v>13684</v>
      </c>
      <c r="AB225" s="1135">
        <v>80</v>
      </c>
      <c r="AC225" s="1135">
        <v>10</v>
      </c>
      <c r="AD225" s="1134">
        <v>16</v>
      </c>
      <c r="AE225" s="1135">
        <v>81</v>
      </c>
      <c r="AF225" s="1135">
        <v>10</v>
      </c>
      <c r="AG225" s="1134">
        <v>15</v>
      </c>
      <c r="AH225" s="1135">
        <v>81</v>
      </c>
      <c r="AI225" s="1135">
        <v>10</v>
      </c>
      <c r="AJ225" s="1134">
        <v>22</v>
      </c>
      <c r="AK225" s="1134" t="s">
        <v>129</v>
      </c>
      <c r="AL225" s="1401" t="s">
        <v>22</v>
      </c>
    </row>
    <row r="226" spans="1:38" s="384" customFormat="1" ht="51.95" customHeight="1">
      <c r="A226" s="1133" t="s">
        <v>1386</v>
      </c>
      <c r="B226" s="1133" t="s">
        <v>1393</v>
      </c>
      <c r="C226" s="1134" t="s">
        <v>1394</v>
      </c>
      <c r="D226" s="1135" t="s">
        <v>22</v>
      </c>
      <c r="E226" s="1135" t="s">
        <v>22</v>
      </c>
      <c r="F226" s="1135" t="s">
        <v>22</v>
      </c>
      <c r="G226" s="1134" t="s">
        <v>22</v>
      </c>
      <c r="H226" s="396" t="s">
        <v>1395</v>
      </c>
      <c r="I226" s="396" t="s">
        <v>1396</v>
      </c>
      <c r="J226" s="381">
        <v>91</v>
      </c>
      <c r="K226" s="397">
        <v>1</v>
      </c>
      <c r="L226" s="381" t="s">
        <v>22</v>
      </c>
      <c r="M226" s="382">
        <v>40476</v>
      </c>
      <c r="N226" s="383">
        <v>41201</v>
      </c>
      <c r="O226" s="1135" t="s">
        <v>22</v>
      </c>
      <c r="P226" s="381">
        <v>2012</v>
      </c>
      <c r="Q226" s="1141">
        <v>566700</v>
      </c>
      <c r="R226" s="1150">
        <v>2926857537</v>
      </c>
      <c r="S226" s="1150" t="s">
        <v>151</v>
      </c>
      <c r="T226" s="1142" t="s">
        <v>140</v>
      </c>
      <c r="U226" s="1143" t="s">
        <v>140</v>
      </c>
      <c r="V226" s="1144">
        <v>1</v>
      </c>
      <c r="W226" s="1141">
        <v>2926857537</v>
      </c>
      <c r="X226" s="1145">
        <v>5165</v>
      </c>
      <c r="Y226" s="381">
        <v>9845.2000000000007</v>
      </c>
      <c r="Z226" s="1146">
        <v>0.47537886482753022</v>
      </c>
      <c r="AA226" s="1147">
        <v>5165</v>
      </c>
      <c r="AB226" s="381"/>
      <c r="AC226" s="381"/>
      <c r="AD226" s="387"/>
      <c r="AE226" s="1135">
        <v>81</v>
      </c>
      <c r="AF226" s="1135">
        <v>10</v>
      </c>
      <c r="AG226" s="1134">
        <v>15</v>
      </c>
      <c r="AH226" s="381">
        <v>81</v>
      </c>
      <c r="AI226" s="381">
        <v>10</v>
      </c>
      <c r="AJ226" s="387">
        <v>22</v>
      </c>
      <c r="AK226" s="387" t="s">
        <v>129</v>
      </c>
      <c r="AL226" s="1401" t="s">
        <v>22</v>
      </c>
    </row>
    <row r="227" spans="1:38" s="384" customFormat="1" ht="51.95" customHeight="1">
      <c r="A227" s="1133" t="s">
        <v>1386</v>
      </c>
      <c r="B227" s="1133" t="s">
        <v>1393</v>
      </c>
      <c r="C227" s="1134" t="s">
        <v>1394</v>
      </c>
      <c r="D227" s="1135" t="s">
        <v>22</v>
      </c>
      <c r="E227" s="1135" t="s">
        <v>22</v>
      </c>
      <c r="F227" s="1135" t="s">
        <v>22</v>
      </c>
      <c r="G227" s="1134" t="s">
        <v>22</v>
      </c>
      <c r="H227" s="396" t="s">
        <v>1397</v>
      </c>
      <c r="I227" s="396" t="s">
        <v>1398</v>
      </c>
      <c r="J227" s="381">
        <v>12</v>
      </c>
      <c r="K227" s="397">
        <v>1</v>
      </c>
      <c r="L227" s="381" t="s">
        <v>22</v>
      </c>
      <c r="M227" s="382">
        <v>39078</v>
      </c>
      <c r="N227" s="383">
        <v>39551</v>
      </c>
      <c r="O227" s="1135" t="s">
        <v>22</v>
      </c>
      <c r="P227" s="381">
        <v>2008</v>
      </c>
      <c r="Q227" s="1141">
        <v>461500</v>
      </c>
      <c r="R227" s="1150">
        <v>347153848</v>
      </c>
      <c r="S227" s="1150" t="s">
        <v>177</v>
      </c>
      <c r="T227" s="1142">
        <v>2.2000000000000001E-3</v>
      </c>
      <c r="U227" s="1143">
        <v>763738.4656</v>
      </c>
      <c r="V227" s="1144">
        <v>1792.49</v>
      </c>
      <c r="W227" s="1141">
        <v>1368993562.2033441</v>
      </c>
      <c r="X227" s="1145">
        <v>2966</v>
      </c>
      <c r="Y227" s="381">
        <v>3105.61</v>
      </c>
      <c r="Z227" s="1146">
        <v>4.495413139447646E-2</v>
      </c>
      <c r="AA227" s="1147">
        <v>2966</v>
      </c>
      <c r="AB227" s="381">
        <v>80</v>
      </c>
      <c r="AC227" s="381">
        <v>10</v>
      </c>
      <c r="AD227" s="387">
        <v>16</v>
      </c>
      <c r="AE227" s="1135">
        <v>81</v>
      </c>
      <c r="AF227" s="1135">
        <v>10</v>
      </c>
      <c r="AG227" s="1134">
        <v>15</v>
      </c>
      <c r="AH227" s="381">
        <v>81</v>
      </c>
      <c r="AI227" s="381">
        <v>10</v>
      </c>
      <c r="AJ227" s="387">
        <v>22</v>
      </c>
      <c r="AK227" s="387" t="s">
        <v>129</v>
      </c>
      <c r="AL227" s="1401" t="s">
        <v>22</v>
      </c>
    </row>
    <row r="228" spans="1:38" s="384" customFormat="1" ht="65.099999999999994" customHeight="1">
      <c r="A228" s="1133" t="s">
        <v>1386</v>
      </c>
      <c r="B228" s="1133" t="s">
        <v>1393</v>
      </c>
      <c r="C228" s="1134" t="s">
        <v>1394</v>
      </c>
      <c r="D228" s="1135" t="s">
        <v>22</v>
      </c>
      <c r="E228" s="1135" t="s">
        <v>22</v>
      </c>
      <c r="F228" s="1135" t="s">
        <v>22</v>
      </c>
      <c r="G228" s="1134" t="s">
        <v>22</v>
      </c>
      <c r="H228" s="992" t="s">
        <v>517</v>
      </c>
      <c r="I228" s="375" t="s">
        <v>1399</v>
      </c>
      <c r="J228" s="1136" t="s">
        <v>903</v>
      </c>
      <c r="K228" s="1131">
        <v>0.5</v>
      </c>
      <c r="L228" s="1148" t="s">
        <v>22</v>
      </c>
      <c r="M228" s="1139">
        <v>41059</v>
      </c>
      <c r="N228" s="1130">
        <v>42263</v>
      </c>
      <c r="O228" s="1135" t="s">
        <v>22</v>
      </c>
      <c r="P228" s="1149">
        <v>2011</v>
      </c>
      <c r="Q228" s="1141">
        <v>535600</v>
      </c>
      <c r="R228" s="1150">
        <v>7208358320</v>
      </c>
      <c r="S228" s="1150" t="s">
        <v>151</v>
      </c>
      <c r="T228" s="1142" t="s">
        <v>140</v>
      </c>
      <c r="U228" s="1143" t="s">
        <v>140</v>
      </c>
      <c r="V228" s="1144">
        <v>1</v>
      </c>
      <c r="W228" s="1141">
        <v>7208358320</v>
      </c>
      <c r="X228" s="1145">
        <v>13458</v>
      </c>
      <c r="Y228" s="1145"/>
      <c r="Z228" s="1146" t="s">
        <v>140</v>
      </c>
      <c r="AA228" s="1147">
        <v>6729</v>
      </c>
      <c r="AB228" s="1135"/>
      <c r="AC228" s="1135"/>
      <c r="AD228" s="1134"/>
      <c r="AE228" s="1135"/>
      <c r="AF228" s="1135"/>
      <c r="AG228" s="1134"/>
      <c r="AH228" s="1135"/>
      <c r="AI228" s="1135"/>
      <c r="AJ228" s="1134"/>
      <c r="AK228" s="1134" t="s">
        <v>22</v>
      </c>
      <c r="AL228" s="1401" t="s">
        <v>22</v>
      </c>
    </row>
    <row r="229" spans="1:38" s="384" customFormat="1" ht="26.1" customHeight="1">
      <c r="A229" s="1133" t="s">
        <v>1400</v>
      </c>
      <c r="B229" s="1133" t="s">
        <v>1401</v>
      </c>
      <c r="C229" s="387" t="s">
        <v>1402</v>
      </c>
      <c r="D229" s="1135" t="s">
        <v>22</v>
      </c>
      <c r="E229" s="1135" t="s">
        <v>22</v>
      </c>
      <c r="F229" s="1135" t="s">
        <v>22</v>
      </c>
      <c r="G229" s="1134" t="s">
        <v>22</v>
      </c>
      <c r="H229" s="375" t="s">
        <v>155</v>
      </c>
      <c r="I229" s="375" t="s">
        <v>1403</v>
      </c>
      <c r="J229" s="1136">
        <v>53</v>
      </c>
      <c r="K229" s="1131">
        <v>1</v>
      </c>
      <c r="L229" s="1148" t="s">
        <v>22</v>
      </c>
      <c r="M229" s="1139">
        <v>37995</v>
      </c>
      <c r="N229" s="1130">
        <v>39037</v>
      </c>
      <c r="O229" s="1135" t="s">
        <v>22</v>
      </c>
      <c r="P229" s="1149">
        <v>2006</v>
      </c>
      <c r="Q229" s="1141">
        <v>408000</v>
      </c>
      <c r="R229" s="1150">
        <v>1667497853.55</v>
      </c>
      <c r="S229" s="1150" t="s">
        <v>151</v>
      </c>
      <c r="T229" s="1142" t="s">
        <v>140</v>
      </c>
      <c r="U229" s="1143" t="s">
        <v>140</v>
      </c>
      <c r="V229" s="1144">
        <v>1</v>
      </c>
      <c r="W229" s="1141">
        <v>1667497853.55</v>
      </c>
      <c r="X229" s="1145">
        <v>4087</v>
      </c>
      <c r="Y229" s="1145">
        <v>4087</v>
      </c>
      <c r="Z229" s="1146">
        <v>0</v>
      </c>
      <c r="AA229" s="1147">
        <v>4087</v>
      </c>
      <c r="AB229" s="1154">
        <v>80</v>
      </c>
      <c r="AC229" s="1154">
        <v>10</v>
      </c>
      <c r="AD229" s="1155">
        <v>16</v>
      </c>
      <c r="AE229" s="1154">
        <v>81</v>
      </c>
      <c r="AF229" s="1154">
        <v>10</v>
      </c>
      <c r="AG229" s="1155">
        <v>15</v>
      </c>
      <c r="AH229" s="1154">
        <v>81</v>
      </c>
      <c r="AI229" s="1154">
        <v>10</v>
      </c>
      <c r="AJ229" s="1155">
        <v>22</v>
      </c>
      <c r="AK229" s="1134"/>
      <c r="AL229" s="1401" t="s">
        <v>22</v>
      </c>
    </row>
    <row r="230" spans="1:38" s="384" customFormat="1" ht="78" customHeight="1">
      <c r="A230" s="1133" t="s">
        <v>1400</v>
      </c>
      <c r="B230" s="1133" t="s">
        <v>1401</v>
      </c>
      <c r="C230" s="387" t="s">
        <v>1402</v>
      </c>
      <c r="D230" s="1135" t="s">
        <v>22</v>
      </c>
      <c r="E230" s="1135" t="s">
        <v>22</v>
      </c>
      <c r="F230" s="1135" t="s">
        <v>22</v>
      </c>
      <c r="G230" s="1134" t="s">
        <v>22</v>
      </c>
      <c r="H230" s="992" t="s">
        <v>493</v>
      </c>
      <c r="I230" s="375" t="s">
        <v>1404</v>
      </c>
      <c r="J230" s="1136">
        <v>77</v>
      </c>
      <c r="K230" s="1131">
        <v>0.86499999999999999</v>
      </c>
      <c r="L230" s="1148" t="s">
        <v>22</v>
      </c>
      <c r="M230" s="1139">
        <v>34813</v>
      </c>
      <c r="N230" s="1130">
        <v>35641</v>
      </c>
      <c r="O230" s="1135" t="s">
        <v>22</v>
      </c>
      <c r="P230" s="1149">
        <v>1997</v>
      </c>
      <c r="Q230" s="1141">
        <v>172005</v>
      </c>
      <c r="R230" s="1150">
        <v>1125585863.8</v>
      </c>
      <c r="S230" s="1150" t="s">
        <v>151</v>
      </c>
      <c r="T230" s="1142" t="s">
        <v>140</v>
      </c>
      <c r="U230" s="1143" t="s">
        <v>140</v>
      </c>
      <c r="V230" s="1144">
        <v>1</v>
      </c>
      <c r="W230" s="1141">
        <v>1125585863.8</v>
      </c>
      <c r="X230" s="1145">
        <v>6544</v>
      </c>
      <c r="Y230" s="1145">
        <v>6543.91</v>
      </c>
      <c r="Z230" s="1146">
        <v>1.3753245383885115E-5</v>
      </c>
      <c r="AA230" s="1147">
        <v>5661</v>
      </c>
      <c r="AB230" s="1135">
        <v>80</v>
      </c>
      <c r="AC230" s="1135">
        <v>10</v>
      </c>
      <c r="AD230" s="1134">
        <v>16</v>
      </c>
      <c r="AE230" s="1135">
        <v>81</v>
      </c>
      <c r="AF230" s="1135">
        <v>10</v>
      </c>
      <c r="AG230" s="1134">
        <v>15</v>
      </c>
      <c r="AH230" s="1135">
        <v>81</v>
      </c>
      <c r="AI230" s="1135">
        <v>10</v>
      </c>
      <c r="AJ230" s="1134">
        <v>22</v>
      </c>
      <c r="AK230" s="1134" t="s">
        <v>129</v>
      </c>
      <c r="AL230" s="1401" t="s">
        <v>22</v>
      </c>
    </row>
    <row r="231" spans="1:38" s="384" customFormat="1" ht="42.75">
      <c r="A231" s="1133" t="s">
        <v>1400</v>
      </c>
      <c r="B231" s="1133" t="s">
        <v>1401</v>
      </c>
      <c r="C231" s="387" t="s">
        <v>1402</v>
      </c>
      <c r="D231" s="1135" t="s">
        <v>22</v>
      </c>
      <c r="E231" s="1135" t="s">
        <v>22</v>
      </c>
      <c r="F231" s="1135" t="s">
        <v>22</v>
      </c>
      <c r="G231" s="1134" t="s">
        <v>22</v>
      </c>
      <c r="H231" s="992" t="s">
        <v>493</v>
      </c>
      <c r="I231" s="375" t="s">
        <v>1405</v>
      </c>
      <c r="J231" s="1136">
        <v>76</v>
      </c>
      <c r="K231" s="1131">
        <v>1</v>
      </c>
      <c r="L231" s="1148" t="s">
        <v>22</v>
      </c>
      <c r="M231" s="1139">
        <v>34786</v>
      </c>
      <c r="N231" s="1130">
        <v>35657</v>
      </c>
      <c r="O231" s="1135" t="s">
        <v>22</v>
      </c>
      <c r="P231" s="1149">
        <v>1997</v>
      </c>
      <c r="Q231" s="1141">
        <v>172005</v>
      </c>
      <c r="R231" s="1150">
        <v>1026154346</v>
      </c>
      <c r="S231" s="1150" t="s">
        <v>151</v>
      </c>
      <c r="T231" s="1142" t="s">
        <v>140</v>
      </c>
      <c r="U231" s="1143" t="s">
        <v>140</v>
      </c>
      <c r="V231" s="1144">
        <v>1</v>
      </c>
      <c r="W231" s="1141">
        <v>1026154346</v>
      </c>
      <c r="X231" s="1145">
        <v>5966</v>
      </c>
      <c r="Y231" s="1145">
        <v>5965.84</v>
      </c>
      <c r="Z231" s="1146">
        <v>2.681935821269299E-5</v>
      </c>
      <c r="AA231" s="1147">
        <v>5966</v>
      </c>
      <c r="AB231" s="1135">
        <v>80</v>
      </c>
      <c r="AC231" s="1135">
        <v>10</v>
      </c>
      <c r="AD231" s="1134">
        <v>16</v>
      </c>
      <c r="AE231" s="1135">
        <v>81</v>
      </c>
      <c r="AF231" s="1135">
        <v>10</v>
      </c>
      <c r="AG231" s="1134">
        <v>15</v>
      </c>
      <c r="AH231" s="1135">
        <v>81</v>
      </c>
      <c r="AI231" s="1135">
        <v>10</v>
      </c>
      <c r="AJ231" s="1134">
        <v>22</v>
      </c>
      <c r="AK231" s="1134" t="s">
        <v>129</v>
      </c>
      <c r="AL231" s="1401" t="s">
        <v>22</v>
      </c>
    </row>
    <row r="232" spans="1:38" s="384" customFormat="1" ht="143.1" customHeight="1">
      <c r="A232" s="1133" t="s">
        <v>1400</v>
      </c>
      <c r="B232" s="1133" t="s">
        <v>1406</v>
      </c>
      <c r="C232" s="1134" t="s">
        <v>1407</v>
      </c>
      <c r="D232" s="1135" t="s">
        <v>22</v>
      </c>
      <c r="E232" s="1135" t="s">
        <v>22</v>
      </c>
      <c r="F232" s="1135" t="s">
        <v>22</v>
      </c>
      <c r="G232" s="1134" t="s">
        <v>22</v>
      </c>
      <c r="H232" s="375" t="s">
        <v>1228</v>
      </c>
      <c r="I232" s="375" t="s">
        <v>1408</v>
      </c>
      <c r="J232" s="1136">
        <v>2</v>
      </c>
      <c r="K232" s="1131">
        <v>1</v>
      </c>
      <c r="L232" s="1148" t="s">
        <v>22</v>
      </c>
      <c r="M232" s="1139">
        <v>37201</v>
      </c>
      <c r="N232" s="1130">
        <v>38173</v>
      </c>
      <c r="O232" s="1135" t="s">
        <v>22</v>
      </c>
      <c r="P232" s="1149">
        <v>2004</v>
      </c>
      <c r="Q232" s="1141">
        <v>358000</v>
      </c>
      <c r="R232" s="1150">
        <v>1561333.21</v>
      </c>
      <c r="S232" s="1150" t="s">
        <v>142</v>
      </c>
      <c r="T232" s="1142">
        <v>1.2318</v>
      </c>
      <c r="U232" s="1143">
        <v>1923250.248078</v>
      </c>
      <c r="V232" s="1144">
        <v>2674.1</v>
      </c>
      <c r="W232" s="1141">
        <v>5142963488.3853798</v>
      </c>
      <c r="X232" s="1145">
        <v>14366</v>
      </c>
      <c r="Y232" s="1157">
        <v>14369.32</v>
      </c>
      <c r="Z232" s="1146">
        <v>2.3104781576299693E-4</v>
      </c>
      <c r="AA232" s="1147">
        <v>14366</v>
      </c>
      <c r="AB232" s="1135">
        <v>80</v>
      </c>
      <c r="AC232" s="1135">
        <v>10</v>
      </c>
      <c r="AD232" s="1134">
        <v>16</v>
      </c>
      <c r="AE232" s="1135">
        <v>81</v>
      </c>
      <c r="AF232" s="1135">
        <v>10</v>
      </c>
      <c r="AG232" s="1134">
        <v>15</v>
      </c>
      <c r="AH232" s="1135">
        <v>81</v>
      </c>
      <c r="AI232" s="1135">
        <v>10</v>
      </c>
      <c r="AJ232" s="1134">
        <v>22</v>
      </c>
      <c r="AK232" s="1134"/>
      <c r="AL232" s="1401" t="s">
        <v>22</v>
      </c>
    </row>
    <row r="233" spans="1:38" s="384" customFormat="1" ht="51.95" customHeight="1">
      <c r="A233" s="1133" t="s">
        <v>1400</v>
      </c>
      <c r="B233" s="1133" t="s">
        <v>1406</v>
      </c>
      <c r="C233" s="1134" t="s">
        <v>1407</v>
      </c>
      <c r="D233" s="1135" t="s">
        <v>22</v>
      </c>
      <c r="E233" s="1135" t="s">
        <v>22</v>
      </c>
      <c r="F233" s="1135" t="s">
        <v>22</v>
      </c>
      <c r="G233" s="1134" t="s">
        <v>22</v>
      </c>
      <c r="H233" s="375" t="s">
        <v>1228</v>
      </c>
      <c r="I233" s="396" t="s">
        <v>1409</v>
      </c>
      <c r="J233" s="381">
        <v>11</v>
      </c>
      <c r="K233" s="397">
        <v>1</v>
      </c>
      <c r="L233" s="381" t="s">
        <v>22</v>
      </c>
      <c r="M233" s="382">
        <v>39525</v>
      </c>
      <c r="N233" s="383">
        <v>41580</v>
      </c>
      <c r="O233" s="1135" t="s">
        <v>22</v>
      </c>
      <c r="P233" s="381">
        <v>2013</v>
      </c>
      <c r="Q233" s="1141">
        <v>589500</v>
      </c>
      <c r="R233" s="1150">
        <v>1562052.61</v>
      </c>
      <c r="S233" s="1150" t="s">
        <v>142</v>
      </c>
      <c r="T233" s="1142">
        <v>1.3531</v>
      </c>
      <c r="U233" s="1143">
        <v>2113613.386591</v>
      </c>
      <c r="V233" s="1144">
        <v>1901.22</v>
      </c>
      <c r="W233" s="1141">
        <v>4018444042.8545413</v>
      </c>
      <c r="X233" s="1145">
        <v>6817</v>
      </c>
      <c r="Y233" s="381">
        <v>6795.54</v>
      </c>
      <c r="Z233" s="1146">
        <v>3.1579535989780805E-3</v>
      </c>
      <c r="AA233" s="1147">
        <v>6817</v>
      </c>
      <c r="AB233" s="381">
        <v>80</v>
      </c>
      <c r="AC233" s="381">
        <v>10</v>
      </c>
      <c r="AD233" s="387">
        <v>16</v>
      </c>
      <c r="AE233" s="1135">
        <v>81</v>
      </c>
      <c r="AF233" s="1135">
        <v>10</v>
      </c>
      <c r="AG233" s="1134">
        <v>15</v>
      </c>
      <c r="AH233" s="381">
        <v>81</v>
      </c>
      <c r="AI233" s="381">
        <v>10</v>
      </c>
      <c r="AJ233" s="387">
        <v>22</v>
      </c>
      <c r="AK233" s="387" t="s">
        <v>129</v>
      </c>
      <c r="AL233" s="1401" t="s">
        <v>22</v>
      </c>
    </row>
    <row r="234" spans="1:38" s="384" customFormat="1" ht="51.95" customHeight="1">
      <c r="A234" s="1133" t="s">
        <v>1410</v>
      </c>
      <c r="B234" s="1133" t="s">
        <v>1411</v>
      </c>
      <c r="C234" s="1134" t="s">
        <v>1412</v>
      </c>
      <c r="D234" s="1135" t="s">
        <v>22</v>
      </c>
      <c r="E234" s="1135" t="s">
        <v>22</v>
      </c>
      <c r="F234" s="1135" t="s">
        <v>22</v>
      </c>
      <c r="G234" s="1134" t="s">
        <v>22</v>
      </c>
      <c r="H234" s="992" t="s">
        <v>1143</v>
      </c>
      <c r="I234" s="375" t="s">
        <v>1413</v>
      </c>
      <c r="J234" s="1136">
        <v>10</v>
      </c>
      <c r="K234" s="1131">
        <v>1</v>
      </c>
      <c r="L234" s="1148" t="s">
        <v>22</v>
      </c>
      <c r="M234" s="1139">
        <v>39934</v>
      </c>
      <c r="N234" s="1130">
        <v>40724</v>
      </c>
      <c r="O234" s="1135" t="s">
        <v>22</v>
      </c>
      <c r="P234" s="1149">
        <v>2011</v>
      </c>
      <c r="Q234" s="1141">
        <v>535600</v>
      </c>
      <c r="R234" s="1150">
        <v>9389034669</v>
      </c>
      <c r="S234" s="1150" t="s">
        <v>151</v>
      </c>
      <c r="T234" s="1142" t="s">
        <v>140</v>
      </c>
      <c r="U234" s="1143" t="s">
        <v>140</v>
      </c>
      <c r="V234" s="1144">
        <v>1</v>
      </c>
      <c r="W234" s="1141">
        <v>9389034669</v>
      </c>
      <c r="X234" s="1145">
        <v>17530</v>
      </c>
      <c r="Y234" s="1145">
        <v>17529.937768857355</v>
      </c>
      <c r="Z234" s="1146">
        <v>3.5499922170778575E-6</v>
      </c>
      <c r="AA234" s="1147">
        <v>17530</v>
      </c>
      <c r="AB234" s="1135">
        <v>80</v>
      </c>
      <c r="AC234" s="1135">
        <v>10</v>
      </c>
      <c r="AD234" s="1134">
        <v>16</v>
      </c>
      <c r="AE234" s="1135">
        <v>81</v>
      </c>
      <c r="AF234" s="1135">
        <v>10</v>
      </c>
      <c r="AG234" s="1134">
        <v>15</v>
      </c>
      <c r="AH234" s="1135">
        <v>81</v>
      </c>
      <c r="AI234" s="1135">
        <v>10</v>
      </c>
      <c r="AJ234" s="1134">
        <v>22</v>
      </c>
      <c r="AK234" s="1134" t="s">
        <v>129</v>
      </c>
      <c r="AL234" s="1401" t="s">
        <v>22</v>
      </c>
    </row>
    <row r="235" spans="1:38" s="384" customFormat="1" ht="51.95" customHeight="1">
      <c r="A235" s="1133" t="s">
        <v>1410</v>
      </c>
      <c r="B235" s="1133" t="s">
        <v>1411</v>
      </c>
      <c r="C235" s="1134" t="s">
        <v>1412</v>
      </c>
      <c r="D235" s="1135" t="s">
        <v>22</v>
      </c>
      <c r="E235" s="1135" t="s">
        <v>22</v>
      </c>
      <c r="F235" s="1135" t="s">
        <v>22</v>
      </c>
      <c r="G235" s="1134" t="s">
        <v>22</v>
      </c>
      <c r="H235" s="992" t="s">
        <v>1038</v>
      </c>
      <c r="I235" s="375" t="s">
        <v>1414</v>
      </c>
      <c r="J235" s="1136">
        <v>25</v>
      </c>
      <c r="K235" s="1131">
        <v>0.5</v>
      </c>
      <c r="L235" s="1148" t="s">
        <v>22</v>
      </c>
      <c r="M235" s="1139">
        <v>37411</v>
      </c>
      <c r="N235" s="1130">
        <v>38776</v>
      </c>
      <c r="O235" s="1135" t="s">
        <v>22</v>
      </c>
      <c r="P235" s="1149">
        <v>2006</v>
      </c>
      <c r="Q235" s="1141">
        <v>408000</v>
      </c>
      <c r="R235" s="1150">
        <v>3791186167</v>
      </c>
      <c r="S235" s="1150" t="s">
        <v>151</v>
      </c>
      <c r="T235" s="1142" t="s">
        <v>140</v>
      </c>
      <c r="U235" s="1143" t="s">
        <v>140</v>
      </c>
      <c r="V235" s="1144">
        <v>1</v>
      </c>
      <c r="W235" s="1141">
        <v>3791186167</v>
      </c>
      <c r="X235" s="1145">
        <v>9292</v>
      </c>
      <c r="Y235" s="1145">
        <v>9292.1200000000008</v>
      </c>
      <c r="Z235" s="1146">
        <v>1.2914168133981718E-5</v>
      </c>
      <c r="AA235" s="1147">
        <v>4646</v>
      </c>
      <c r="AB235" s="1135"/>
      <c r="AC235" s="1135"/>
      <c r="AD235" s="1134"/>
      <c r="AE235" s="1135">
        <v>81</v>
      </c>
      <c r="AF235" s="1135">
        <v>10</v>
      </c>
      <c r="AG235" s="1134">
        <v>15</v>
      </c>
      <c r="AH235" s="1135">
        <v>81</v>
      </c>
      <c r="AI235" s="1135">
        <v>10</v>
      </c>
      <c r="AJ235" s="1134">
        <v>22</v>
      </c>
      <c r="AK235" s="1134" t="s">
        <v>129</v>
      </c>
      <c r="AL235" s="1401" t="s">
        <v>22</v>
      </c>
    </row>
    <row r="236" spans="1:38" s="384" customFormat="1" ht="65.099999999999994" customHeight="1">
      <c r="A236" s="1133" t="s">
        <v>1410</v>
      </c>
      <c r="B236" s="1133" t="s">
        <v>1415</v>
      </c>
      <c r="C236" s="1134" t="s">
        <v>1416</v>
      </c>
      <c r="D236" s="1135" t="s">
        <v>22</v>
      </c>
      <c r="E236" s="1135" t="s">
        <v>22</v>
      </c>
      <c r="F236" s="1135" t="s">
        <v>22</v>
      </c>
      <c r="G236" s="1134" t="s">
        <v>22</v>
      </c>
      <c r="H236" s="992" t="s">
        <v>1417</v>
      </c>
      <c r="I236" s="375" t="s">
        <v>1418</v>
      </c>
      <c r="J236" s="1136">
        <v>20</v>
      </c>
      <c r="K236" s="1131">
        <v>0.45</v>
      </c>
      <c r="L236" s="1148" t="s">
        <v>22</v>
      </c>
      <c r="M236" s="1139">
        <v>40805</v>
      </c>
      <c r="N236" s="1130">
        <v>41730</v>
      </c>
      <c r="O236" s="1135" t="s">
        <v>22</v>
      </c>
      <c r="P236" s="1149">
        <v>2014</v>
      </c>
      <c r="Q236" s="1141">
        <v>616000</v>
      </c>
      <c r="R236" s="1150">
        <v>5922134662</v>
      </c>
      <c r="S236" s="1150" t="s">
        <v>151</v>
      </c>
      <c r="T236" s="1142" t="s">
        <v>140</v>
      </c>
      <c r="U236" s="1143" t="s">
        <v>140</v>
      </c>
      <c r="V236" s="1144">
        <v>1</v>
      </c>
      <c r="W236" s="1141">
        <v>5922134662</v>
      </c>
      <c r="X236" s="1145">
        <v>9614</v>
      </c>
      <c r="Y236" s="1145">
        <v>9613.85</v>
      </c>
      <c r="Z236" s="1146">
        <v>1.5602490157418103E-5</v>
      </c>
      <c r="AA236" s="1147">
        <v>4326</v>
      </c>
      <c r="AB236" s="1135">
        <v>80</v>
      </c>
      <c r="AC236" s="1135">
        <v>10</v>
      </c>
      <c r="AD236" s="1134">
        <v>16</v>
      </c>
      <c r="AE236" s="1135">
        <v>81</v>
      </c>
      <c r="AF236" s="1135">
        <v>10</v>
      </c>
      <c r="AG236" s="1134">
        <v>15</v>
      </c>
      <c r="AH236" s="1135">
        <v>81</v>
      </c>
      <c r="AI236" s="1135">
        <v>10</v>
      </c>
      <c r="AJ236" s="1134">
        <v>22</v>
      </c>
      <c r="AK236" s="1134" t="s">
        <v>129</v>
      </c>
      <c r="AL236" s="1401" t="s">
        <v>22</v>
      </c>
    </row>
    <row r="237" spans="1:38" s="384" customFormat="1" ht="65.099999999999994" customHeight="1">
      <c r="A237" s="1133" t="s">
        <v>1419</v>
      </c>
      <c r="B237" s="1133" t="s">
        <v>1420</v>
      </c>
      <c r="C237" s="1134" t="s">
        <v>1421</v>
      </c>
      <c r="D237" s="1135" t="s">
        <v>22</v>
      </c>
      <c r="E237" s="1135" t="s">
        <v>22</v>
      </c>
      <c r="F237" s="1135" t="s">
        <v>22</v>
      </c>
      <c r="G237" s="1134" t="s">
        <v>22</v>
      </c>
      <c r="H237" s="992" t="s">
        <v>1038</v>
      </c>
      <c r="I237" s="375" t="s">
        <v>1422</v>
      </c>
      <c r="J237" s="1136">
        <v>17</v>
      </c>
      <c r="K237" s="1131">
        <v>1</v>
      </c>
      <c r="L237" s="1148" t="s">
        <v>22</v>
      </c>
      <c r="M237" s="1139">
        <v>35626</v>
      </c>
      <c r="N237" s="1130">
        <v>36556</v>
      </c>
      <c r="O237" s="1135" t="s">
        <v>22</v>
      </c>
      <c r="P237" s="1149">
        <v>2000</v>
      </c>
      <c r="Q237" s="1141">
        <v>260100</v>
      </c>
      <c r="R237" s="1150">
        <v>2628692093</v>
      </c>
      <c r="S237" s="1150" t="s">
        <v>151</v>
      </c>
      <c r="T237" s="1142" t="s">
        <v>140</v>
      </c>
      <c r="U237" s="1143" t="s">
        <v>140</v>
      </c>
      <c r="V237" s="1144">
        <v>1</v>
      </c>
      <c r="W237" s="1141">
        <v>2628692093</v>
      </c>
      <c r="X237" s="1145">
        <v>10106</v>
      </c>
      <c r="Y237" s="1145">
        <v>10106.459999999999</v>
      </c>
      <c r="Z237" s="1146">
        <v>4.551544259800977E-5</v>
      </c>
      <c r="AA237" s="1147">
        <v>10106</v>
      </c>
      <c r="AB237" s="1135">
        <v>80</v>
      </c>
      <c r="AC237" s="1135">
        <v>10</v>
      </c>
      <c r="AD237" s="1134">
        <v>16</v>
      </c>
      <c r="AE237" s="1135">
        <v>81</v>
      </c>
      <c r="AF237" s="1135">
        <v>10</v>
      </c>
      <c r="AG237" s="1134">
        <v>15</v>
      </c>
      <c r="AH237" s="1135">
        <v>81</v>
      </c>
      <c r="AI237" s="1135">
        <v>10</v>
      </c>
      <c r="AJ237" s="1134">
        <v>22</v>
      </c>
      <c r="AK237" s="1134" t="s">
        <v>129</v>
      </c>
      <c r="AL237" s="1401" t="s">
        <v>22</v>
      </c>
    </row>
    <row r="238" spans="1:38" s="384" customFormat="1" ht="65.099999999999994" customHeight="1">
      <c r="A238" s="1133" t="s">
        <v>1419</v>
      </c>
      <c r="B238" s="1133" t="s">
        <v>1420</v>
      </c>
      <c r="C238" s="1134" t="s">
        <v>1421</v>
      </c>
      <c r="D238" s="1135" t="s">
        <v>22</v>
      </c>
      <c r="E238" s="1135" t="s">
        <v>22</v>
      </c>
      <c r="F238" s="1135" t="s">
        <v>22</v>
      </c>
      <c r="G238" s="1134" t="s">
        <v>22</v>
      </c>
      <c r="H238" s="992" t="s">
        <v>1038</v>
      </c>
      <c r="I238" s="375" t="s">
        <v>1423</v>
      </c>
      <c r="J238" s="1136">
        <v>9</v>
      </c>
      <c r="K238" s="1131">
        <v>1</v>
      </c>
      <c r="L238" s="1148" t="s">
        <v>22</v>
      </c>
      <c r="M238" s="1139">
        <v>37792</v>
      </c>
      <c r="N238" s="1130">
        <v>38429</v>
      </c>
      <c r="O238" s="1135" t="s">
        <v>22</v>
      </c>
      <c r="P238" s="1149">
        <v>2005</v>
      </c>
      <c r="Q238" s="1141">
        <v>381500</v>
      </c>
      <c r="R238" s="1150">
        <v>1691644728</v>
      </c>
      <c r="S238" s="1150" t="s">
        <v>151</v>
      </c>
      <c r="T238" s="1142" t="s">
        <v>140</v>
      </c>
      <c r="U238" s="1143" t="s">
        <v>140</v>
      </c>
      <c r="V238" s="1144">
        <v>1</v>
      </c>
      <c r="W238" s="1141">
        <v>1691644728</v>
      </c>
      <c r="X238" s="1145">
        <v>4434</v>
      </c>
      <c r="Y238" s="1145">
        <v>4434.1899999999996</v>
      </c>
      <c r="Z238" s="1146">
        <v>4.2848863039179896E-5</v>
      </c>
      <c r="AA238" s="1147">
        <v>4434</v>
      </c>
      <c r="AB238" s="1135">
        <v>80</v>
      </c>
      <c r="AC238" s="1135">
        <v>10</v>
      </c>
      <c r="AD238" s="1134">
        <v>16</v>
      </c>
      <c r="AE238" s="1135">
        <v>81</v>
      </c>
      <c r="AF238" s="1135">
        <v>10</v>
      </c>
      <c r="AG238" s="1134">
        <v>15</v>
      </c>
      <c r="AH238" s="1135">
        <v>81</v>
      </c>
      <c r="AI238" s="1135">
        <v>10</v>
      </c>
      <c r="AJ238" s="1134">
        <v>22</v>
      </c>
      <c r="AK238" s="1134" t="s">
        <v>129</v>
      </c>
      <c r="AL238" s="1401" t="s">
        <v>22</v>
      </c>
    </row>
    <row r="239" spans="1:38" s="384" customFormat="1" ht="51.95" customHeight="1">
      <c r="A239" s="1133" t="s">
        <v>1419</v>
      </c>
      <c r="B239" s="1133" t="s">
        <v>1420</v>
      </c>
      <c r="C239" s="1134" t="s">
        <v>1421</v>
      </c>
      <c r="D239" s="1135" t="s">
        <v>22</v>
      </c>
      <c r="E239" s="1135" t="s">
        <v>22</v>
      </c>
      <c r="F239" s="1135" t="s">
        <v>22</v>
      </c>
      <c r="G239" s="1134" t="s">
        <v>22</v>
      </c>
      <c r="H239" s="992" t="s">
        <v>1424</v>
      </c>
      <c r="I239" s="375" t="s">
        <v>1425</v>
      </c>
      <c r="J239" s="1136">
        <v>11</v>
      </c>
      <c r="K239" s="1131">
        <v>1</v>
      </c>
      <c r="L239" s="1148" t="s">
        <v>22</v>
      </c>
      <c r="M239" s="1139">
        <v>37453</v>
      </c>
      <c r="N239" s="1130">
        <v>38087</v>
      </c>
      <c r="O239" s="1135" t="s">
        <v>22</v>
      </c>
      <c r="P239" s="1149">
        <v>2004</v>
      </c>
      <c r="Q239" s="1141">
        <v>358000</v>
      </c>
      <c r="R239" s="1150">
        <v>2256694426</v>
      </c>
      <c r="S239" s="1150" t="s">
        <v>151</v>
      </c>
      <c r="T239" s="1142" t="s">
        <v>140</v>
      </c>
      <c r="U239" s="1143" t="s">
        <v>140</v>
      </c>
      <c r="V239" s="1144">
        <v>1</v>
      </c>
      <c r="W239" s="1141">
        <v>2256694426</v>
      </c>
      <c r="X239" s="1145">
        <v>6304</v>
      </c>
      <c r="Y239" s="1145">
        <v>6303.61</v>
      </c>
      <c r="Z239" s="1146">
        <v>6.1869309808226802E-5</v>
      </c>
      <c r="AA239" s="1147">
        <v>6304</v>
      </c>
      <c r="AB239" s="1135">
        <v>80</v>
      </c>
      <c r="AC239" s="1135">
        <v>10</v>
      </c>
      <c r="AD239" s="1134">
        <v>16</v>
      </c>
      <c r="AE239" s="1135">
        <v>81</v>
      </c>
      <c r="AF239" s="1135">
        <v>10</v>
      </c>
      <c r="AG239" s="1134">
        <v>15</v>
      </c>
      <c r="AH239" s="1135">
        <v>81</v>
      </c>
      <c r="AI239" s="1135">
        <v>10</v>
      </c>
      <c r="AJ239" s="1134">
        <v>22</v>
      </c>
      <c r="AK239" s="1134" t="s">
        <v>129</v>
      </c>
      <c r="AL239" s="1401" t="s">
        <v>22</v>
      </c>
    </row>
    <row r="240" spans="1:38" s="384" customFormat="1" ht="51.95" customHeight="1">
      <c r="A240" s="1133" t="s">
        <v>1419</v>
      </c>
      <c r="B240" s="1133" t="s">
        <v>1420</v>
      </c>
      <c r="C240" s="1134" t="s">
        <v>1421</v>
      </c>
      <c r="D240" s="1135" t="s">
        <v>22</v>
      </c>
      <c r="E240" s="1135" t="s">
        <v>22</v>
      </c>
      <c r="F240" s="1135" t="s">
        <v>22</v>
      </c>
      <c r="G240" s="1134" t="s">
        <v>22</v>
      </c>
      <c r="H240" s="375" t="s">
        <v>1426</v>
      </c>
      <c r="I240" s="375" t="s">
        <v>1427</v>
      </c>
      <c r="J240" s="1136">
        <v>16</v>
      </c>
      <c r="K240" s="1131">
        <v>1</v>
      </c>
      <c r="L240" s="1148" t="s">
        <v>22</v>
      </c>
      <c r="M240" s="1139">
        <v>34731</v>
      </c>
      <c r="N240" s="1130">
        <v>35869</v>
      </c>
      <c r="O240" s="1135" t="s">
        <v>22</v>
      </c>
      <c r="P240" s="1149">
        <v>1998</v>
      </c>
      <c r="Q240" s="1141">
        <v>203826</v>
      </c>
      <c r="R240" s="1150">
        <v>1702457494</v>
      </c>
      <c r="S240" s="1150" t="s">
        <v>151</v>
      </c>
      <c r="T240" s="1142" t="s">
        <v>140</v>
      </c>
      <c r="U240" s="1143" t="s">
        <v>140</v>
      </c>
      <c r="V240" s="1144">
        <v>1</v>
      </c>
      <c r="W240" s="1141">
        <v>1702457494</v>
      </c>
      <c r="X240" s="1145">
        <v>8353</v>
      </c>
      <c r="Y240" s="1145">
        <v>8352.5</v>
      </c>
      <c r="Z240" s="1146">
        <v>5.986231667165498E-5</v>
      </c>
      <c r="AA240" s="1147">
        <v>8353</v>
      </c>
      <c r="AB240" s="1135">
        <v>80</v>
      </c>
      <c r="AC240" s="1135">
        <v>10</v>
      </c>
      <c r="AD240" s="1134">
        <v>16</v>
      </c>
      <c r="AE240" s="1135">
        <v>81</v>
      </c>
      <c r="AF240" s="1135">
        <v>10</v>
      </c>
      <c r="AG240" s="1134">
        <v>15</v>
      </c>
      <c r="AH240" s="1135">
        <v>81</v>
      </c>
      <c r="AI240" s="1135">
        <v>10</v>
      </c>
      <c r="AJ240" s="1134">
        <v>22</v>
      </c>
      <c r="AK240" s="1134" t="s">
        <v>129</v>
      </c>
      <c r="AL240" s="1401" t="s">
        <v>22</v>
      </c>
    </row>
    <row r="241" spans="1:38" s="384" customFormat="1" ht="78" customHeight="1">
      <c r="A241" s="1133" t="s">
        <v>1419</v>
      </c>
      <c r="B241" s="1133" t="s">
        <v>1420</v>
      </c>
      <c r="C241" s="1134" t="s">
        <v>1421</v>
      </c>
      <c r="D241" s="1135" t="s">
        <v>22</v>
      </c>
      <c r="E241" s="1135" t="s">
        <v>22</v>
      </c>
      <c r="F241" s="1135" t="s">
        <v>22</v>
      </c>
      <c r="G241" s="1134" t="s">
        <v>22</v>
      </c>
      <c r="H241" s="375" t="s">
        <v>1122</v>
      </c>
      <c r="I241" s="375" t="s">
        <v>1428</v>
      </c>
      <c r="J241" s="1136">
        <v>28</v>
      </c>
      <c r="K241" s="1131">
        <v>1</v>
      </c>
      <c r="L241" s="1148" t="s">
        <v>22</v>
      </c>
      <c r="M241" s="1139">
        <v>37620</v>
      </c>
      <c r="N241" s="1130">
        <v>38706</v>
      </c>
      <c r="O241" s="1135" t="s">
        <v>22</v>
      </c>
      <c r="P241" s="1149">
        <v>2005</v>
      </c>
      <c r="Q241" s="1141">
        <v>381500</v>
      </c>
      <c r="R241" s="1150">
        <v>1000952439</v>
      </c>
      <c r="S241" s="1150" t="s">
        <v>151</v>
      </c>
      <c r="T241" s="1142" t="s">
        <v>140</v>
      </c>
      <c r="U241" s="1143" t="s">
        <v>140</v>
      </c>
      <c r="V241" s="1144">
        <v>1</v>
      </c>
      <c r="W241" s="1141">
        <v>1000952439</v>
      </c>
      <c r="X241" s="1145">
        <v>2624</v>
      </c>
      <c r="Y241" s="1145">
        <v>2623.72</v>
      </c>
      <c r="Z241" s="1146">
        <v>1.0671870473988321E-4</v>
      </c>
      <c r="AA241" s="1147">
        <v>2624</v>
      </c>
      <c r="AB241" s="1135">
        <v>80</v>
      </c>
      <c r="AC241" s="1135">
        <v>10</v>
      </c>
      <c r="AD241" s="1134">
        <v>16</v>
      </c>
      <c r="AE241" s="1135">
        <v>81</v>
      </c>
      <c r="AF241" s="1135">
        <v>10</v>
      </c>
      <c r="AG241" s="1134">
        <v>15</v>
      </c>
      <c r="AH241" s="1135">
        <v>81</v>
      </c>
      <c r="AI241" s="1135">
        <v>10</v>
      </c>
      <c r="AJ241" s="1134">
        <v>22</v>
      </c>
      <c r="AK241" s="1134" t="s">
        <v>129</v>
      </c>
      <c r="AL241" s="1401" t="s">
        <v>22</v>
      </c>
    </row>
    <row r="242" spans="1:38" s="384" customFormat="1" ht="78" customHeight="1">
      <c r="A242" s="1133" t="s">
        <v>1429</v>
      </c>
      <c r="B242" s="1133" t="s">
        <v>1430</v>
      </c>
      <c r="C242" s="387" t="s">
        <v>1431</v>
      </c>
      <c r="D242" s="1135" t="s">
        <v>22</v>
      </c>
      <c r="E242" s="1135" t="s">
        <v>22</v>
      </c>
      <c r="F242" s="1135" t="s">
        <v>22</v>
      </c>
      <c r="G242" s="1134" t="s">
        <v>22</v>
      </c>
      <c r="H242" s="992" t="s">
        <v>1432</v>
      </c>
      <c r="I242" s="375" t="s">
        <v>1433</v>
      </c>
      <c r="J242" s="1136">
        <v>1</v>
      </c>
      <c r="K242" s="1131">
        <v>1</v>
      </c>
      <c r="L242" s="1148" t="s">
        <v>22</v>
      </c>
      <c r="M242" s="1139">
        <v>39568</v>
      </c>
      <c r="N242" s="1130">
        <v>41090</v>
      </c>
      <c r="O242" s="1135" t="s">
        <v>22</v>
      </c>
      <c r="P242" s="1149">
        <v>2012</v>
      </c>
      <c r="Q242" s="1141">
        <v>566700</v>
      </c>
      <c r="R242" s="1150">
        <v>12427664</v>
      </c>
      <c r="S242" s="1150" t="s">
        <v>142</v>
      </c>
      <c r="T242" s="1142">
        <v>1.2576000000000001</v>
      </c>
      <c r="U242" s="1143">
        <v>15629030.246400001</v>
      </c>
      <c r="V242" s="1144">
        <v>1784.6</v>
      </c>
      <c r="W242" s="1141">
        <v>27891567377.725441</v>
      </c>
      <c r="X242" s="1145">
        <v>49218</v>
      </c>
      <c r="Y242" s="1145">
        <v>49659.76</v>
      </c>
      <c r="Z242" s="1146">
        <v>8.8957336886043015E-3</v>
      </c>
      <c r="AA242" s="1147">
        <v>49218</v>
      </c>
      <c r="AB242" s="1135">
        <v>80</v>
      </c>
      <c r="AC242" s="1135">
        <v>10</v>
      </c>
      <c r="AD242" s="1134">
        <v>16</v>
      </c>
      <c r="AE242" s="1135">
        <v>81</v>
      </c>
      <c r="AF242" s="1135">
        <v>10</v>
      </c>
      <c r="AG242" s="1134">
        <v>15</v>
      </c>
      <c r="AH242" s="1135"/>
      <c r="AI242" s="1135"/>
      <c r="AJ242" s="1134"/>
      <c r="AK242" s="1134" t="s">
        <v>129</v>
      </c>
      <c r="AL242" s="1401" t="s">
        <v>22</v>
      </c>
    </row>
    <row r="243" spans="1:38" s="384" customFormat="1" ht="65.099999999999994" customHeight="1">
      <c r="A243" s="1133" t="s">
        <v>1429</v>
      </c>
      <c r="B243" s="1133" t="s">
        <v>1430</v>
      </c>
      <c r="C243" s="1134" t="s">
        <v>1434</v>
      </c>
      <c r="D243" s="1135" t="s">
        <v>22</v>
      </c>
      <c r="E243" s="1135" t="s">
        <v>22</v>
      </c>
      <c r="F243" s="1135" t="s">
        <v>22</v>
      </c>
      <c r="G243" s="1134" t="s">
        <v>22</v>
      </c>
      <c r="H243" s="992" t="s">
        <v>442</v>
      </c>
      <c r="I243" s="375" t="s">
        <v>1435</v>
      </c>
      <c r="J243" s="1136">
        <v>9</v>
      </c>
      <c r="K243" s="1131">
        <v>1</v>
      </c>
      <c r="L243" s="1148" t="s">
        <v>22</v>
      </c>
      <c r="M243" s="1139">
        <v>38279</v>
      </c>
      <c r="N243" s="1130">
        <v>39813</v>
      </c>
      <c r="O243" s="1135" t="s">
        <v>22</v>
      </c>
      <c r="P243" s="1149">
        <v>2008</v>
      </c>
      <c r="Q243" s="1141">
        <v>461500</v>
      </c>
      <c r="R243" s="1150">
        <v>3975262277</v>
      </c>
      <c r="S243" s="1150" t="s">
        <v>151</v>
      </c>
      <c r="T243" s="1142" t="s">
        <v>140</v>
      </c>
      <c r="U243" s="1143" t="s">
        <v>140</v>
      </c>
      <c r="V243" s="1144">
        <v>1</v>
      </c>
      <c r="W243" s="1141">
        <v>3975262277</v>
      </c>
      <c r="X243" s="1145">
        <v>8614</v>
      </c>
      <c r="Y243" s="1145">
        <v>8613.7900000000009</v>
      </c>
      <c r="Z243" s="1146">
        <v>2.437951238642988E-5</v>
      </c>
      <c r="AA243" s="1147">
        <v>8614</v>
      </c>
      <c r="AB243" s="1135">
        <v>80</v>
      </c>
      <c r="AC243" s="1135">
        <v>10</v>
      </c>
      <c r="AD243" s="1134">
        <v>16</v>
      </c>
      <c r="AE243" s="1135">
        <v>81</v>
      </c>
      <c r="AF243" s="1135">
        <v>10</v>
      </c>
      <c r="AG243" s="1134">
        <v>15</v>
      </c>
      <c r="AH243" s="1135">
        <v>81</v>
      </c>
      <c r="AI243" s="1135">
        <v>10</v>
      </c>
      <c r="AJ243" s="1134">
        <v>22</v>
      </c>
      <c r="AK243" s="1134" t="s">
        <v>129</v>
      </c>
      <c r="AL243" s="1401" t="s">
        <v>22</v>
      </c>
    </row>
    <row r="244" spans="1:38" s="384" customFormat="1" ht="65.099999999999994" customHeight="1">
      <c r="A244" s="1133" t="s">
        <v>1429</v>
      </c>
      <c r="B244" s="1133" t="s">
        <v>1430</v>
      </c>
      <c r="C244" s="1134" t="s">
        <v>1434</v>
      </c>
      <c r="D244" s="1135" t="s">
        <v>22</v>
      </c>
      <c r="E244" s="1135" t="s">
        <v>22</v>
      </c>
      <c r="F244" s="1135" t="s">
        <v>22</v>
      </c>
      <c r="G244" s="1134" t="s">
        <v>22</v>
      </c>
      <c r="H244" s="992" t="s">
        <v>445</v>
      </c>
      <c r="I244" s="375" t="s">
        <v>1436</v>
      </c>
      <c r="J244" s="1136">
        <v>112</v>
      </c>
      <c r="K244" s="1131">
        <v>1</v>
      </c>
      <c r="L244" s="1148" t="s">
        <v>22</v>
      </c>
      <c r="M244" s="1139">
        <v>40498</v>
      </c>
      <c r="N244" s="1130">
        <v>40973</v>
      </c>
      <c r="O244" s="1135" t="s">
        <v>22</v>
      </c>
      <c r="P244" s="1149">
        <v>2012</v>
      </c>
      <c r="Q244" s="1141">
        <v>566700</v>
      </c>
      <c r="R244" s="1150">
        <v>2159474666</v>
      </c>
      <c r="S244" s="1150" t="s">
        <v>151</v>
      </c>
      <c r="T244" s="1142" t="s">
        <v>140</v>
      </c>
      <c r="U244" s="1143" t="s">
        <v>140</v>
      </c>
      <c r="V244" s="1144">
        <v>1</v>
      </c>
      <c r="W244" s="1141">
        <v>2159474666</v>
      </c>
      <c r="X244" s="1145">
        <v>3811</v>
      </c>
      <c r="Y244" s="1145">
        <v>3810.61</v>
      </c>
      <c r="Z244" s="1146">
        <v>1.0234581864843051E-4</v>
      </c>
      <c r="AA244" s="1147">
        <v>3811</v>
      </c>
      <c r="AB244" s="1135">
        <v>80</v>
      </c>
      <c r="AC244" s="1135">
        <v>10</v>
      </c>
      <c r="AD244" s="1134">
        <v>16</v>
      </c>
      <c r="AE244" s="1135">
        <v>81</v>
      </c>
      <c r="AF244" s="1135">
        <v>10</v>
      </c>
      <c r="AG244" s="1134">
        <v>15</v>
      </c>
      <c r="AH244" s="1135">
        <v>81</v>
      </c>
      <c r="AI244" s="1135">
        <v>10</v>
      </c>
      <c r="AJ244" s="1134">
        <v>22</v>
      </c>
      <c r="AK244" s="1134" t="s">
        <v>129</v>
      </c>
      <c r="AL244" s="1401" t="s">
        <v>22</v>
      </c>
    </row>
    <row r="245" spans="1:38" s="384" customFormat="1" ht="65.099999999999994" customHeight="1">
      <c r="A245" s="1133" t="s">
        <v>1429</v>
      </c>
      <c r="B245" s="1133" t="s">
        <v>1430</v>
      </c>
      <c r="C245" s="1134" t="s">
        <v>1434</v>
      </c>
      <c r="D245" s="1135" t="s">
        <v>22</v>
      </c>
      <c r="E245" s="1135" t="s">
        <v>22</v>
      </c>
      <c r="F245" s="1135" t="s">
        <v>22</v>
      </c>
      <c r="G245" s="1134" t="s">
        <v>22</v>
      </c>
      <c r="H245" s="992" t="s">
        <v>448</v>
      </c>
      <c r="I245" s="375" t="s">
        <v>1437</v>
      </c>
      <c r="J245" s="1136">
        <v>118</v>
      </c>
      <c r="K245" s="1131">
        <v>0.6</v>
      </c>
      <c r="L245" s="1148" t="s">
        <v>22</v>
      </c>
      <c r="M245" s="1139">
        <v>40143</v>
      </c>
      <c r="N245" s="1130">
        <v>41183</v>
      </c>
      <c r="O245" s="1135" t="s">
        <v>22</v>
      </c>
      <c r="P245" s="1149">
        <v>2012</v>
      </c>
      <c r="Q245" s="1141">
        <v>566700</v>
      </c>
      <c r="R245" s="1150">
        <v>4331349652</v>
      </c>
      <c r="S245" s="1150" t="s">
        <v>151</v>
      </c>
      <c r="T245" s="1142" t="s">
        <v>140</v>
      </c>
      <c r="U245" s="1143" t="s">
        <v>140</v>
      </c>
      <c r="V245" s="1144">
        <v>1</v>
      </c>
      <c r="W245" s="1141">
        <v>4331349652</v>
      </c>
      <c r="X245" s="1145">
        <v>7643</v>
      </c>
      <c r="Y245" s="1145">
        <v>7643.11</v>
      </c>
      <c r="Z245" s="1146">
        <v>1.4392047216316151E-5</v>
      </c>
      <c r="AA245" s="1147">
        <v>4586</v>
      </c>
      <c r="AB245" s="1135">
        <v>80</v>
      </c>
      <c r="AC245" s="1135">
        <v>10</v>
      </c>
      <c r="AD245" s="1134">
        <v>16</v>
      </c>
      <c r="AE245" s="1135">
        <v>81</v>
      </c>
      <c r="AF245" s="1135">
        <v>10</v>
      </c>
      <c r="AG245" s="1134">
        <v>15</v>
      </c>
      <c r="AH245" s="1135">
        <v>81</v>
      </c>
      <c r="AI245" s="1135">
        <v>10</v>
      </c>
      <c r="AJ245" s="1134">
        <v>22</v>
      </c>
      <c r="AK245" s="1134" t="s">
        <v>129</v>
      </c>
      <c r="AL245" s="1401" t="s">
        <v>22</v>
      </c>
    </row>
    <row r="246" spans="1:38" s="384" customFormat="1" ht="51.95" customHeight="1">
      <c r="A246" s="1133" t="s">
        <v>1429</v>
      </c>
      <c r="B246" s="1133" t="s">
        <v>1430</v>
      </c>
      <c r="C246" s="1134" t="s">
        <v>1434</v>
      </c>
      <c r="D246" s="1135" t="s">
        <v>22</v>
      </c>
      <c r="E246" s="1135" t="s">
        <v>22</v>
      </c>
      <c r="F246" s="1135" t="s">
        <v>22</v>
      </c>
      <c r="G246" s="1134" t="s">
        <v>22</v>
      </c>
      <c r="H246" s="992" t="s">
        <v>448</v>
      </c>
      <c r="I246" s="375" t="s">
        <v>1438</v>
      </c>
      <c r="J246" s="1136">
        <v>117</v>
      </c>
      <c r="K246" s="1131">
        <v>0.5</v>
      </c>
      <c r="L246" s="1148" t="s">
        <v>22</v>
      </c>
      <c r="M246" s="1139">
        <v>40137</v>
      </c>
      <c r="N246" s="1130">
        <v>41232</v>
      </c>
      <c r="O246" s="1135" t="s">
        <v>22</v>
      </c>
      <c r="P246" s="1149">
        <v>2012</v>
      </c>
      <c r="Q246" s="1141">
        <v>566700</v>
      </c>
      <c r="R246" s="1150">
        <v>4761160509</v>
      </c>
      <c r="S246" s="1150" t="s">
        <v>151</v>
      </c>
      <c r="T246" s="1142" t="s">
        <v>140</v>
      </c>
      <c r="U246" s="1143" t="s">
        <v>140</v>
      </c>
      <c r="V246" s="1144">
        <v>1</v>
      </c>
      <c r="W246" s="1141">
        <v>4761160509</v>
      </c>
      <c r="X246" s="1145">
        <v>8402</v>
      </c>
      <c r="Y246" s="1145">
        <v>8401.5499999999993</v>
      </c>
      <c r="Z246" s="1146">
        <v>5.356154519109424E-5</v>
      </c>
      <c r="AA246" s="1147">
        <v>4201</v>
      </c>
      <c r="AB246" s="1135">
        <v>80</v>
      </c>
      <c r="AC246" s="1135">
        <v>10</v>
      </c>
      <c r="AD246" s="1134">
        <v>16</v>
      </c>
      <c r="AE246" s="1135">
        <v>81</v>
      </c>
      <c r="AF246" s="1135">
        <v>10</v>
      </c>
      <c r="AG246" s="1134">
        <v>15</v>
      </c>
      <c r="AH246" s="1135">
        <v>81</v>
      </c>
      <c r="AI246" s="1135">
        <v>10</v>
      </c>
      <c r="AJ246" s="1134">
        <v>22</v>
      </c>
      <c r="AK246" s="1134" t="s">
        <v>129</v>
      </c>
      <c r="AL246" s="1401" t="s">
        <v>22</v>
      </c>
    </row>
    <row r="247" spans="1:38" s="384" customFormat="1" ht="51.95" customHeight="1">
      <c r="A247" s="1133" t="s">
        <v>1439</v>
      </c>
      <c r="B247" s="1133" t="s">
        <v>1440</v>
      </c>
      <c r="C247" s="387" t="s">
        <v>1441</v>
      </c>
      <c r="D247" s="1135" t="s">
        <v>22</v>
      </c>
      <c r="E247" s="1135" t="s">
        <v>22</v>
      </c>
      <c r="F247" s="1135" t="s">
        <v>22</v>
      </c>
      <c r="G247" s="1134" t="s">
        <v>22</v>
      </c>
      <c r="H247" s="375" t="s">
        <v>1442</v>
      </c>
      <c r="I247" s="375" t="s">
        <v>1443</v>
      </c>
      <c r="J247" s="1136" t="s">
        <v>903</v>
      </c>
      <c r="K247" s="1131">
        <v>1</v>
      </c>
      <c r="L247" s="1148" t="s">
        <v>22</v>
      </c>
      <c r="M247" s="1139">
        <v>39473</v>
      </c>
      <c r="N247" s="1130">
        <v>42221</v>
      </c>
      <c r="O247" s="1135" t="s">
        <v>22</v>
      </c>
      <c r="P247" s="1149">
        <v>2015</v>
      </c>
      <c r="Q247" s="1141">
        <v>644350</v>
      </c>
      <c r="R247" s="1150">
        <v>19902546144</v>
      </c>
      <c r="S247" s="1150" t="s">
        <v>151</v>
      </c>
      <c r="T247" s="1142" t="s">
        <v>140</v>
      </c>
      <c r="U247" s="1143" t="s">
        <v>140</v>
      </c>
      <c r="V247" s="1144">
        <v>1</v>
      </c>
      <c r="W247" s="1141">
        <v>19902546144</v>
      </c>
      <c r="X247" s="1145">
        <v>30888</v>
      </c>
      <c r="Y247" s="1145"/>
      <c r="Z247" s="1146" t="s">
        <v>140</v>
      </c>
      <c r="AA247" s="1147">
        <v>30888</v>
      </c>
      <c r="AB247" s="1135"/>
      <c r="AC247" s="1135"/>
      <c r="AD247" s="1134"/>
      <c r="AE247" s="1135"/>
      <c r="AF247" s="1135"/>
      <c r="AG247" s="1134"/>
      <c r="AH247" s="1135"/>
      <c r="AI247" s="1135"/>
      <c r="AJ247" s="1134"/>
      <c r="AK247" s="1134" t="s">
        <v>22</v>
      </c>
      <c r="AL247" s="1401" t="s">
        <v>22</v>
      </c>
    </row>
    <row r="248" spans="1:38" s="384" customFormat="1" ht="65.099999999999994" customHeight="1">
      <c r="A248" s="1133" t="s">
        <v>1439</v>
      </c>
      <c r="B248" s="1133" t="s">
        <v>1444</v>
      </c>
      <c r="C248" s="1134" t="s">
        <v>1445</v>
      </c>
      <c r="D248" s="1135" t="s">
        <v>22</v>
      </c>
      <c r="E248" s="1135" t="s">
        <v>22</v>
      </c>
      <c r="F248" s="1135" t="s">
        <v>22</v>
      </c>
      <c r="G248" s="1134" t="s">
        <v>22</v>
      </c>
      <c r="H248" s="375" t="s">
        <v>155</v>
      </c>
      <c r="I248" s="375" t="s">
        <v>1446</v>
      </c>
      <c r="J248" s="1136">
        <v>101</v>
      </c>
      <c r="K248" s="1131">
        <v>0.5</v>
      </c>
      <c r="L248" s="1148" t="s">
        <v>22</v>
      </c>
      <c r="M248" s="1139">
        <v>35061</v>
      </c>
      <c r="N248" s="1130">
        <v>35881</v>
      </c>
      <c r="O248" s="1135" t="s">
        <v>22</v>
      </c>
      <c r="P248" s="1149">
        <v>1998</v>
      </c>
      <c r="Q248" s="1141">
        <v>203826</v>
      </c>
      <c r="R248" s="1150">
        <v>1603996630</v>
      </c>
      <c r="S248" s="1150" t="s">
        <v>151</v>
      </c>
      <c r="T248" s="1142" t="s">
        <v>140</v>
      </c>
      <c r="U248" s="1143" t="s">
        <v>140</v>
      </c>
      <c r="V248" s="1144">
        <v>1</v>
      </c>
      <c r="W248" s="1141">
        <v>1603996630</v>
      </c>
      <c r="X248" s="1145">
        <v>7869</v>
      </c>
      <c r="Y248" s="1145">
        <v>7869.44</v>
      </c>
      <c r="Z248" s="1146">
        <v>5.5912491867204928E-5</v>
      </c>
      <c r="AA248" s="1147">
        <v>3935</v>
      </c>
      <c r="AB248" s="1135">
        <v>80</v>
      </c>
      <c r="AC248" s="1135">
        <v>10</v>
      </c>
      <c r="AD248" s="1134">
        <v>16</v>
      </c>
      <c r="AE248" s="1135">
        <v>81</v>
      </c>
      <c r="AF248" s="1135">
        <v>10</v>
      </c>
      <c r="AG248" s="1134">
        <v>15</v>
      </c>
      <c r="AH248" s="1135">
        <v>81</v>
      </c>
      <c r="AI248" s="1135">
        <v>10</v>
      </c>
      <c r="AJ248" s="1134">
        <v>22</v>
      </c>
      <c r="AK248" s="1134" t="s">
        <v>129</v>
      </c>
      <c r="AL248" s="1401" t="s">
        <v>22</v>
      </c>
    </row>
    <row r="249" spans="1:38" s="384" customFormat="1" ht="42.75">
      <c r="A249" s="1133" t="s">
        <v>1439</v>
      </c>
      <c r="B249" s="1133" t="s">
        <v>1444</v>
      </c>
      <c r="C249" s="1134" t="s">
        <v>1445</v>
      </c>
      <c r="D249" s="1135" t="s">
        <v>22</v>
      </c>
      <c r="E249" s="1135" t="s">
        <v>22</v>
      </c>
      <c r="F249" s="1135" t="s">
        <v>22</v>
      </c>
      <c r="G249" s="1134" t="s">
        <v>22</v>
      </c>
      <c r="H249" s="375" t="s">
        <v>1122</v>
      </c>
      <c r="I249" s="375" t="s">
        <v>1447</v>
      </c>
      <c r="J249" s="1136">
        <v>129</v>
      </c>
      <c r="K249" s="1131">
        <v>0.5</v>
      </c>
      <c r="L249" s="1148" t="s">
        <v>22</v>
      </c>
      <c r="M249" s="1139">
        <v>37271</v>
      </c>
      <c r="N249" s="1130">
        <v>38507</v>
      </c>
      <c r="O249" s="1135" t="s">
        <v>22</v>
      </c>
      <c r="P249" s="1149">
        <v>2005</v>
      </c>
      <c r="Q249" s="1141">
        <v>381500</v>
      </c>
      <c r="R249" s="1150">
        <v>2372844012.1999998</v>
      </c>
      <c r="S249" s="1150" t="s">
        <v>151</v>
      </c>
      <c r="T249" s="1142" t="s">
        <v>140</v>
      </c>
      <c r="U249" s="1143" t="s">
        <v>140</v>
      </c>
      <c r="V249" s="1144">
        <v>1</v>
      </c>
      <c r="W249" s="1141">
        <v>2372844012.1999998</v>
      </c>
      <c r="X249" s="1145">
        <v>6220</v>
      </c>
      <c r="Y249" s="1145">
        <v>6219.77</v>
      </c>
      <c r="Z249" s="1146">
        <v>3.6978859346836757E-5</v>
      </c>
      <c r="AA249" s="1147">
        <v>3110</v>
      </c>
      <c r="AB249" s="1135">
        <v>80</v>
      </c>
      <c r="AC249" s="1135">
        <v>10</v>
      </c>
      <c r="AD249" s="1134">
        <v>16</v>
      </c>
      <c r="AE249" s="1135">
        <v>81</v>
      </c>
      <c r="AF249" s="1135">
        <v>10</v>
      </c>
      <c r="AG249" s="1134">
        <v>15</v>
      </c>
      <c r="AH249" s="1135">
        <v>81</v>
      </c>
      <c r="AI249" s="1135">
        <v>10</v>
      </c>
      <c r="AJ249" s="1134">
        <v>22</v>
      </c>
      <c r="AK249" s="1134" t="s">
        <v>129</v>
      </c>
      <c r="AL249" s="1401" t="s">
        <v>22</v>
      </c>
    </row>
    <row r="250" spans="1:38" s="384" customFormat="1" ht="65.099999999999994" customHeight="1">
      <c r="A250" s="1133" t="s">
        <v>1439</v>
      </c>
      <c r="B250" s="1133" t="s">
        <v>1444</v>
      </c>
      <c r="C250" s="1134" t="s">
        <v>1445</v>
      </c>
      <c r="D250" s="1135" t="s">
        <v>22</v>
      </c>
      <c r="E250" s="1135" t="s">
        <v>22</v>
      </c>
      <c r="F250" s="1135" t="s">
        <v>22</v>
      </c>
      <c r="G250" s="1134" t="s">
        <v>22</v>
      </c>
      <c r="H250" s="375" t="s">
        <v>1122</v>
      </c>
      <c r="I250" s="375" t="s">
        <v>1448</v>
      </c>
      <c r="J250" s="1136">
        <v>130</v>
      </c>
      <c r="K250" s="1131">
        <v>0.75</v>
      </c>
      <c r="L250" s="1148" t="s">
        <v>22</v>
      </c>
      <c r="M250" s="1139">
        <v>37411</v>
      </c>
      <c r="N250" s="1130">
        <v>38518</v>
      </c>
      <c r="O250" s="1135" t="s">
        <v>22</v>
      </c>
      <c r="P250" s="1149">
        <v>2005</v>
      </c>
      <c r="Q250" s="1141">
        <v>381500</v>
      </c>
      <c r="R250" s="1150">
        <v>2982660825.3299999</v>
      </c>
      <c r="S250" s="1150" t="s">
        <v>151</v>
      </c>
      <c r="T250" s="1142" t="s">
        <v>140</v>
      </c>
      <c r="U250" s="1143" t="s">
        <v>140</v>
      </c>
      <c r="V250" s="1144">
        <v>1</v>
      </c>
      <c r="W250" s="1141">
        <v>2982660825.3299999</v>
      </c>
      <c r="X250" s="1145">
        <v>7818</v>
      </c>
      <c r="Y250" s="1145">
        <v>7818.25</v>
      </c>
      <c r="Z250" s="1146">
        <v>3.1976465321492675E-5</v>
      </c>
      <c r="AA250" s="1147">
        <v>5864</v>
      </c>
      <c r="AB250" s="1135">
        <v>80</v>
      </c>
      <c r="AC250" s="1135">
        <v>10</v>
      </c>
      <c r="AD250" s="1134">
        <v>16</v>
      </c>
      <c r="AE250" s="1135">
        <v>81</v>
      </c>
      <c r="AF250" s="1135">
        <v>10</v>
      </c>
      <c r="AG250" s="1134">
        <v>15</v>
      </c>
      <c r="AH250" s="1135">
        <v>81</v>
      </c>
      <c r="AI250" s="1135">
        <v>10</v>
      </c>
      <c r="AJ250" s="1134">
        <v>22</v>
      </c>
      <c r="AK250" s="1134" t="s">
        <v>129</v>
      </c>
      <c r="AL250" s="1401" t="s">
        <v>22</v>
      </c>
    </row>
    <row r="251" spans="1:38" s="384" customFormat="1" ht="78" customHeight="1">
      <c r="A251" s="1133" t="s">
        <v>1439</v>
      </c>
      <c r="B251" s="1133" t="s">
        <v>1444</v>
      </c>
      <c r="C251" s="1134" t="s">
        <v>1445</v>
      </c>
      <c r="D251" s="1135" t="s">
        <v>22</v>
      </c>
      <c r="E251" s="1135" t="s">
        <v>22</v>
      </c>
      <c r="F251" s="1135" t="s">
        <v>22</v>
      </c>
      <c r="G251" s="1134" t="s">
        <v>22</v>
      </c>
      <c r="H251" s="375" t="s">
        <v>1122</v>
      </c>
      <c r="I251" s="375" t="s">
        <v>1449</v>
      </c>
      <c r="J251" s="1136">
        <v>131</v>
      </c>
      <c r="K251" s="1131">
        <v>1</v>
      </c>
      <c r="L251" s="1148" t="s">
        <v>22</v>
      </c>
      <c r="M251" s="1139">
        <v>32965</v>
      </c>
      <c r="N251" s="1130">
        <v>35064</v>
      </c>
      <c r="O251" s="1135" t="s">
        <v>22</v>
      </c>
      <c r="P251" s="1149">
        <v>1995</v>
      </c>
      <c r="Q251" s="1141">
        <v>118933.5</v>
      </c>
      <c r="R251" s="1150">
        <v>824463304</v>
      </c>
      <c r="S251" s="1150" t="s">
        <v>151</v>
      </c>
      <c r="T251" s="1142" t="s">
        <v>140</v>
      </c>
      <c r="U251" s="1143" t="s">
        <v>140</v>
      </c>
      <c r="V251" s="1144">
        <v>1</v>
      </c>
      <c r="W251" s="1141">
        <v>824463304</v>
      </c>
      <c r="X251" s="1145">
        <v>6932</v>
      </c>
      <c r="Y251" s="1145">
        <v>6932.14</v>
      </c>
      <c r="Z251" s="1146">
        <v>2.0195783697385394E-5</v>
      </c>
      <c r="AA251" s="1147">
        <v>6932</v>
      </c>
      <c r="AB251" s="1135">
        <v>80</v>
      </c>
      <c r="AC251" s="1135">
        <v>10</v>
      </c>
      <c r="AD251" s="1134">
        <v>16</v>
      </c>
      <c r="AE251" s="1135">
        <v>81</v>
      </c>
      <c r="AF251" s="1135">
        <v>10</v>
      </c>
      <c r="AG251" s="1134">
        <v>15</v>
      </c>
      <c r="AH251" s="1135">
        <v>81</v>
      </c>
      <c r="AI251" s="1135">
        <v>10</v>
      </c>
      <c r="AJ251" s="1134">
        <v>22</v>
      </c>
      <c r="AK251" s="1134" t="s">
        <v>129</v>
      </c>
      <c r="AL251" s="1401" t="s">
        <v>22</v>
      </c>
    </row>
    <row r="252" spans="1:38" s="384" customFormat="1" ht="39" customHeight="1">
      <c r="A252" s="1133" t="s">
        <v>1450</v>
      </c>
      <c r="B252" s="1133" t="s">
        <v>1451</v>
      </c>
      <c r="C252" s="387" t="s">
        <v>1452</v>
      </c>
      <c r="D252" s="1135" t="s">
        <v>129</v>
      </c>
      <c r="E252" s="1135" t="s">
        <v>129</v>
      </c>
      <c r="F252" s="1135" t="s">
        <v>22</v>
      </c>
      <c r="G252" s="1134" t="s">
        <v>22</v>
      </c>
      <c r="H252" s="992" t="s">
        <v>493</v>
      </c>
      <c r="I252" s="375" t="s">
        <v>1453</v>
      </c>
      <c r="J252" s="1136">
        <v>5</v>
      </c>
      <c r="K252" s="1131">
        <v>1</v>
      </c>
      <c r="L252" s="1148" t="s">
        <v>22</v>
      </c>
      <c r="M252" s="1139">
        <v>38331</v>
      </c>
      <c r="N252" s="1130">
        <v>40329</v>
      </c>
      <c r="O252" s="1135" t="s">
        <v>22</v>
      </c>
      <c r="P252" s="1149">
        <v>2010</v>
      </c>
      <c r="Q252" s="1141">
        <v>515000</v>
      </c>
      <c r="R252" s="1150">
        <v>4862658335</v>
      </c>
      <c r="S252" s="1150" t="s">
        <v>151</v>
      </c>
      <c r="T252" s="1142" t="s">
        <v>140</v>
      </c>
      <c r="U252" s="1143" t="s">
        <v>140</v>
      </c>
      <c r="V252" s="1144">
        <v>1</v>
      </c>
      <c r="W252" s="1141">
        <v>4862658335</v>
      </c>
      <c r="X252" s="1145">
        <v>9442</v>
      </c>
      <c r="Y252" s="1145">
        <v>9442.06</v>
      </c>
      <c r="Z252" s="1146">
        <v>6.3545455122326899E-6</v>
      </c>
      <c r="AA252" s="1147">
        <v>9442</v>
      </c>
      <c r="AB252" s="1135"/>
      <c r="AC252" s="1135"/>
      <c r="AD252" s="1134"/>
      <c r="AE252" s="1135">
        <v>81</v>
      </c>
      <c r="AF252" s="1135">
        <v>10</v>
      </c>
      <c r="AG252" s="1134">
        <v>15</v>
      </c>
      <c r="AH252" s="1135">
        <v>81</v>
      </c>
      <c r="AI252" s="1135">
        <v>10</v>
      </c>
      <c r="AJ252" s="1134">
        <v>22</v>
      </c>
      <c r="AK252" s="1134" t="s">
        <v>129</v>
      </c>
      <c r="AL252" s="1401" t="s">
        <v>22</v>
      </c>
    </row>
    <row r="253" spans="1:38" s="384" customFormat="1" ht="90.95" customHeight="1">
      <c r="A253" s="1133" t="s">
        <v>1450</v>
      </c>
      <c r="B253" s="1133" t="s">
        <v>1451</v>
      </c>
      <c r="C253" s="387" t="s">
        <v>1452</v>
      </c>
      <c r="D253" s="1135" t="s">
        <v>129</v>
      </c>
      <c r="E253" s="1135" t="s">
        <v>129</v>
      </c>
      <c r="F253" s="1135" t="s">
        <v>22</v>
      </c>
      <c r="G253" s="1134" t="s">
        <v>22</v>
      </c>
      <c r="H253" s="992" t="s">
        <v>493</v>
      </c>
      <c r="I253" s="375" t="s">
        <v>1454</v>
      </c>
      <c r="J253" s="1136">
        <v>18</v>
      </c>
      <c r="K253" s="1131">
        <v>1</v>
      </c>
      <c r="L253" s="1148" t="s">
        <v>22</v>
      </c>
      <c r="M253" s="1139">
        <v>37271</v>
      </c>
      <c r="N253" s="1130">
        <v>38292</v>
      </c>
      <c r="O253" s="1135" t="s">
        <v>22</v>
      </c>
      <c r="P253" s="1149">
        <v>2004</v>
      </c>
      <c r="Q253" s="1141">
        <v>358000</v>
      </c>
      <c r="R253" s="1150">
        <v>2019668188</v>
      </c>
      <c r="S253" s="1150" t="s">
        <v>151</v>
      </c>
      <c r="T253" s="1142" t="s">
        <v>140</v>
      </c>
      <c r="U253" s="1143" t="s">
        <v>140</v>
      </c>
      <c r="V253" s="1144">
        <v>1</v>
      </c>
      <c r="W253" s="1141">
        <v>2019668188</v>
      </c>
      <c r="X253" s="1145">
        <v>5642</v>
      </c>
      <c r="Y253" s="1145">
        <v>5641.53</v>
      </c>
      <c r="Z253" s="1146">
        <v>8.3310733081320976E-5</v>
      </c>
      <c r="AA253" s="1147">
        <v>5642</v>
      </c>
      <c r="AB253" s="1135"/>
      <c r="AC253" s="1135"/>
      <c r="AD253" s="1134"/>
      <c r="AE253" s="1135">
        <v>81</v>
      </c>
      <c r="AF253" s="1135">
        <v>10</v>
      </c>
      <c r="AG253" s="1134">
        <v>15</v>
      </c>
      <c r="AH253" s="1135">
        <v>81</v>
      </c>
      <c r="AI253" s="1135">
        <v>10</v>
      </c>
      <c r="AJ253" s="1134">
        <v>22</v>
      </c>
      <c r="AK253" s="1134" t="s">
        <v>129</v>
      </c>
      <c r="AL253" s="1401" t="s">
        <v>22</v>
      </c>
    </row>
    <row r="254" spans="1:38" s="384" customFormat="1" ht="117" customHeight="1">
      <c r="A254" s="1133" t="s">
        <v>1450</v>
      </c>
      <c r="B254" s="1133" t="s">
        <v>1455</v>
      </c>
      <c r="C254" s="1134" t="s">
        <v>1456</v>
      </c>
      <c r="D254" s="1135" t="s">
        <v>129</v>
      </c>
      <c r="E254" s="1135" t="s">
        <v>129</v>
      </c>
      <c r="F254" s="1135" t="s">
        <v>22</v>
      </c>
      <c r="G254" s="1134" t="s">
        <v>22</v>
      </c>
      <c r="H254" s="992" t="s">
        <v>1038</v>
      </c>
      <c r="I254" s="375" t="s">
        <v>237</v>
      </c>
      <c r="J254" s="1136">
        <v>55</v>
      </c>
      <c r="K254" s="1131">
        <v>1</v>
      </c>
      <c r="L254" s="1148" t="s">
        <v>22</v>
      </c>
      <c r="M254" s="1139">
        <v>41123</v>
      </c>
      <c r="N254" s="1130">
        <v>41779</v>
      </c>
      <c r="O254" s="1135" t="s">
        <v>22</v>
      </c>
      <c r="P254" s="1149">
        <v>2014</v>
      </c>
      <c r="Q254" s="1141">
        <v>616000</v>
      </c>
      <c r="R254" s="1150">
        <v>1605385195.3199999</v>
      </c>
      <c r="S254" s="1150" t="s">
        <v>151</v>
      </c>
      <c r="T254" s="1142" t="s">
        <v>140</v>
      </c>
      <c r="U254" s="1143" t="s">
        <v>140</v>
      </c>
      <c r="V254" s="1144">
        <v>1</v>
      </c>
      <c r="W254" s="1141">
        <v>1605385195.3199999</v>
      </c>
      <c r="X254" s="1145">
        <v>2606</v>
      </c>
      <c r="Y254" s="1145">
        <v>2607.25</v>
      </c>
      <c r="Z254" s="1146">
        <v>4.7943235209513269E-4</v>
      </c>
      <c r="AA254" s="1147">
        <v>2606</v>
      </c>
      <c r="AB254" s="1135">
        <v>80</v>
      </c>
      <c r="AC254" s="1135">
        <v>10</v>
      </c>
      <c r="AD254" s="1134">
        <v>16</v>
      </c>
      <c r="AE254" s="1135">
        <v>81</v>
      </c>
      <c r="AF254" s="1135">
        <v>10</v>
      </c>
      <c r="AG254" s="1134">
        <v>15</v>
      </c>
      <c r="AH254" s="1135">
        <v>81</v>
      </c>
      <c r="AI254" s="1135">
        <v>10</v>
      </c>
      <c r="AJ254" s="1134">
        <v>22</v>
      </c>
      <c r="AK254" s="1134" t="s">
        <v>129</v>
      </c>
      <c r="AL254" s="1401" t="s">
        <v>22</v>
      </c>
    </row>
    <row r="255" spans="1:38" s="384" customFormat="1" ht="117" customHeight="1">
      <c r="A255" s="1133" t="s">
        <v>1450</v>
      </c>
      <c r="B255" s="1133" t="s">
        <v>1455</v>
      </c>
      <c r="C255" s="1134" t="s">
        <v>1456</v>
      </c>
      <c r="D255" s="1135" t="s">
        <v>129</v>
      </c>
      <c r="E255" s="1135" t="s">
        <v>129</v>
      </c>
      <c r="F255" s="1135" t="s">
        <v>22</v>
      </c>
      <c r="G255" s="1134" t="s">
        <v>22</v>
      </c>
      <c r="H255" s="992" t="s">
        <v>1457</v>
      </c>
      <c r="I255" s="375" t="s">
        <v>1458</v>
      </c>
      <c r="J255" s="1136">
        <v>46</v>
      </c>
      <c r="K255" s="1131">
        <v>1</v>
      </c>
      <c r="L255" s="1148" t="s">
        <v>22</v>
      </c>
      <c r="M255" s="1139">
        <v>41271</v>
      </c>
      <c r="N255" s="1130">
        <v>41635</v>
      </c>
      <c r="O255" s="1135" t="s">
        <v>22</v>
      </c>
      <c r="P255" s="1149">
        <v>2013</v>
      </c>
      <c r="Q255" s="1141">
        <v>589500</v>
      </c>
      <c r="R255" s="1150">
        <v>958455800</v>
      </c>
      <c r="S255" s="1150" t="s">
        <v>151</v>
      </c>
      <c r="T255" s="1142" t="s">
        <v>140</v>
      </c>
      <c r="U255" s="1143" t="s">
        <v>140</v>
      </c>
      <c r="V255" s="1144">
        <v>1</v>
      </c>
      <c r="W255" s="1141">
        <v>958455800</v>
      </c>
      <c r="X255" s="1145">
        <v>1626</v>
      </c>
      <c r="Y255" s="1145">
        <v>1625.88</v>
      </c>
      <c r="Z255" s="1146">
        <v>7.3806184958336019E-5</v>
      </c>
      <c r="AA255" s="1147">
        <v>1626</v>
      </c>
      <c r="AB255" s="1135">
        <v>80</v>
      </c>
      <c r="AC255" s="1135">
        <v>10</v>
      </c>
      <c r="AD255" s="1134">
        <v>16</v>
      </c>
      <c r="AE255" s="1135">
        <v>81</v>
      </c>
      <c r="AF255" s="1135">
        <v>10</v>
      </c>
      <c r="AG255" s="1134">
        <v>15</v>
      </c>
      <c r="AH255" s="1135">
        <v>81</v>
      </c>
      <c r="AI255" s="1135">
        <v>10</v>
      </c>
      <c r="AJ255" s="1134">
        <v>22</v>
      </c>
      <c r="AK255" s="1134" t="s">
        <v>129</v>
      </c>
      <c r="AL255" s="1401" t="s">
        <v>22</v>
      </c>
    </row>
    <row r="256" spans="1:38" s="384" customFormat="1" ht="51.95" customHeight="1">
      <c r="A256" s="1133" t="s">
        <v>1450</v>
      </c>
      <c r="B256" s="1133" t="s">
        <v>1455</v>
      </c>
      <c r="C256" s="1134" t="s">
        <v>1456</v>
      </c>
      <c r="D256" s="1135" t="s">
        <v>129</v>
      </c>
      <c r="E256" s="1135" t="s">
        <v>129</v>
      </c>
      <c r="F256" s="1135" t="s">
        <v>22</v>
      </c>
      <c r="G256" s="1134" t="s">
        <v>22</v>
      </c>
      <c r="H256" s="992" t="s">
        <v>448</v>
      </c>
      <c r="I256" s="375" t="s">
        <v>1459</v>
      </c>
      <c r="J256" s="1136">
        <v>11</v>
      </c>
      <c r="K256" s="1131">
        <v>0.5</v>
      </c>
      <c r="L256" s="1148" t="s">
        <v>22</v>
      </c>
      <c r="M256" s="1139">
        <v>37188</v>
      </c>
      <c r="N256" s="1130">
        <v>37623</v>
      </c>
      <c r="O256" s="1135" t="s">
        <v>22</v>
      </c>
      <c r="P256" s="1149">
        <v>2003</v>
      </c>
      <c r="Q256" s="1141">
        <v>332000</v>
      </c>
      <c r="R256" s="1150">
        <v>761649757</v>
      </c>
      <c r="S256" s="1150" t="s">
        <v>151</v>
      </c>
      <c r="T256" s="1142" t="s">
        <v>140</v>
      </c>
      <c r="U256" s="1143" t="s">
        <v>140</v>
      </c>
      <c r="V256" s="1144">
        <v>1</v>
      </c>
      <c r="W256" s="1141">
        <v>761649757</v>
      </c>
      <c r="X256" s="1145">
        <v>2294</v>
      </c>
      <c r="Y256" s="1145">
        <v>2294.13</v>
      </c>
      <c r="Z256" s="1146">
        <v>5.6666361540114174E-5</v>
      </c>
      <c r="AA256" s="1147">
        <v>1147</v>
      </c>
      <c r="AB256" s="1135">
        <v>80</v>
      </c>
      <c r="AC256" s="1135">
        <v>10</v>
      </c>
      <c r="AD256" s="1134">
        <v>16</v>
      </c>
      <c r="AE256" s="1135">
        <v>81</v>
      </c>
      <c r="AF256" s="1135">
        <v>10</v>
      </c>
      <c r="AG256" s="1134">
        <v>15</v>
      </c>
      <c r="AH256" s="1135">
        <v>81</v>
      </c>
      <c r="AI256" s="1135">
        <v>10</v>
      </c>
      <c r="AJ256" s="1134">
        <v>22</v>
      </c>
      <c r="AK256" s="1134" t="s">
        <v>129</v>
      </c>
      <c r="AL256" s="1401" t="s">
        <v>22</v>
      </c>
    </row>
    <row r="257" spans="1:38" s="384" customFormat="1" ht="51.95" customHeight="1">
      <c r="A257" s="1133" t="s">
        <v>1450</v>
      </c>
      <c r="B257" s="1133" t="s">
        <v>1460</v>
      </c>
      <c r="C257" s="1134" t="s">
        <v>1461</v>
      </c>
      <c r="D257" s="1135" t="s">
        <v>129</v>
      </c>
      <c r="E257" s="1135" t="s">
        <v>129</v>
      </c>
      <c r="F257" s="1135" t="s">
        <v>22</v>
      </c>
      <c r="G257" s="1134" t="s">
        <v>22</v>
      </c>
      <c r="H257" s="992" t="s">
        <v>1038</v>
      </c>
      <c r="I257" s="375" t="s">
        <v>232</v>
      </c>
      <c r="J257" s="1136">
        <v>10</v>
      </c>
      <c r="K257" s="1131">
        <v>1</v>
      </c>
      <c r="L257" s="1148" t="s">
        <v>22</v>
      </c>
      <c r="M257" s="1139">
        <v>36992</v>
      </c>
      <c r="N257" s="1130">
        <v>37636</v>
      </c>
      <c r="O257" s="1135" t="s">
        <v>22</v>
      </c>
      <c r="P257" s="1149">
        <v>2003</v>
      </c>
      <c r="Q257" s="1141">
        <v>332000</v>
      </c>
      <c r="R257" s="1150">
        <v>1135751411</v>
      </c>
      <c r="S257" s="1150" t="s">
        <v>151</v>
      </c>
      <c r="T257" s="1142" t="s">
        <v>140</v>
      </c>
      <c r="U257" s="1143" t="s">
        <v>140</v>
      </c>
      <c r="V257" s="1144">
        <v>1</v>
      </c>
      <c r="W257" s="1141">
        <v>1135751411</v>
      </c>
      <c r="X257" s="1145">
        <v>3421</v>
      </c>
      <c r="Y257" s="1145">
        <v>3420.94</v>
      </c>
      <c r="Z257" s="1146">
        <v>1.7539038977609778E-5</v>
      </c>
      <c r="AA257" s="1147">
        <v>3421</v>
      </c>
      <c r="AB257" s="1135"/>
      <c r="AC257" s="1135"/>
      <c r="AD257" s="1134"/>
      <c r="AE257" s="1135">
        <v>81</v>
      </c>
      <c r="AF257" s="1135">
        <v>10</v>
      </c>
      <c r="AG257" s="1134">
        <v>15</v>
      </c>
      <c r="AH257" s="1135">
        <v>81</v>
      </c>
      <c r="AI257" s="1135">
        <v>10</v>
      </c>
      <c r="AJ257" s="1134">
        <v>22</v>
      </c>
      <c r="AK257" s="1134" t="s">
        <v>129</v>
      </c>
      <c r="AL257" s="1401" t="s">
        <v>22</v>
      </c>
    </row>
    <row r="258" spans="1:38" s="384" customFormat="1" ht="90.95" customHeight="1">
      <c r="A258" s="1133" t="s">
        <v>1462</v>
      </c>
      <c r="B258" s="1133" t="s">
        <v>1463</v>
      </c>
      <c r="C258" s="1134" t="s">
        <v>1381</v>
      </c>
      <c r="D258" s="1135" t="s">
        <v>129</v>
      </c>
      <c r="E258" s="1135" t="s">
        <v>129</v>
      </c>
      <c r="F258" s="1135" t="s">
        <v>22</v>
      </c>
      <c r="G258" s="1134" t="s">
        <v>129</v>
      </c>
      <c r="H258" s="992" t="s">
        <v>214</v>
      </c>
      <c r="I258" s="375" t="s">
        <v>1382</v>
      </c>
      <c r="J258" s="1136">
        <v>5</v>
      </c>
      <c r="K258" s="1131">
        <v>1</v>
      </c>
      <c r="L258" s="1148" t="s">
        <v>22</v>
      </c>
      <c r="M258" s="1128">
        <v>38681</v>
      </c>
      <c r="N258" s="1156">
        <v>39994</v>
      </c>
      <c r="O258" s="1135" t="s">
        <v>22</v>
      </c>
      <c r="P258" s="1149">
        <v>2009</v>
      </c>
      <c r="Q258" s="1141">
        <v>496900</v>
      </c>
      <c r="R258" s="1150">
        <v>1194924.49</v>
      </c>
      <c r="S258" s="1150" t="s">
        <v>142</v>
      </c>
      <c r="T258" s="1142">
        <v>1.4047000000000001</v>
      </c>
      <c r="U258" s="1143">
        <v>1678510.431103</v>
      </c>
      <c r="V258" s="1144">
        <v>2158.67</v>
      </c>
      <c r="W258" s="1141">
        <v>3623350112.309113</v>
      </c>
      <c r="X258" s="1145">
        <v>7292</v>
      </c>
      <c r="Y258" s="1145">
        <v>6890.15</v>
      </c>
      <c r="Z258" s="1146">
        <v>5.8322387756434946E-2</v>
      </c>
      <c r="AA258" s="1147">
        <v>7292</v>
      </c>
      <c r="AB258" s="1135">
        <v>80</v>
      </c>
      <c r="AC258" s="1135">
        <v>10</v>
      </c>
      <c r="AD258" s="1134">
        <v>16</v>
      </c>
      <c r="AE258" s="1135">
        <v>81</v>
      </c>
      <c r="AF258" s="1135">
        <v>10</v>
      </c>
      <c r="AG258" s="1134">
        <v>15</v>
      </c>
      <c r="AH258" s="1135">
        <v>81</v>
      </c>
      <c r="AI258" s="1135">
        <v>10</v>
      </c>
      <c r="AJ258" s="1134">
        <v>22</v>
      </c>
      <c r="AK258" s="1134" t="s">
        <v>129</v>
      </c>
      <c r="AL258" s="1401" t="s">
        <v>22</v>
      </c>
    </row>
    <row r="259" spans="1:38" s="384" customFormat="1" ht="51.95" customHeight="1">
      <c r="A259" s="1133" t="s">
        <v>1462</v>
      </c>
      <c r="B259" s="1133" t="s">
        <v>1463</v>
      </c>
      <c r="C259" s="1134" t="s">
        <v>1381</v>
      </c>
      <c r="D259" s="1135" t="s">
        <v>129</v>
      </c>
      <c r="E259" s="1135" t="s">
        <v>129</v>
      </c>
      <c r="F259" s="1135" t="s">
        <v>22</v>
      </c>
      <c r="G259" s="1134" t="s">
        <v>129</v>
      </c>
      <c r="H259" s="992" t="s">
        <v>214</v>
      </c>
      <c r="I259" s="375" t="s">
        <v>1383</v>
      </c>
      <c r="J259" s="1136">
        <v>10</v>
      </c>
      <c r="K259" s="1131">
        <v>1</v>
      </c>
      <c r="L259" s="1148" t="s">
        <v>22</v>
      </c>
      <c r="M259" s="1139">
        <v>36850</v>
      </c>
      <c r="N259" s="1130">
        <v>38291</v>
      </c>
      <c r="O259" s="1135" t="s">
        <v>22</v>
      </c>
      <c r="P259" s="1149">
        <v>2004</v>
      </c>
      <c r="Q259" s="1141">
        <v>358000</v>
      </c>
      <c r="R259" s="1150">
        <v>1526917.675</v>
      </c>
      <c r="S259" s="1150" t="s">
        <v>142</v>
      </c>
      <c r="T259" s="1142">
        <v>1.2790999999999999</v>
      </c>
      <c r="U259" s="1143">
        <v>1953080.3980924999</v>
      </c>
      <c r="V259" s="1144">
        <v>2575.19</v>
      </c>
      <c r="W259" s="1141">
        <v>5029553110.3638248</v>
      </c>
      <c r="X259" s="1145">
        <v>14049</v>
      </c>
      <c r="Y259" s="1145">
        <v>10651.07</v>
      </c>
      <c r="Z259" s="1146">
        <v>0.31902240807731053</v>
      </c>
      <c r="AA259" s="1147">
        <v>14049</v>
      </c>
      <c r="AB259" s="1135">
        <v>80</v>
      </c>
      <c r="AC259" s="1135">
        <v>10</v>
      </c>
      <c r="AD259" s="1134">
        <v>16</v>
      </c>
      <c r="AE259" s="1135">
        <v>81</v>
      </c>
      <c r="AF259" s="1135">
        <v>10</v>
      </c>
      <c r="AG259" s="1134">
        <v>15</v>
      </c>
      <c r="AH259" s="1135">
        <v>81</v>
      </c>
      <c r="AI259" s="1135">
        <v>10</v>
      </c>
      <c r="AJ259" s="1134">
        <v>22</v>
      </c>
      <c r="AK259" s="1134" t="s">
        <v>129</v>
      </c>
      <c r="AL259" s="1401" t="s">
        <v>22</v>
      </c>
    </row>
    <row r="260" spans="1:38" s="384" customFormat="1" ht="57">
      <c r="A260" s="1133" t="s">
        <v>1462</v>
      </c>
      <c r="B260" s="1133" t="s">
        <v>1463</v>
      </c>
      <c r="C260" s="1134" t="s">
        <v>1381</v>
      </c>
      <c r="D260" s="1135" t="s">
        <v>129</v>
      </c>
      <c r="E260" s="1135" t="s">
        <v>129</v>
      </c>
      <c r="F260" s="1135" t="s">
        <v>22</v>
      </c>
      <c r="G260" s="1134" t="s">
        <v>129</v>
      </c>
      <c r="H260" s="992" t="s">
        <v>1384</v>
      </c>
      <c r="I260" s="375" t="s">
        <v>1385</v>
      </c>
      <c r="J260" s="1136">
        <v>17</v>
      </c>
      <c r="K260" s="1131">
        <v>1</v>
      </c>
      <c r="L260" s="1148" t="s">
        <v>22</v>
      </c>
      <c r="M260" s="1139">
        <v>37237</v>
      </c>
      <c r="N260" s="1130">
        <v>37978</v>
      </c>
      <c r="O260" s="1135" t="s">
        <v>22</v>
      </c>
      <c r="P260" s="1149">
        <v>2003</v>
      </c>
      <c r="Q260" s="1141">
        <v>332000</v>
      </c>
      <c r="R260" s="1150">
        <v>935604.46</v>
      </c>
      <c r="S260" s="1150" t="s">
        <v>142</v>
      </c>
      <c r="T260" s="1142">
        <v>1.24</v>
      </c>
      <c r="U260" s="1143">
        <v>1160149.5304</v>
      </c>
      <c r="V260" s="1144">
        <v>2809.09</v>
      </c>
      <c r="W260" s="1141">
        <v>3258964444.3513365</v>
      </c>
      <c r="X260" s="1145">
        <v>9816</v>
      </c>
      <c r="Y260" s="1145">
        <v>7683.55</v>
      </c>
      <c r="Z260" s="1146">
        <v>0.27753447299750755</v>
      </c>
      <c r="AA260" s="1147">
        <v>9816</v>
      </c>
      <c r="AB260" s="1135">
        <v>80</v>
      </c>
      <c r="AC260" s="1135">
        <v>10</v>
      </c>
      <c r="AD260" s="1134">
        <v>16</v>
      </c>
      <c r="AE260" s="1135">
        <v>81</v>
      </c>
      <c r="AF260" s="1135">
        <v>10</v>
      </c>
      <c r="AG260" s="1134">
        <v>15</v>
      </c>
      <c r="AH260" s="1135">
        <v>81</v>
      </c>
      <c r="AI260" s="1135">
        <v>10</v>
      </c>
      <c r="AJ260" s="1134">
        <v>22</v>
      </c>
      <c r="AK260" s="1134" t="s">
        <v>129</v>
      </c>
      <c r="AL260" s="1401" t="s">
        <v>22</v>
      </c>
    </row>
    <row r="261" spans="1:38" s="384" customFormat="1" ht="51.95" customHeight="1">
      <c r="A261" s="1133" t="s">
        <v>1462</v>
      </c>
      <c r="B261" s="1133" t="s">
        <v>1464</v>
      </c>
      <c r="C261" s="1134" t="s">
        <v>1378</v>
      </c>
      <c r="D261" s="1135" t="s">
        <v>129</v>
      </c>
      <c r="E261" s="1135" t="s">
        <v>129</v>
      </c>
      <c r="F261" s="1135" t="s">
        <v>22</v>
      </c>
      <c r="G261" s="1134" t="s">
        <v>129</v>
      </c>
      <c r="H261" s="992" t="s">
        <v>448</v>
      </c>
      <c r="I261" s="375" t="s">
        <v>1379</v>
      </c>
      <c r="J261" s="1136">
        <v>42</v>
      </c>
      <c r="K261" s="1131">
        <v>0.2</v>
      </c>
      <c r="L261" s="1148" t="s">
        <v>22</v>
      </c>
      <c r="M261" s="1182">
        <v>39615</v>
      </c>
      <c r="N261" s="1130">
        <v>41502</v>
      </c>
      <c r="O261" s="1135" t="s">
        <v>22</v>
      </c>
      <c r="P261" s="1149">
        <v>2013</v>
      </c>
      <c r="Q261" s="1141">
        <v>589500</v>
      </c>
      <c r="R261" s="1150">
        <v>28736581560</v>
      </c>
      <c r="S261" s="1150" t="s">
        <v>151</v>
      </c>
      <c r="T261" s="1142" t="s">
        <v>140</v>
      </c>
      <c r="U261" s="1143" t="s">
        <v>140</v>
      </c>
      <c r="V261" s="1144">
        <v>1</v>
      </c>
      <c r="W261" s="1141">
        <v>28736581560</v>
      </c>
      <c r="X261" s="1145">
        <v>48747</v>
      </c>
      <c r="Y261" s="1145">
        <v>50224.35</v>
      </c>
      <c r="Z261" s="1146">
        <v>2.9415014828464647E-2</v>
      </c>
      <c r="AA261" s="1147">
        <v>9749</v>
      </c>
      <c r="AB261" s="1135">
        <v>80</v>
      </c>
      <c r="AC261" s="1135">
        <v>10</v>
      </c>
      <c r="AD261" s="1134">
        <v>16</v>
      </c>
      <c r="AE261" s="1135">
        <v>81</v>
      </c>
      <c r="AF261" s="1135">
        <v>10</v>
      </c>
      <c r="AG261" s="1134">
        <v>15</v>
      </c>
      <c r="AH261" s="1135">
        <v>81</v>
      </c>
      <c r="AI261" s="1135">
        <v>10</v>
      </c>
      <c r="AJ261" s="1134">
        <v>22</v>
      </c>
      <c r="AK261" s="1134" t="s">
        <v>129</v>
      </c>
      <c r="AL261" s="1401" t="s">
        <v>22</v>
      </c>
    </row>
    <row r="262" spans="1:38" s="384" customFormat="1" ht="99.75">
      <c r="A262" s="1133" t="s">
        <v>1462</v>
      </c>
      <c r="B262" s="1133" t="s">
        <v>1465</v>
      </c>
      <c r="C262" s="1134" t="s">
        <v>1373</v>
      </c>
      <c r="D262" s="1135" t="s">
        <v>129</v>
      </c>
      <c r="E262" s="1135" t="s">
        <v>129</v>
      </c>
      <c r="F262" s="1135" t="s">
        <v>22</v>
      </c>
      <c r="G262" s="1134" t="s">
        <v>129</v>
      </c>
      <c r="H262" s="992" t="s">
        <v>1038</v>
      </c>
      <c r="I262" s="375" t="s">
        <v>1374</v>
      </c>
      <c r="J262" s="1136">
        <v>6</v>
      </c>
      <c r="K262" s="1131">
        <v>0.9</v>
      </c>
      <c r="L262" s="1148" t="s">
        <v>22</v>
      </c>
      <c r="M262" s="1139">
        <v>38341</v>
      </c>
      <c r="N262" s="1130">
        <v>40694</v>
      </c>
      <c r="O262" s="1135" t="s">
        <v>22</v>
      </c>
      <c r="P262" s="1149">
        <v>2011</v>
      </c>
      <c r="Q262" s="1141">
        <v>535600</v>
      </c>
      <c r="R262" s="1150">
        <v>5410438796</v>
      </c>
      <c r="S262" s="1150" t="s">
        <v>151</v>
      </c>
      <c r="T262" s="1142" t="s">
        <v>140</v>
      </c>
      <c r="U262" s="1143" t="s">
        <v>140</v>
      </c>
      <c r="V262" s="1144">
        <v>1</v>
      </c>
      <c r="W262" s="1141">
        <v>5410438796</v>
      </c>
      <c r="X262" s="1145">
        <v>10102</v>
      </c>
      <c r="Y262" s="1145">
        <v>10101.64</v>
      </c>
      <c r="Z262" s="1146">
        <v>3.563777762827236E-5</v>
      </c>
      <c r="AA262" s="1147">
        <v>9092</v>
      </c>
      <c r="AB262" s="1135"/>
      <c r="AC262" s="1135"/>
      <c r="AD262" s="1134"/>
      <c r="AE262" s="1135">
        <v>81</v>
      </c>
      <c r="AF262" s="1135">
        <v>10</v>
      </c>
      <c r="AG262" s="1134">
        <v>15</v>
      </c>
      <c r="AH262" s="1135">
        <v>81</v>
      </c>
      <c r="AI262" s="1135">
        <v>10</v>
      </c>
      <c r="AJ262" s="1134">
        <v>22</v>
      </c>
      <c r="AK262" s="1134" t="s">
        <v>129</v>
      </c>
      <c r="AL262" s="1401" t="s">
        <v>22</v>
      </c>
    </row>
    <row r="263" spans="1:38" s="384" customFormat="1" ht="159" customHeight="1">
      <c r="A263" s="1133" t="s">
        <v>1466</v>
      </c>
      <c r="B263" s="1133" t="s">
        <v>1467</v>
      </c>
      <c r="C263" s="1134" t="s">
        <v>1378</v>
      </c>
      <c r="D263" s="1135" t="s">
        <v>129</v>
      </c>
      <c r="E263" s="1135" t="s">
        <v>129</v>
      </c>
      <c r="F263" s="1135" t="s">
        <v>129</v>
      </c>
      <c r="G263" s="1134" t="s">
        <v>22</v>
      </c>
      <c r="H263" s="992" t="s">
        <v>448</v>
      </c>
      <c r="I263" s="375" t="s">
        <v>1379</v>
      </c>
      <c r="J263" s="1136">
        <v>42</v>
      </c>
      <c r="K263" s="1131">
        <v>0.2</v>
      </c>
      <c r="L263" s="1148" t="s">
        <v>22</v>
      </c>
      <c r="M263" s="1182">
        <v>39615</v>
      </c>
      <c r="N263" s="1130">
        <v>41502</v>
      </c>
      <c r="O263" s="1135" t="s">
        <v>22</v>
      </c>
      <c r="P263" s="1149">
        <v>2013</v>
      </c>
      <c r="Q263" s="1141">
        <v>589500</v>
      </c>
      <c r="R263" s="1150">
        <v>28736581560</v>
      </c>
      <c r="S263" s="1150" t="s">
        <v>151</v>
      </c>
      <c r="T263" s="1142" t="s">
        <v>140</v>
      </c>
      <c r="U263" s="1143" t="s">
        <v>140</v>
      </c>
      <c r="V263" s="1144">
        <v>1</v>
      </c>
      <c r="W263" s="1141">
        <v>28736581560</v>
      </c>
      <c r="X263" s="1145">
        <v>48747</v>
      </c>
      <c r="Y263" s="1145">
        <v>50224.35</v>
      </c>
      <c r="Z263" s="1146">
        <v>2.9415014828464647E-2</v>
      </c>
      <c r="AA263" s="1147">
        <v>9749</v>
      </c>
      <c r="AB263" s="1135">
        <v>80</v>
      </c>
      <c r="AC263" s="1135">
        <v>10</v>
      </c>
      <c r="AD263" s="1134">
        <v>16</v>
      </c>
      <c r="AE263" s="1135">
        <v>81</v>
      </c>
      <c r="AF263" s="1135">
        <v>10</v>
      </c>
      <c r="AG263" s="1134">
        <v>15</v>
      </c>
      <c r="AH263" s="1135">
        <v>81</v>
      </c>
      <c r="AI263" s="1135">
        <v>10</v>
      </c>
      <c r="AJ263" s="1134">
        <v>22</v>
      </c>
      <c r="AK263" s="1134" t="s">
        <v>129</v>
      </c>
      <c r="AL263" s="1401" t="s">
        <v>22</v>
      </c>
    </row>
    <row r="264" spans="1:38" s="384" customFormat="1" ht="51.95" customHeight="1">
      <c r="A264" s="1133" t="s">
        <v>1466</v>
      </c>
      <c r="B264" s="1133" t="s">
        <v>1468</v>
      </c>
      <c r="C264" s="1134" t="s">
        <v>1381</v>
      </c>
      <c r="D264" s="1135" t="s">
        <v>129</v>
      </c>
      <c r="E264" s="1135" t="s">
        <v>129</v>
      </c>
      <c r="F264" s="1135" t="s">
        <v>129</v>
      </c>
      <c r="G264" s="1134" t="s">
        <v>22</v>
      </c>
      <c r="H264" s="992" t="s">
        <v>214</v>
      </c>
      <c r="I264" s="375" t="s">
        <v>1382</v>
      </c>
      <c r="J264" s="1136">
        <v>5</v>
      </c>
      <c r="K264" s="1131">
        <v>1</v>
      </c>
      <c r="L264" s="1148" t="s">
        <v>22</v>
      </c>
      <c r="M264" s="1128">
        <v>38681</v>
      </c>
      <c r="N264" s="1156">
        <v>39994</v>
      </c>
      <c r="O264" s="1135" t="s">
        <v>22</v>
      </c>
      <c r="P264" s="1149">
        <v>2009</v>
      </c>
      <c r="Q264" s="1141">
        <v>496900</v>
      </c>
      <c r="R264" s="1150">
        <v>1194924.49</v>
      </c>
      <c r="S264" s="1150" t="s">
        <v>142</v>
      </c>
      <c r="T264" s="1142">
        <v>1.4047000000000001</v>
      </c>
      <c r="U264" s="1143">
        <v>1678510.431103</v>
      </c>
      <c r="V264" s="1144">
        <v>2158.67</v>
      </c>
      <c r="W264" s="1141">
        <v>3623350112.309113</v>
      </c>
      <c r="X264" s="1145">
        <v>7292</v>
      </c>
      <c r="Y264" s="1145">
        <v>6890.15</v>
      </c>
      <c r="Z264" s="1146">
        <v>5.8322387756434946E-2</v>
      </c>
      <c r="AA264" s="1147">
        <v>7292</v>
      </c>
      <c r="AB264" s="1135">
        <v>80</v>
      </c>
      <c r="AC264" s="1135">
        <v>10</v>
      </c>
      <c r="AD264" s="1134">
        <v>16</v>
      </c>
      <c r="AE264" s="1135">
        <v>81</v>
      </c>
      <c r="AF264" s="1135">
        <v>10</v>
      </c>
      <c r="AG264" s="1134">
        <v>15</v>
      </c>
      <c r="AH264" s="1135">
        <v>81</v>
      </c>
      <c r="AI264" s="1135">
        <v>10</v>
      </c>
      <c r="AJ264" s="1134">
        <v>22</v>
      </c>
      <c r="AK264" s="1134" t="s">
        <v>129</v>
      </c>
      <c r="AL264" s="1401" t="s">
        <v>22</v>
      </c>
    </row>
    <row r="265" spans="1:38" s="384" customFormat="1" ht="51.95" customHeight="1">
      <c r="A265" s="1133" t="s">
        <v>1466</v>
      </c>
      <c r="B265" s="1133" t="s">
        <v>1468</v>
      </c>
      <c r="C265" s="1134" t="s">
        <v>1381</v>
      </c>
      <c r="D265" s="1135" t="s">
        <v>129</v>
      </c>
      <c r="E265" s="1135" t="s">
        <v>129</v>
      </c>
      <c r="F265" s="1135" t="s">
        <v>129</v>
      </c>
      <c r="G265" s="1134" t="s">
        <v>22</v>
      </c>
      <c r="H265" s="992" t="s">
        <v>214</v>
      </c>
      <c r="I265" s="375" t="s">
        <v>1383</v>
      </c>
      <c r="J265" s="1136">
        <v>10</v>
      </c>
      <c r="K265" s="1131">
        <v>1</v>
      </c>
      <c r="L265" s="1148" t="s">
        <v>22</v>
      </c>
      <c r="M265" s="1139">
        <v>36850</v>
      </c>
      <c r="N265" s="1130">
        <v>38291</v>
      </c>
      <c r="O265" s="1135" t="s">
        <v>22</v>
      </c>
      <c r="P265" s="1149">
        <v>2004</v>
      </c>
      <c r="Q265" s="1141">
        <v>358000</v>
      </c>
      <c r="R265" s="1150">
        <v>1526917.675</v>
      </c>
      <c r="S265" s="1150" t="s">
        <v>142</v>
      </c>
      <c r="T265" s="1142">
        <v>1.2790999999999999</v>
      </c>
      <c r="U265" s="1143">
        <v>1953080.3980924999</v>
      </c>
      <c r="V265" s="1144">
        <v>2575.19</v>
      </c>
      <c r="W265" s="1141">
        <v>5029553110.3638248</v>
      </c>
      <c r="X265" s="1145">
        <v>14049</v>
      </c>
      <c r="Y265" s="1145">
        <v>10651.07</v>
      </c>
      <c r="Z265" s="1146">
        <v>0.31902240807731053</v>
      </c>
      <c r="AA265" s="1147">
        <v>14049</v>
      </c>
      <c r="AB265" s="1135">
        <v>80</v>
      </c>
      <c r="AC265" s="1135">
        <v>10</v>
      </c>
      <c r="AD265" s="1134">
        <v>16</v>
      </c>
      <c r="AE265" s="1135">
        <v>81</v>
      </c>
      <c r="AF265" s="1135">
        <v>10</v>
      </c>
      <c r="AG265" s="1134">
        <v>15</v>
      </c>
      <c r="AH265" s="1135">
        <v>81</v>
      </c>
      <c r="AI265" s="1135">
        <v>10</v>
      </c>
      <c r="AJ265" s="1134">
        <v>22</v>
      </c>
      <c r="AK265" s="1134" t="s">
        <v>129</v>
      </c>
      <c r="AL265" s="1401" t="s">
        <v>22</v>
      </c>
    </row>
    <row r="266" spans="1:38" s="384" customFormat="1" ht="57">
      <c r="A266" s="1133" t="s">
        <v>1466</v>
      </c>
      <c r="B266" s="1133" t="s">
        <v>1468</v>
      </c>
      <c r="C266" s="1134" t="s">
        <v>1381</v>
      </c>
      <c r="D266" s="1135" t="s">
        <v>129</v>
      </c>
      <c r="E266" s="1135" t="s">
        <v>129</v>
      </c>
      <c r="F266" s="1135" t="s">
        <v>129</v>
      </c>
      <c r="G266" s="1134" t="s">
        <v>22</v>
      </c>
      <c r="H266" s="992" t="s">
        <v>1384</v>
      </c>
      <c r="I266" s="375" t="s">
        <v>1385</v>
      </c>
      <c r="J266" s="1136">
        <v>17</v>
      </c>
      <c r="K266" s="1131">
        <v>1</v>
      </c>
      <c r="L266" s="1148" t="s">
        <v>22</v>
      </c>
      <c r="M266" s="1139">
        <v>37237</v>
      </c>
      <c r="N266" s="1130">
        <v>37978</v>
      </c>
      <c r="O266" s="1135" t="s">
        <v>22</v>
      </c>
      <c r="P266" s="1149">
        <v>2003</v>
      </c>
      <c r="Q266" s="1141">
        <v>332000</v>
      </c>
      <c r="R266" s="1150">
        <v>935604.46</v>
      </c>
      <c r="S266" s="1150" t="s">
        <v>142</v>
      </c>
      <c r="T266" s="1142">
        <v>1.24</v>
      </c>
      <c r="U266" s="1143">
        <v>1160149.5304</v>
      </c>
      <c r="V266" s="1144">
        <v>2809.09</v>
      </c>
      <c r="W266" s="1141">
        <v>3258964444.3513365</v>
      </c>
      <c r="X266" s="1145">
        <v>9816</v>
      </c>
      <c r="Y266" s="1145">
        <v>7683.55</v>
      </c>
      <c r="Z266" s="1146">
        <v>0.27753447299750755</v>
      </c>
      <c r="AA266" s="1147">
        <v>9816</v>
      </c>
      <c r="AB266" s="1135">
        <v>80</v>
      </c>
      <c r="AC266" s="1135">
        <v>10</v>
      </c>
      <c r="AD266" s="1134">
        <v>16</v>
      </c>
      <c r="AE266" s="1135">
        <v>81</v>
      </c>
      <c r="AF266" s="1135">
        <v>10</v>
      </c>
      <c r="AG266" s="1134">
        <v>15</v>
      </c>
      <c r="AH266" s="1135">
        <v>81</v>
      </c>
      <c r="AI266" s="1135">
        <v>10</v>
      </c>
      <c r="AJ266" s="1134">
        <v>22</v>
      </c>
      <c r="AK266" s="1134" t="s">
        <v>129</v>
      </c>
      <c r="AL266" s="1401" t="s">
        <v>22</v>
      </c>
    </row>
    <row r="267" spans="1:38" s="384" customFormat="1" ht="51.95" customHeight="1">
      <c r="A267" s="1133" t="s">
        <v>1466</v>
      </c>
      <c r="B267" s="1133" t="s">
        <v>1469</v>
      </c>
      <c r="C267" s="1134" t="s">
        <v>1373</v>
      </c>
      <c r="D267" s="1135" t="s">
        <v>129</v>
      </c>
      <c r="E267" s="1135" t="s">
        <v>129</v>
      </c>
      <c r="F267" s="1135" t="s">
        <v>129</v>
      </c>
      <c r="G267" s="1134" t="s">
        <v>22</v>
      </c>
      <c r="H267" s="992" t="s">
        <v>1038</v>
      </c>
      <c r="I267" s="375" t="s">
        <v>1374</v>
      </c>
      <c r="J267" s="1136">
        <v>6</v>
      </c>
      <c r="K267" s="1131">
        <v>0.9</v>
      </c>
      <c r="L267" s="1148" t="s">
        <v>22</v>
      </c>
      <c r="M267" s="1139">
        <v>38341</v>
      </c>
      <c r="N267" s="1130">
        <v>40694</v>
      </c>
      <c r="O267" s="1135" t="s">
        <v>22</v>
      </c>
      <c r="P267" s="1149">
        <v>2011</v>
      </c>
      <c r="Q267" s="1141">
        <v>535600</v>
      </c>
      <c r="R267" s="1150">
        <v>5410438796</v>
      </c>
      <c r="S267" s="1150" t="s">
        <v>151</v>
      </c>
      <c r="T267" s="1142" t="s">
        <v>140</v>
      </c>
      <c r="U267" s="1143" t="s">
        <v>140</v>
      </c>
      <c r="V267" s="1144">
        <v>1</v>
      </c>
      <c r="W267" s="1141">
        <v>5410438796</v>
      </c>
      <c r="X267" s="1145">
        <v>10102</v>
      </c>
      <c r="Y267" s="1145">
        <v>10101.64</v>
      </c>
      <c r="Z267" s="1146">
        <v>3.563777762827236E-5</v>
      </c>
      <c r="AA267" s="1147">
        <v>9092</v>
      </c>
      <c r="AB267" s="1135"/>
      <c r="AC267" s="1135"/>
      <c r="AD267" s="1134"/>
      <c r="AE267" s="1135">
        <v>81</v>
      </c>
      <c r="AF267" s="1135">
        <v>10</v>
      </c>
      <c r="AG267" s="1134">
        <v>15</v>
      </c>
      <c r="AH267" s="1135">
        <v>81</v>
      </c>
      <c r="AI267" s="1135">
        <v>10</v>
      </c>
      <c r="AJ267" s="1134">
        <v>22</v>
      </c>
      <c r="AK267" s="1134" t="s">
        <v>129</v>
      </c>
      <c r="AL267" s="1401" t="s">
        <v>22</v>
      </c>
    </row>
    <row r="268" spans="1:38" ht="51.95" customHeight="1">
      <c r="A268" s="1183"/>
      <c r="B268" s="1183"/>
      <c r="C268" s="1184"/>
      <c r="D268" s="1135"/>
      <c r="E268" s="1135"/>
      <c r="F268" s="1135"/>
      <c r="G268" s="1134"/>
      <c r="H268" s="1185"/>
      <c r="I268" s="1185"/>
      <c r="J268" s="1186"/>
      <c r="K268" s="1187"/>
      <c r="L268" s="1188"/>
      <c r="M268" s="1189"/>
      <c r="N268" s="1190"/>
      <c r="O268" s="1417"/>
      <c r="P268" s="1191"/>
      <c r="Q268" s="1141"/>
      <c r="R268" s="1192"/>
      <c r="S268" s="1192"/>
      <c r="T268" s="1142"/>
      <c r="U268" s="1143"/>
      <c r="V268" s="1144"/>
      <c r="W268" s="1151"/>
      <c r="X268" s="1145"/>
      <c r="Y268" s="1193"/>
      <c r="Z268" s="1194"/>
      <c r="AA268" s="1147"/>
      <c r="AB268" s="1195"/>
      <c r="AC268" s="1195"/>
      <c r="AD268" s="1196"/>
      <c r="AE268" s="1195"/>
      <c r="AF268" s="1195"/>
      <c r="AG268" s="1196"/>
      <c r="AH268" s="1195"/>
      <c r="AI268" s="1195"/>
      <c r="AJ268" s="1196"/>
      <c r="AK268" s="1196"/>
      <c r="AL268" s="1401"/>
    </row>
    <row r="269" spans="1:38" ht="51.95" customHeight="1">
      <c r="A269" s="1183"/>
      <c r="B269" s="1183"/>
      <c r="C269" s="1184"/>
      <c r="D269" s="1135"/>
      <c r="E269" s="1135"/>
      <c r="F269" s="1135"/>
      <c r="G269" s="1134"/>
      <c r="H269" s="1185"/>
      <c r="I269" s="1185"/>
      <c r="J269" s="1186"/>
      <c r="K269" s="1187"/>
      <c r="L269" s="1188"/>
      <c r="M269" s="1189"/>
      <c r="N269" s="1190"/>
      <c r="O269" s="1417"/>
      <c r="P269" s="1191"/>
      <c r="Q269" s="1141"/>
      <c r="R269" s="1192"/>
      <c r="S269" s="1192"/>
      <c r="T269" s="1142"/>
      <c r="U269" s="1143"/>
      <c r="V269" s="1144"/>
      <c r="W269" s="1151"/>
      <c r="X269" s="1145"/>
      <c r="Y269" s="1193"/>
      <c r="Z269" s="1194"/>
      <c r="AA269" s="1147"/>
      <c r="AB269" s="1195"/>
      <c r="AC269" s="1195"/>
      <c r="AD269" s="1196"/>
      <c r="AE269" s="1195"/>
      <c r="AF269" s="1195"/>
      <c r="AG269" s="1196"/>
      <c r="AH269" s="1195"/>
      <c r="AI269" s="1195"/>
      <c r="AJ269" s="1196"/>
      <c r="AK269" s="1196"/>
      <c r="AL269" s="1401"/>
    </row>
    <row r="270" spans="1:38" ht="65.099999999999994" customHeight="1">
      <c r="A270" s="1183"/>
      <c r="B270" s="1183"/>
      <c r="C270" s="1184"/>
      <c r="D270" s="1135"/>
      <c r="E270" s="1135"/>
      <c r="F270" s="1135"/>
      <c r="G270" s="1134"/>
      <c r="H270" s="1185"/>
      <c r="I270" s="1185"/>
      <c r="J270" s="1186"/>
      <c r="K270" s="1187"/>
      <c r="L270" s="1188"/>
      <c r="M270" s="1189"/>
      <c r="N270" s="1190"/>
      <c r="O270" s="1417"/>
      <c r="P270" s="1191"/>
      <c r="Q270" s="1141"/>
      <c r="R270" s="1192"/>
      <c r="S270" s="1192"/>
      <c r="T270" s="1142"/>
      <c r="U270" s="1143"/>
      <c r="V270" s="1144"/>
      <c r="W270" s="1151"/>
      <c r="X270" s="1145"/>
      <c r="Y270" s="1193"/>
      <c r="Z270" s="1194"/>
      <c r="AA270" s="1147"/>
      <c r="AB270" s="1195"/>
      <c r="AC270" s="1195"/>
      <c r="AD270" s="1196"/>
      <c r="AE270" s="1195"/>
      <c r="AF270" s="1195"/>
      <c r="AG270" s="1196"/>
      <c r="AH270" s="1195"/>
      <c r="AI270" s="1195"/>
      <c r="AJ270" s="1196"/>
      <c r="AK270" s="1196"/>
      <c r="AL270" s="1401"/>
    </row>
    <row r="271" spans="1:38" ht="15" customHeight="1">
      <c r="A271" s="1183"/>
      <c r="B271" s="1183"/>
      <c r="C271" s="1197"/>
      <c r="D271" s="1198"/>
      <c r="E271" s="1198"/>
      <c r="F271" s="1198"/>
      <c r="G271" s="1199"/>
      <c r="H271" s="1185"/>
      <c r="I271" s="1183"/>
      <c r="J271" s="1186"/>
      <c r="K271" s="1187"/>
      <c r="L271" s="1187"/>
      <c r="M271" s="1187"/>
      <c r="N271" s="1200"/>
      <c r="O271" s="1417"/>
      <c r="P271" s="1191"/>
      <c r="Q271" s="1150"/>
      <c r="R271" s="1192"/>
      <c r="S271" s="1192"/>
      <c r="T271" s="1150"/>
      <c r="U271" s="1150"/>
      <c r="V271" s="1150"/>
      <c r="W271" s="1151"/>
      <c r="X271" s="1151"/>
      <c r="Y271" s="1201"/>
      <c r="Z271" s="1151"/>
      <c r="AA271" s="1202"/>
      <c r="AB271" s="1203"/>
      <c r="AC271" s="1204"/>
      <c r="AD271" s="1205"/>
      <c r="AE271" s="1203"/>
      <c r="AF271" s="1204"/>
      <c r="AG271" s="1205"/>
      <c r="AH271" s="1203"/>
      <c r="AI271" s="1204"/>
      <c r="AJ271" s="1205"/>
      <c r="AK271" s="1206"/>
      <c r="AL271" s="1207"/>
    </row>
    <row r="272" spans="1:38" s="415" customFormat="1" ht="65.099999999999994" customHeight="1">
      <c r="A272" s="1183"/>
      <c r="B272" s="1183"/>
      <c r="C272" s="1197"/>
      <c r="D272" s="1135"/>
      <c r="E272" s="1135"/>
      <c r="F272" s="1135"/>
      <c r="G272" s="1134"/>
      <c r="H272" s="1185"/>
      <c r="I272" s="1185"/>
      <c r="J272" s="1186"/>
      <c r="K272" s="1187"/>
      <c r="L272" s="1188"/>
      <c r="M272" s="1189"/>
      <c r="N272" s="1190"/>
      <c r="O272" s="1417"/>
      <c r="P272" s="1191"/>
      <c r="Q272" s="1141"/>
      <c r="R272" s="1192"/>
      <c r="S272" s="1192"/>
      <c r="T272" s="1142"/>
      <c r="U272" s="1143"/>
      <c r="V272" s="1144"/>
      <c r="W272" s="1151"/>
      <c r="X272" s="1145"/>
      <c r="Y272" s="1193"/>
      <c r="Z272" s="1194"/>
      <c r="AA272" s="1147"/>
      <c r="AB272" s="1195"/>
      <c r="AC272" s="1195"/>
      <c r="AD272" s="1196"/>
      <c r="AE272" s="1195"/>
      <c r="AF272" s="1195"/>
      <c r="AG272" s="1196"/>
      <c r="AH272" s="1195"/>
      <c r="AI272" s="1195"/>
      <c r="AJ272" s="1196"/>
      <c r="AK272" s="1196"/>
      <c r="AL272" s="1401"/>
    </row>
    <row r="273" spans="1:38" s="415" customFormat="1" ht="51.95" customHeight="1">
      <c r="A273" s="1183"/>
      <c r="B273" s="1183"/>
      <c r="C273" s="1197"/>
      <c r="D273" s="1135"/>
      <c r="E273" s="1135"/>
      <c r="F273" s="1135"/>
      <c r="G273" s="1134"/>
      <c r="H273" s="1185"/>
      <c r="I273" s="1185"/>
      <c r="J273" s="1186"/>
      <c r="K273" s="1187"/>
      <c r="L273" s="1188"/>
      <c r="M273" s="1189"/>
      <c r="N273" s="1190"/>
      <c r="O273" s="1417"/>
      <c r="P273" s="1191"/>
      <c r="Q273" s="1141"/>
      <c r="R273" s="1192"/>
      <c r="S273" s="1192"/>
      <c r="T273" s="1142"/>
      <c r="U273" s="1143"/>
      <c r="V273" s="1144"/>
      <c r="W273" s="1151"/>
      <c r="X273" s="1145"/>
      <c r="Y273" s="1208"/>
      <c r="Z273" s="1194"/>
      <c r="AA273" s="1147"/>
      <c r="AB273" s="1195"/>
      <c r="AC273" s="1195"/>
      <c r="AD273" s="1196"/>
      <c r="AE273" s="1195"/>
      <c r="AF273" s="1195"/>
      <c r="AG273" s="1196"/>
      <c r="AH273" s="1195"/>
      <c r="AI273" s="1195"/>
      <c r="AJ273" s="1196"/>
      <c r="AK273" s="1196"/>
      <c r="AL273" s="1401"/>
    </row>
    <row r="274" spans="1:38" s="415" customFormat="1" ht="129.94999999999999" customHeight="1">
      <c r="A274" s="1183"/>
      <c r="B274" s="1183"/>
      <c r="C274" s="1184"/>
      <c r="D274" s="1135"/>
      <c r="E274" s="1135"/>
      <c r="F274" s="1135"/>
      <c r="G274" s="1134"/>
      <c r="H274" s="1185"/>
      <c r="I274" s="1185"/>
      <c r="J274" s="1186"/>
      <c r="K274" s="1187"/>
      <c r="L274" s="1188"/>
      <c r="M274" s="1189"/>
      <c r="N274" s="1190"/>
      <c r="O274" s="1417"/>
      <c r="P274" s="1191"/>
      <c r="Q274" s="1141"/>
      <c r="R274" s="1192"/>
      <c r="S274" s="1192"/>
      <c r="T274" s="1142"/>
      <c r="U274" s="1143"/>
      <c r="V274" s="1144"/>
      <c r="W274" s="1151"/>
      <c r="X274" s="1145"/>
      <c r="Y274" s="1208"/>
      <c r="Z274" s="1194"/>
      <c r="AA274" s="1147"/>
      <c r="AB274" s="1195"/>
      <c r="AC274" s="1195"/>
      <c r="AD274" s="1196"/>
      <c r="AE274" s="1195"/>
      <c r="AF274" s="1195"/>
      <c r="AG274" s="1196"/>
      <c r="AH274" s="1195"/>
      <c r="AI274" s="1195"/>
      <c r="AJ274" s="1196"/>
      <c r="AK274" s="1196"/>
      <c r="AL274" s="1401"/>
    </row>
    <row r="275" spans="1:38" s="415" customFormat="1" ht="143.1" customHeight="1">
      <c r="A275" s="1183"/>
      <c r="B275" s="1183"/>
      <c r="C275" s="1184"/>
      <c r="D275" s="1135"/>
      <c r="E275" s="1135"/>
      <c r="F275" s="1135"/>
      <c r="G275" s="1134"/>
      <c r="H275" s="1185"/>
      <c r="I275" s="1185"/>
      <c r="J275" s="1186"/>
      <c r="K275" s="1187"/>
      <c r="L275" s="1188"/>
      <c r="M275" s="1189"/>
      <c r="N275" s="1190"/>
      <c r="O275" s="1417"/>
      <c r="P275" s="1191"/>
      <c r="Q275" s="1141"/>
      <c r="R275" s="1192"/>
      <c r="S275" s="1192"/>
      <c r="T275" s="1142"/>
      <c r="U275" s="1143"/>
      <c r="V275" s="1144"/>
      <c r="W275" s="1151"/>
      <c r="X275" s="1145"/>
      <c r="Y275" s="1208"/>
      <c r="Z275" s="1194"/>
      <c r="AA275" s="1147"/>
      <c r="AB275" s="1195"/>
      <c r="AC275" s="1195"/>
      <c r="AD275" s="1196"/>
      <c r="AE275" s="1209"/>
      <c r="AF275" s="1209"/>
      <c r="AG275" s="1210"/>
      <c r="AH275" s="1209"/>
      <c r="AI275" s="1209"/>
      <c r="AJ275" s="1210"/>
      <c r="AK275" s="1211"/>
      <c r="AL275" s="1401"/>
    </row>
    <row r="276" spans="1:38" ht="65.099999999999994" customHeight="1">
      <c r="A276" s="1183"/>
      <c r="B276" s="1183"/>
      <c r="C276" s="1184"/>
      <c r="D276" s="1135"/>
      <c r="E276" s="1135"/>
      <c r="F276" s="1135"/>
      <c r="G276" s="1134"/>
      <c r="H276" s="1185"/>
      <c r="I276" s="1185"/>
      <c r="J276" s="1186"/>
      <c r="K276" s="1187"/>
      <c r="L276" s="1188"/>
      <c r="M276" s="1189"/>
      <c r="N276" s="1190"/>
      <c r="O276" s="1417"/>
      <c r="P276" s="1191"/>
      <c r="Q276" s="1141"/>
      <c r="R276" s="1192"/>
      <c r="S276" s="1192"/>
      <c r="T276" s="1142"/>
      <c r="U276" s="1143"/>
      <c r="V276" s="1144"/>
      <c r="W276" s="1151"/>
      <c r="X276" s="1145"/>
      <c r="Y276" s="1208"/>
      <c r="Z276" s="1194"/>
      <c r="AA276" s="1147"/>
      <c r="AB276" s="1195"/>
      <c r="AC276" s="1195"/>
      <c r="AD276" s="1196"/>
      <c r="AE276" s="1209"/>
      <c r="AF276" s="1209"/>
      <c r="AG276" s="1210"/>
      <c r="AH276" s="1209"/>
      <c r="AI276" s="1209"/>
      <c r="AJ276" s="1210"/>
      <c r="AK276" s="1196"/>
      <c r="AL276" s="1401"/>
    </row>
    <row r="277" spans="1:38" ht="90.95" customHeight="1">
      <c r="A277" s="1183"/>
      <c r="B277" s="1183"/>
      <c r="C277" s="1184"/>
      <c r="D277" s="1135"/>
      <c r="E277" s="1135"/>
      <c r="F277" s="1135"/>
      <c r="G277" s="1134"/>
      <c r="H277" s="1185"/>
      <c r="I277" s="1185"/>
      <c r="J277" s="1186"/>
      <c r="K277" s="1187"/>
      <c r="L277" s="1188"/>
      <c r="M277" s="1189"/>
      <c r="N277" s="1190"/>
      <c r="O277" s="1417"/>
      <c r="P277" s="1191"/>
      <c r="Q277" s="1141"/>
      <c r="R277" s="1192"/>
      <c r="S277" s="1192"/>
      <c r="T277" s="1142"/>
      <c r="U277" s="1143"/>
      <c r="V277" s="1144"/>
      <c r="W277" s="1151"/>
      <c r="X277" s="1145"/>
      <c r="Y277" s="1208"/>
      <c r="Z277" s="1194"/>
      <c r="AA277" s="1147"/>
      <c r="AB277" s="1195"/>
      <c r="AC277" s="1195"/>
      <c r="AD277" s="1196"/>
      <c r="AE277" s="1209"/>
      <c r="AF277" s="1209"/>
      <c r="AG277" s="1210"/>
      <c r="AH277" s="1209"/>
      <c r="AI277" s="1209"/>
      <c r="AJ277" s="1210"/>
      <c r="AK277" s="1196"/>
      <c r="AL277" s="1401"/>
    </row>
    <row r="278" spans="1:38" ht="90.95" customHeight="1">
      <c r="A278" s="1183"/>
      <c r="B278" s="1183"/>
      <c r="C278" s="1184"/>
      <c r="D278" s="1135"/>
      <c r="E278" s="1135"/>
      <c r="F278" s="1135"/>
      <c r="G278" s="1134"/>
      <c r="H278" s="1185"/>
      <c r="I278" s="1185"/>
      <c r="J278" s="1186"/>
      <c r="K278" s="1187"/>
      <c r="L278" s="1188"/>
      <c r="M278" s="1189"/>
      <c r="N278" s="1190"/>
      <c r="O278" s="1417"/>
      <c r="P278" s="1191"/>
      <c r="Q278" s="1141"/>
      <c r="R278" s="1192"/>
      <c r="S278" s="1192"/>
      <c r="T278" s="1142"/>
      <c r="U278" s="1143"/>
      <c r="V278" s="1144"/>
      <c r="W278" s="1151"/>
      <c r="X278" s="1145"/>
      <c r="Y278" s="1208"/>
      <c r="Z278" s="1194"/>
      <c r="AA278" s="1147"/>
      <c r="AB278" s="1195"/>
      <c r="AC278" s="1195"/>
      <c r="AD278" s="1196"/>
      <c r="AE278" s="1209"/>
      <c r="AF278" s="1209"/>
      <c r="AG278" s="1210"/>
      <c r="AH278" s="1209"/>
      <c r="AI278" s="1209"/>
      <c r="AJ278" s="1210"/>
      <c r="AK278" s="1196"/>
      <c r="AL278" s="1401"/>
    </row>
    <row r="279" spans="1:38" ht="90.95" customHeight="1">
      <c r="A279" s="1183"/>
      <c r="B279" s="1183"/>
      <c r="C279" s="1184"/>
      <c r="D279" s="1135"/>
      <c r="E279" s="1135"/>
      <c r="F279" s="1135"/>
      <c r="G279" s="1134"/>
      <c r="H279" s="1185"/>
      <c r="I279" s="1185"/>
      <c r="J279" s="1186"/>
      <c r="K279" s="1187"/>
      <c r="L279" s="1188"/>
      <c r="M279" s="1189"/>
      <c r="N279" s="1190"/>
      <c r="O279" s="1417"/>
      <c r="P279" s="1191"/>
      <c r="Q279" s="1141"/>
      <c r="R279" s="1192"/>
      <c r="S279" s="1192"/>
      <c r="T279" s="1142"/>
      <c r="U279" s="1143"/>
      <c r="V279" s="1144"/>
      <c r="W279" s="1151"/>
      <c r="X279" s="1145"/>
      <c r="Y279" s="1193"/>
      <c r="Z279" s="1194"/>
      <c r="AA279" s="1147"/>
      <c r="AB279" s="1195"/>
      <c r="AC279" s="1195"/>
      <c r="AD279" s="1196"/>
      <c r="AE279" s="1209"/>
      <c r="AF279" s="1209"/>
      <c r="AG279" s="1210"/>
      <c r="AH279" s="1209"/>
      <c r="AI279" s="1209"/>
      <c r="AJ279" s="1210"/>
      <c r="AK279" s="1196"/>
      <c r="AL279" s="1401"/>
    </row>
    <row r="280" spans="1:38" ht="51.95" customHeight="1">
      <c r="A280" s="1183"/>
      <c r="B280" s="1183"/>
      <c r="C280" s="1184"/>
      <c r="D280" s="1135"/>
      <c r="E280" s="1135"/>
      <c r="F280" s="1135"/>
      <c r="G280" s="1134"/>
      <c r="H280" s="1185"/>
      <c r="I280" s="1185"/>
      <c r="J280" s="1186"/>
      <c r="K280" s="1187"/>
      <c r="L280" s="1188"/>
      <c r="M280" s="1189"/>
      <c r="N280" s="1190"/>
      <c r="O280" s="1417"/>
      <c r="P280" s="1191"/>
      <c r="Q280" s="1141"/>
      <c r="R280" s="1192"/>
      <c r="S280" s="1192"/>
      <c r="T280" s="1142"/>
      <c r="U280" s="1143"/>
      <c r="V280" s="1144"/>
      <c r="W280" s="1151"/>
      <c r="X280" s="1145"/>
      <c r="Y280" s="1208"/>
      <c r="Z280" s="1194"/>
      <c r="AA280" s="1147"/>
      <c r="AB280" s="1195"/>
      <c r="AC280" s="1195"/>
      <c r="AD280" s="1196"/>
      <c r="AE280" s="1209"/>
      <c r="AF280" s="1209"/>
      <c r="AG280" s="1210"/>
      <c r="AH280" s="1209"/>
      <c r="AI280" s="1209"/>
      <c r="AJ280" s="1210"/>
      <c r="AK280" s="1196"/>
      <c r="AL280" s="1401"/>
    </row>
    <row r="281" spans="1:38" ht="51.95" customHeight="1">
      <c r="A281" s="1183"/>
      <c r="B281" s="1183"/>
      <c r="C281" s="1184"/>
      <c r="D281" s="1135"/>
      <c r="E281" s="1135"/>
      <c r="F281" s="1135"/>
      <c r="G281" s="1134"/>
      <c r="H281" s="1185"/>
      <c r="I281" s="1185"/>
      <c r="J281" s="1186"/>
      <c r="K281" s="1187"/>
      <c r="L281" s="1188"/>
      <c r="M281" s="1189"/>
      <c r="N281" s="1190"/>
      <c r="O281" s="1417"/>
      <c r="P281" s="1191"/>
      <c r="Q281" s="1141"/>
      <c r="R281" s="1192"/>
      <c r="S281" s="1192"/>
      <c r="T281" s="1142"/>
      <c r="U281" s="1143"/>
      <c r="V281" s="1144"/>
      <c r="W281" s="1151"/>
      <c r="X281" s="1145"/>
      <c r="Y281" s="1208"/>
      <c r="Z281" s="1194"/>
      <c r="AA281" s="1147"/>
      <c r="AB281" s="1195"/>
      <c r="AC281" s="1195"/>
      <c r="AD281" s="1196"/>
      <c r="AE281" s="1209"/>
      <c r="AF281" s="1209"/>
      <c r="AG281" s="1210"/>
      <c r="AH281" s="1209"/>
      <c r="AI281" s="1209"/>
      <c r="AJ281" s="1210"/>
      <c r="AK281" s="1196"/>
      <c r="AL281" s="1401"/>
    </row>
  </sheetData>
  <autoFilter ref="A1:AL281">
    <filterColumn colId="27" showButton="0"/>
    <filterColumn colId="28" showButton="0"/>
    <filterColumn colId="30" showButton="0"/>
    <filterColumn colId="31" showButton="0"/>
    <filterColumn colId="33" showButton="0"/>
    <filterColumn colId="34" showButton="0"/>
  </autoFilter>
  <mergeCells count="3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W1:W2"/>
    <mergeCell ref="V1:V2"/>
    <mergeCell ref="AK1:AK2"/>
    <mergeCell ref="AL1:AL2"/>
    <mergeCell ref="Y1:Y2"/>
    <mergeCell ref="Z1:Z2"/>
    <mergeCell ref="AA1:AA2"/>
    <mergeCell ref="AB1:AD1"/>
    <mergeCell ref="AE1:AG1"/>
    <mergeCell ref="AH1:AJ1"/>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B210"/>
  <sheetViews>
    <sheetView zoomScale="70" zoomScaleNormal="70" workbookViewId="0">
      <pane xSplit="1" ySplit="2" topLeftCell="B85" activePane="bottomRight" state="frozen"/>
      <selection activeCell="M112" sqref="M112"/>
      <selection pane="topRight" activeCell="M112" sqref="M112"/>
      <selection pane="bottomLeft" activeCell="M112" sqref="M112"/>
      <selection pane="bottomRight" activeCell="M112" sqref="M112"/>
    </sheetView>
  </sheetViews>
  <sheetFormatPr baseColWidth="10" defaultColWidth="10.875" defaultRowHeight="15.75"/>
  <cols>
    <col min="1" max="1" width="13.375" style="398" bestFit="1" customWidth="1"/>
    <col min="2" max="2" width="16" style="398" bestFit="1" customWidth="1"/>
    <col min="3" max="3" width="23.375" style="423" bestFit="1" customWidth="1"/>
    <col min="4" max="7" width="8.875" style="405" bestFit="1" customWidth="1"/>
    <col min="8" max="8" width="22.375" style="423" customWidth="1"/>
    <col min="9" max="9" width="51.875" style="398" customWidth="1"/>
    <col min="10" max="10" width="17.875" style="401" customWidth="1"/>
    <col min="11" max="11" width="26.125" style="401" customWidth="1"/>
    <col min="12" max="12" width="10.625" style="401" customWidth="1"/>
    <col min="13" max="13" width="11" style="424" customWidth="1"/>
    <col min="14" max="14" width="15.625" style="378" customWidth="1"/>
    <col min="15" max="15" width="13.625" style="402" customWidth="1"/>
    <col min="16" max="16" width="12.375" style="425" customWidth="1"/>
    <col min="17" max="17" width="18.625" style="403" customWidth="1"/>
    <col min="18" max="18" width="11" style="403" customWidth="1"/>
    <col min="19" max="19" width="8.875" style="376" bestFit="1" customWidth="1"/>
    <col min="20" max="20" width="12.5" style="376" customWidth="1"/>
    <col min="21" max="21" width="15.625" style="376" bestFit="1" customWidth="1"/>
    <col min="22" max="22" width="17" style="377" customWidth="1"/>
    <col min="23" max="23" width="15.5" style="377" customWidth="1"/>
    <col min="24" max="24" width="16.375" style="426" customWidth="1"/>
    <col min="25" max="25" width="27.5" style="424" customWidth="1"/>
    <col min="26" max="26" width="77.5" style="424" customWidth="1"/>
    <col min="27" max="27" width="26.375" style="424" customWidth="1"/>
    <col min="28" max="28" width="74.875" style="427" customWidth="1"/>
    <col min="29" max="16384" width="10.875" style="427"/>
  </cols>
  <sheetData>
    <row r="1" spans="1:28" s="416" customFormat="1" ht="21.95" customHeight="1">
      <c r="A1" s="1604" t="s">
        <v>96</v>
      </c>
      <c r="B1" s="1604" t="s">
        <v>97</v>
      </c>
      <c r="C1" s="1604" t="s">
        <v>99</v>
      </c>
      <c r="D1" s="1586" t="s">
        <v>882</v>
      </c>
      <c r="E1" s="1586" t="s">
        <v>883</v>
      </c>
      <c r="F1" s="1586" t="s">
        <v>884</v>
      </c>
      <c r="G1" s="1586" t="s">
        <v>885</v>
      </c>
      <c r="H1" s="1586" t="s">
        <v>100</v>
      </c>
      <c r="I1" s="1586" t="s">
        <v>103</v>
      </c>
      <c r="J1" s="1586" t="s">
        <v>887</v>
      </c>
      <c r="K1" s="1588" t="s">
        <v>1470</v>
      </c>
      <c r="L1" s="1586" t="s">
        <v>107</v>
      </c>
      <c r="M1" s="1586" t="s">
        <v>108</v>
      </c>
      <c r="N1" s="1588" t="s">
        <v>1471</v>
      </c>
      <c r="O1" s="1586" t="s">
        <v>889</v>
      </c>
      <c r="P1" s="1586" t="s">
        <v>890</v>
      </c>
      <c r="Q1" s="1586" t="s">
        <v>111</v>
      </c>
      <c r="R1" s="1586" t="s">
        <v>112</v>
      </c>
      <c r="S1" s="1586" t="s">
        <v>113</v>
      </c>
      <c r="T1" s="1586" t="s">
        <v>114</v>
      </c>
      <c r="U1" s="1586" t="s">
        <v>115</v>
      </c>
      <c r="V1" s="1586" t="s">
        <v>116</v>
      </c>
      <c r="W1" s="1586" t="s">
        <v>117</v>
      </c>
      <c r="X1" s="1588" t="s">
        <v>1472</v>
      </c>
      <c r="Y1" s="1586" t="s">
        <v>1473</v>
      </c>
      <c r="Z1" s="1586" t="s">
        <v>1474</v>
      </c>
      <c r="AA1" s="1586" t="s">
        <v>681</v>
      </c>
      <c r="AB1" s="1586" t="s">
        <v>1475</v>
      </c>
    </row>
    <row r="2" spans="1:28" s="416" customFormat="1" ht="54.95" customHeight="1" thickBot="1">
      <c r="A2" s="1604"/>
      <c r="B2" s="1604"/>
      <c r="C2" s="1604"/>
      <c r="D2" s="1586"/>
      <c r="E2" s="1586"/>
      <c r="F2" s="1586"/>
      <c r="G2" s="1586"/>
      <c r="H2" s="1586"/>
      <c r="I2" s="1586"/>
      <c r="J2" s="1586"/>
      <c r="K2" s="1588"/>
      <c r="L2" s="1586"/>
      <c r="M2" s="1586"/>
      <c r="N2" s="1588"/>
      <c r="O2" s="1586"/>
      <c r="P2" s="1586"/>
      <c r="Q2" s="1586"/>
      <c r="R2" s="1586"/>
      <c r="S2" s="1586"/>
      <c r="T2" s="1586"/>
      <c r="U2" s="1586"/>
      <c r="V2" s="1586"/>
      <c r="W2" s="1586"/>
      <c r="X2" s="1588"/>
      <c r="Y2" s="1586"/>
      <c r="Z2" s="1586"/>
      <c r="AA2" s="1586"/>
      <c r="AB2" s="1586"/>
    </row>
    <row r="3" spans="1:28" s="417" customFormat="1" ht="114">
      <c r="A3" s="1212" t="s">
        <v>897</v>
      </c>
      <c r="B3" s="1213" t="s">
        <v>898</v>
      </c>
      <c r="C3" s="1214" t="s">
        <v>899</v>
      </c>
      <c r="D3" s="1214" t="s">
        <v>22</v>
      </c>
      <c r="E3" s="1214" t="s">
        <v>22</v>
      </c>
      <c r="F3" s="1214" t="s">
        <v>22</v>
      </c>
      <c r="G3" s="1214" t="s">
        <v>22</v>
      </c>
      <c r="H3" s="1215" t="s">
        <v>900</v>
      </c>
      <c r="I3" s="1216" t="s">
        <v>1476</v>
      </c>
      <c r="J3" s="1217">
        <v>0.5</v>
      </c>
      <c r="K3" s="1214" t="s">
        <v>22</v>
      </c>
      <c r="L3" s="1218">
        <v>40331</v>
      </c>
      <c r="M3" s="1218">
        <v>41215</v>
      </c>
      <c r="N3" s="1214" t="s">
        <v>22</v>
      </c>
      <c r="O3" s="1219">
        <v>2012</v>
      </c>
      <c r="P3" s="1220">
        <v>566700</v>
      </c>
      <c r="Q3" s="1221">
        <v>4264498373</v>
      </c>
      <c r="R3" s="1220" t="s">
        <v>151</v>
      </c>
      <c r="S3" s="1222">
        <v>1.2167533333333331</v>
      </c>
      <c r="T3" s="1223" t="s">
        <v>140</v>
      </c>
      <c r="U3" s="1224">
        <v>2331.4443333333334</v>
      </c>
      <c r="V3" s="1220">
        <v>4264498373</v>
      </c>
      <c r="W3" s="1225">
        <v>7525</v>
      </c>
      <c r="X3" s="1225">
        <v>3763</v>
      </c>
      <c r="Y3" s="1598" t="s">
        <v>22</v>
      </c>
      <c r="Z3" s="1598" t="s">
        <v>22</v>
      </c>
      <c r="AA3" s="1600" t="s">
        <v>129</v>
      </c>
    </row>
    <row r="4" spans="1:28" s="417" customFormat="1" ht="156.75">
      <c r="A4" s="1226" t="s">
        <v>897</v>
      </c>
      <c r="B4" s="1133" t="s">
        <v>898</v>
      </c>
      <c r="C4" s="1135" t="s">
        <v>899</v>
      </c>
      <c r="D4" s="1135" t="s">
        <v>22</v>
      </c>
      <c r="E4" s="1135" t="s">
        <v>22</v>
      </c>
      <c r="F4" s="1135" t="s">
        <v>22</v>
      </c>
      <c r="G4" s="1135" t="s">
        <v>22</v>
      </c>
      <c r="H4" s="992" t="s">
        <v>517</v>
      </c>
      <c r="I4" s="375" t="s">
        <v>902</v>
      </c>
      <c r="J4" s="1131">
        <v>0.4</v>
      </c>
      <c r="K4" s="1148" t="s">
        <v>22</v>
      </c>
      <c r="L4" s="1128">
        <v>41075</v>
      </c>
      <c r="M4" s="1227">
        <v>42165</v>
      </c>
      <c r="N4" s="1135" t="s">
        <v>22</v>
      </c>
      <c r="O4" s="1149">
        <v>2015</v>
      </c>
      <c r="P4" s="1141">
        <v>644350</v>
      </c>
      <c r="Q4" s="1177">
        <v>23762347066</v>
      </c>
      <c r="R4" s="1141" t="s">
        <v>151</v>
      </c>
      <c r="S4" s="1142">
        <v>1.2167533333333331</v>
      </c>
      <c r="T4" s="1143" t="s">
        <v>140</v>
      </c>
      <c r="U4" s="1144">
        <v>2331.4443333333334</v>
      </c>
      <c r="V4" s="1141">
        <v>23762347066</v>
      </c>
      <c r="W4" s="1145">
        <v>36878</v>
      </c>
      <c r="X4" s="1145">
        <v>14751</v>
      </c>
      <c r="Y4" s="1596"/>
      <c r="Z4" s="1596"/>
      <c r="AA4" s="1597"/>
    </row>
    <row r="5" spans="1:28" s="417" customFormat="1" ht="128.25">
      <c r="A5" s="1226" t="s">
        <v>897</v>
      </c>
      <c r="B5" s="1133" t="s">
        <v>906</v>
      </c>
      <c r="C5" s="1135" t="s">
        <v>907</v>
      </c>
      <c r="D5" s="1135" t="s">
        <v>22</v>
      </c>
      <c r="E5" s="1135" t="s">
        <v>22</v>
      </c>
      <c r="F5" s="1135" t="s">
        <v>22</v>
      </c>
      <c r="G5" s="1135" t="s">
        <v>22</v>
      </c>
      <c r="H5" s="992" t="s">
        <v>1477</v>
      </c>
      <c r="I5" s="375" t="s">
        <v>908</v>
      </c>
      <c r="J5" s="1131">
        <v>0.75</v>
      </c>
      <c r="K5" s="1148" t="s">
        <v>22</v>
      </c>
      <c r="L5" s="1128">
        <v>38672</v>
      </c>
      <c r="M5" s="1128">
        <v>39756</v>
      </c>
      <c r="N5" s="1135" t="s">
        <v>22</v>
      </c>
      <c r="O5" s="1149">
        <v>2008</v>
      </c>
      <c r="P5" s="1141">
        <v>461500</v>
      </c>
      <c r="Q5" s="1150">
        <v>2323578630</v>
      </c>
      <c r="R5" s="1150" t="s">
        <v>151</v>
      </c>
      <c r="S5" s="1142">
        <v>1.2167533333333331</v>
      </c>
      <c r="T5" s="1143" t="s">
        <v>140</v>
      </c>
      <c r="U5" s="1144">
        <v>2331.4443333333334</v>
      </c>
      <c r="V5" s="1141">
        <v>2323578630</v>
      </c>
      <c r="W5" s="1145">
        <v>5035</v>
      </c>
      <c r="X5" s="1145">
        <v>3776</v>
      </c>
      <c r="Y5" s="1596"/>
      <c r="Z5" s="1596"/>
      <c r="AA5" s="1597"/>
    </row>
    <row r="6" spans="1:28" s="417" customFormat="1" ht="114.75" thickBot="1">
      <c r="A6" s="1228" t="s">
        <v>897</v>
      </c>
      <c r="B6" s="1229" t="s">
        <v>906</v>
      </c>
      <c r="C6" s="1230" t="s">
        <v>907</v>
      </c>
      <c r="D6" s="1230" t="s">
        <v>22</v>
      </c>
      <c r="E6" s="1230" t="s">
        <v>22</v>
      </c>
      <c r="F6" s="1230" t="s">
        <v>22</v>
      </c>
      <c r="G6" s="1230" t="s">
        <v>22</v>
      </c>
      <c r="H6" s="1231" t="s">
        <v>493</v>
      </c>
      <c r="I6" s="1232" t="s">
        <v>1478</v>
      </c>
      <c r="J6" s="1233">
        <v>0.75</v>
      </c>
      <c r="K6" s="1234" t="s">
        <v>22</v>
      </c>
      <c r="L6" s="1235">
        <v>38673</v>
      </c>
      <c r="M6" s="1236">
        <v>39860</v>
      </c>
      <c r="N6" s="1230" t="s">
        <v>22</v>
      </c>
      <c r="O6" s="1237">
        <v>2009</v>
      </c>
      <c r="P6" s="1238">
        <v>496900</v>
      </c>
      <c r="Q6" s="1239">
        <v>1992021088</v>
      </c>
      <c r="R6" s="1240" t="s">
        <v>151</v>
      </c>
      <c r="S6" s="1241">
        <v>1.2167533333333331</v>
      </c>
      <c r="T6" s="1242" t="s">
        <v>140</v>
      </c>
      <c r="U6" s="1243">
        <v>2331.4443333333334</v>
      </c>
      <c r="V6" s="1238">
        <v>1992021088</v>
      </c>
      <c r="W6" s="1244">
        <v>4009</v>
      </c>
      <c r="X6" s="1244">
        <v>3007</v>
      </c>
      <c r="Y6" s="1599"/>
      <c r="Z6" s="1599"/>
      <c r="AA6" s="1601"/>
    </row>
    <row r="7" spans="1:28" s="417" customFormat="1" ht="42.75">
      <c r="A7" s="1226" t="s">
        <v>911</v>
      </c>
      <c r="B7" s="1133" t="s">
        <v>912</v>
      </c>
      <c r="C7" s="1135" t="s">
        <v>913</v>
      </c>
      <c r="D7" s="1135" t="s">
        <v>22</v>
      </c>
      <c r="E7" s="1135" t="s">
        <v>22</v>
      </c>
      <c r="F7" s="1135" t="s">
        <v>22</v>
      </c>
      <c r="G7" s="1135" t="s">
        <v>22</v>
      </c>
      <c r="H7" s="992" t="s">
        <v>914</v>
      </c>
      <c r="I7" s="375" t="s">
        <v>1479</v>
      </c>
      <c r="J7" s="1137">
        <v>1</v>
      </c>
      <c r="K7" s="1148" t="s">
        <v>22</v>
      </c>
      <c r="L7" s="1128">
        <v>35006</v>
      </c>
      <c r="M7" s="1128">
        <v>35795</v>
      </c>
      <c r="N7" s="1135" t="s">
        <v>22</v>
      </c>
      <c r="O7" s="1140">
        <v>1997</v>
      </c>
      <c r="P7" s="1141">
        <v>172005</v>
      </c>
      <c r="Q7" s="1168">
        <v>938536415</v>
      </c>
      <c r="R7" s="1141" t="s">
        <v>151</v>
      </c>
      <c r="S7" s="1142">
        <v>1.2167533333333331</v>
      </c>
      <c r="T7" s="1143" t="s">
        <v>140</v>
      </c>
      <c r="U7" s="1144">
        <v>2331.4443333333334</v>
      </c>
      <c r="V7" s="1141">
        <v>938536415</v>
      </c>
      <c r="W7" s="1145">
        <v>5456</v>
      </c>
      <c r="X7" s="1145">
        <v>5456</v>
      </c>
      <c r="Y7" s="1598" t="s">
        <v>22</v>
      </c>
      <c r="Z7" s="1598" t="s">
        <v>22</v>
      </c>
      <c r="AA7" s="1600" t="s">
        <v>129</v>
      </c>
    </row>
    <row r="8" spans="1:28" s="417" customFormat="1" ht="57">
      <c r="A8" s="1226" t="s">
        <v>911</v>
      </c>
      <c r="B8" s="1133" t="s">
        <v>912</v>
      </c>
      <c r="C8" s="1135" t="s">
        <v>913</v>
      </c>
      <c r="D8" s="1135" t="s">
        <v>22</v>
      </c>
      <c r="E8" s="1135" t="s">
        <v>22</v>
      </c>
      <c r="F8" s="1135" t="s">
        <v>22</v>
      </c>
      <c r="G8" s="1135" t="s">
        <v>22</v>
      </c>
      <c r="H8" s="992" t="s">
        <v>147</v>
      </c>
      <c r="I8" s="375" t="s">
        <v>1480</v>
      </c>
      <c r="J8" s="1131">
        <v>1</v>
      </c>
      <c r="K8" s="1148" t="s">
        <v>22</v>
      </c>
      <c r="L8" s="1128">
        <v>37186</v>
      </c>
      <c r="M8" s="1128">
        <v>38373</v>
      </c>
      <c r="N8" s="1135" t="s">
        <v>22</v>
      </c>
      <c r="O8" s="1149">
        <v>2005</v>
      </c>
      <c r="P8" s="1141">
        <v>381500</v>
      </c>
      <c r="Q8" s="1168">
        <v>1577666575</v>
      </c>
      <c r="R8" s="1141" t="s">
        <v>151</v>
      </c>
      <c r="S8" s="1142">
        <v>1.2167533333333331</v>
      </c>
      <c r="T8" s="1143" t="s">
        <v>140</v>
      </c>
      <c r="U8" s="1144">
        <v>2331.4443333333334</v>
      </c>
      <c r="V8" s="1141">
        <v>1577666575</v>
      </c>
      <c r="W8" s="1145">
        <v>4135</v>
      </c>
      <c r="X8" s="1145">
        <v>4135</v>
      </c>
      <c r="Y8" s="1596"/>
      <c r="Z8" s="1596"/>
      <c r="AA8" s="1597"/>
    </row>
    <row r="9" spans="1:28" s="417" customFormat="1" ht="42.75">
      <c r="A9" s="1226" t="s">
        <v>911</v>
      </c>
      <c r="B9" s="1133" t="s">
        <v>912</v>
      </c>
      <c r="C9" s="1135" t="s">
        <v>913</v>
      </c>
      <c r="D9" s="1135" t="s">
        <v>22</v>
      </c>
      <c r="E9" s="1135" t="s">
        <v>22</v>
      </c>
      <c r="F9" s="1135" t="s">
        <v>22</v>
      </c>
      <c r="G9" s="1135" t="s">
        <v>22</v>
      </c>
      <c r="H9" s="992" t="s">
        <v>147</v>
      </c>
      <c r="I9" s="375" t="s">
        <v>1481</v>
      </c>
      <c r="J9" s="1158">
        <v>0.9</v>
      </c>
      <c r="K9" s="1148" t="s">
        <v>22</v>
      </c>
      <c r="L9" s="1128">
        <v>38385</v>
      </c>
      <c r="M9" s="1128">
        <v>39814</v>
      </c>
      <c r="N9" s="1135" t="s">
        <v>22</v>
      </c>
      <c r="O9" s="1149">
        <v>2009</v>
      </c>
      <c r="P9" s="1141">
        <v>496900</v>
      </c>
      <c r="Q9" s="1141">
        <v>2250917484</v>
      </c>
      <c r="R9" s="1141" t="s">
        <v>151</v>
      </c>
      <c r="S9" s="1142">
        <v>1.2167533333333331</v>
      </c>
      <c r="T9" s="1143" t="s">
        <v>140</v>
      </c>
      <c r="U9" s="1144">
        <v>2331.4443333333334</v>
      </c>
      <c r="V9" s="1141">
        <v>2250917484</v>
      </c>
      <c r="W9" s="1145">
        <v>4530</v>
      </c>
      <c r="X9" s="1145">
        <v>4077</v>
      </c>
      <c r="Y9" s="1596"/>
      <c r="Z9" s="1596"/>
      <c r="AA9" s="1597"/>
    </row>
    <row r="10" spans="1:28" s="417" customFormat="1" ht="100.5" thickBot="1">
      <c r="A10" s="1226" t="s">
        <v>911</v>
      </c>
      <c r="B10" s="1133" t="s">
        <v>917</v>
      </c>
      <c r="C10" s="1135" t="s">
        <v>918</v>
      </c>
      <c r="D10" s="1135" t="s">
        <v>22</v>
      </c>
      <c r="E10" s="1135" t="s">
        <v>22</v>
      </c>
      <c r="F10" s="1135" t="s">
        <v>22</v>
      </c>
      <c r="G10" s="1135" t="s">
        <v>22</v>
      </c>
      <c r="H10" s="992" t="s">
        <v>919</v>
      </c>
      <c r="I10" s="375" t="s">
        <v>1482</v>
      </c>
      <c r="J10" s="1131">
        <v>1</v>
      </c>
      <c r="K10" s="1148" t="s">
        <v>22</v>
      </c>
      <c r="L10" s="1139">
        <v>41295</v>
      </c>
      <c r="M10" s="1245">
        <v>41841</v>
      </c>
      <c r="N10" s="1135" t="s">
        <v>22</v>
      </c>
      <c r="O10" s="1149">
        <v>2014</v>
      </c>
      <c r="P10" s="1141">
        <v>616000</v>
      </c>
      <c r="Q10" s="418">
        <v>3203004883</v>
      </c>
      <c r="R10" s="1150" t="s">
        <v>151</v>
      </c>
      <c r="S10" s="1142">
        <v>1.2167533333333331</v>
      </c>
      <c r="T10" s="1143" t="s">
        <v>140</v>
      </c>
      <c r="U10" s="1144">
        <v>2331.4443333333334</v>
      </c>
      <c r="V10" s="1141">
        <v>3203004883</v>
      </c>
      <c r="W10" s="1145">
        <v>5200</v>
      </c>
      <c r="X10" s="1145">
        <v>5200</v>
      </c>
      <c r="Y10" s="1596"/>
      <c r="Z10" s="1596"/>
      <c r="AA10" s="1597"/>
    </row>
    <row r="11" spans="1:28" s="417" customFormat="1" ht="71.25">
      <c r="A11" s="1212" t="s">
        <v>921</v>
      </c>
      <c r="B11" s="1213" t="s">
        <v>922</v>
      </c>
      <c r="C11" s="1214" t="s">
        <v>923</v>
      </c>
      <c r="D11" s="1214" t="s">
        <v>22</v>
      </c>
      <c r="E11" s="1214" t="s">
        <v>22</v>
      </c>
      <c r="F11" s="1214" t="s">
        <v>22</v>
      </c>
      <c r="G11" s="1214" t="s">
        <v>22</v>
      </c>
      <c r="H11" s="1215" t="s">
        <v>1483</v>
      </c>
      <c r="I11" s="1216" t="s">
        <v>1484</v>
      </c>
      <c r="J11" s="1217">
        <v>1</v>
      </c>
      <c r="K11" s="1214" t="s">
        <v>22</v>
      </c>
      <c r="L11" s="1218">
        <v>37839</v>
      </c>
      <c r="M11" s="1218">
        <v>38869</v>
      </c>
      <c r="N11" s="1214" t="s">
        <v>22</v>
      </c>
      <c r="O11" s="1219">
        <v>2006</v>
      </c>
      <c r="P11" s="1220">
        <v>408000</v>
      </c>
      <c r="Q11" s="1221">
        <v>1115922.3700000001</v>
      </c>
      <c r="R11" s="1220" t="s">
        <v>142</v>
      </c>
      <c r="S11" s="1222">
        <v>1.2167533333333331</v>
      </c>
      <c r="T11" s="1223">
        <v>1357802.2634387333</v>
      </c>
      <c r="U11" s="1224">
        <v>2331.4443333333334</v>
      </c>
      <c r="V11" s="1220">
        <v>3165640392.8814087</v>
      </c>
      <c r="W11" s="1225">
        <v>7759</v>
      </c>
      <c r="X11" s="1225">
        <v>7759</v>
      </c>
      <c r="Y11" s="1598" t="s">
        <v>22</v>
      </c>
      <c r="Z11" s="1598" t="s">
        <v>22</v>
      </c>
      <c r="AA11" s="1600" t="s">
        <v>129</v>
      </c>
    </row>
    <row r="12" spans="1:28" s="417" customFormat="1" ht="71.25">
      <c r="A12" s="1226" t="s">
        <v>921</v>
      </c>
      <c r="B12" s="1133" t="s">
        <v>922</v>
      </c>
      <c r="C12" s="1135" t="s">
        <v>923</v>
      </c>
      <c r="D12" s="1135" t="s">
        <v>22</v>
      </c>
      <c r="E12" s="1135" t="s">
        <v>22</v>
      </c>
      <c r="F12" s="1135" t="s">
        <v>22</v>
      </c>
      <c r="G12" s="1135" t="s">
        <v>22</v>
      </c>
      <c r="H12" s="992" t="s">
        <v>1485</v>
      </c>
      <c r="I12" s="375" t="s">
        <v>144</v>
      </c>
      <c r="J12" s="1131">
        <v>0.5</v>
      </c>
      <c r="K12" s="1148" t="s">
        <v>22</v>
      </c>
      <c r="L12" s="1128">
        <v>39400</v>
      </c>
      <c r="M12" s="1128">
        <v>40968</v>
      </c>
      <c r="N12" s="1135" t="s">
        <v>22</v>
      </c>
      <c r="O12" s="1149">
        <v>2012</v>
      </c>
      <c r="P12" s="1141">
        <v>566700</v>
      </c>
      <c r="Q12" s="1150">
        <v>2033765.73</v>
      </c>
      <c r="R12" s="1150" t="s">
        <v>142</v>
      </c>
      <c r="S12" s="1142">
        <v>1.2167533333333331</v>
      </c>
      <c r="T12" s="1143">
        <v>2474591.2311965995</v>
      </c>
      <c r="U12" s="1144">
        <v>2331.4443333333334</v>
      </c>
      <c r="V12" s="1141">
        <v>5769371703.289669</v>
      </c>
      <c r="W12" s="1145">
        <v>10181</v>
      </c>
      <c r="X12" s="1145">
        <v>5091</v>
      </c>
      <c r="Y12" s="1596"/>
      <c r="Z12" s="1596"/>
      <c r="AA12" s="1597"/>
    </row>
    <row r="13" spans="1:28" s="417" customFormat="1" ht="71.25">
      <c r="A13" s="1226" t="s">
        <v>921</v>
      </c>
      <c r="B13" s="1133" t="s">
        <v>928</v>
      </c>
      <c r="C13" s="1135" t="s">
        <v>929</v>
      </c>
      <c r="D13" s="1135" t="s">
        <v>22</v>
      </c>
      <c r="E13" s="1135" t="s">
        <v>22</v>
      </c>
      <c r="F13" s="1135" t="s">
        <v>22</v>
      </c>
      <c r="G13" s="1135" t="s">
        <v>22</v>
      </c>
      <c r="H13" s="992" t="s">
        <v>930</v>
      </c>
      <c r="I13" s="375" t="s">
        <v>931</v>
      </c>
      <c r="J13" s="1131">
        <v>0.9</v>
      </c>
      <c r="K13" s="1148" t="s">
        <v>22</v>
      </c>
      <c r="L13" s="1128">
        <v>35730</v>
      </c>
      <c r="M13" s="1128">
        <v>36459</v>
      </c>
      <c r="N13" s="1135" t="s">
        <v>22</v>
      </c>
      <c r="O13" s="1149">
        <v>1999</v>
      </c>
      <c r="P13" s="1141">
        <v>236460</v>
      </c>
      <c r="Q13" s="1141">
        <v>1343799332.5</v>
      </c>
      <c r="R13" s="1141" t="s">
        <v>151</v>
      </c>
      <c r="S13" s="1142">
        <v>1.2167533333333331</v>
      </c>
      <c r="T13" s="1143" t="s">
        <v>140</v>
      </c>
      <c r="U13" s="1144">
        <v>2331.4443333333334</v>
      </c>
      <c r="V13" s="1141">
        <v>1343799332.5</v>
      </c>
      <c r="W13" s="1145">
        <v>5683</v>
      </c>
      <c r="X13" s="1145">
        <v>5115</v>
      </c>
      <c r="Y13" s="1596"/>
      <c r="Z13" s="1596"/>
      <c r="AA13" s="1597"/>
    </row>
    <row r="14" spans="1:28" s="417" customFormat="1" ht="314.25" customHeight="1" thickBot="1">
      <c r="A14" s="1228" t="s">
        <v>921</v>
      </c>
      <c r="B14" s="1229" t="s">
        <v>928</v>
      </c>
      <c r="C14" s="1230" t="s">
        <v>929</v>
      </c>
      <c r="D14" s="1230" t="s">
        <v>22</v>
      </c>
      <c r="E14" s="1230" t="s">
        <v>22</v>
      </c>
      <c r="F14" s="1230" t="s">
        <v>22</v>
      </c>
      <c r="G14" s="1230" t="s">
        <v>22</v>
      </c>
      <c r="H14" s="1231" t="s">
        <v>281</v>
      </c>
      <c r="I14" s="1232" t="s">
        <v>932</v>
      </c>
      <c r="J14" s="1233">
        <v>0.5</v>
      </c>
      <c r="K14" s="1234" t="s">
        <v>22</v>
      </c>
      <c r="L14" s="1246">
        <v>38772</v>
      </c>
      <c r="M14" s="1246">
        <v>40656</v>
      </c>
      <c r="N14" s="1230" t="s">
        <v>22</v>
      </c>
      <c r="O14" s="1237">
        <v>2011</v>
      </c>
      <c r="P14" s="1238">
        <v>535600</v>
      </c>
      <c r="Q14" s="1240">
        <v>4960831409</v>
      </c>
      <c r="R14" s="1240" t="s">
        <v>151</v>
      </c>
      <c r="S14" s="1241">
        <v>1.2167533333333331</v>
      </c>
      <c r="T14" s="1242" t="s">
        <v>140</v>
      </c>
      <c r="U14" s="1243">
        <v>2331.4443333333334</v>
      </c>
      <c r="V14" s="1238">
        <v>4960831409</v>
      </c>
      <c r="W14" s="1244">
        <v>9262</v>
      </c>
      <c r="X14" s="1244">
        <v>4631</v>
      </c>
      <c r="Y14" s="1599"/>
      <c r="Z14" s="1599"/>
      <c r="AA14" s="1601"/>
    </row>
    <row r="15" spans="1:28" s="417" customFormat="1" ht="71.25">
      <c r="A15" s="1226" t="s">
        <v>933</v>
      </c>
      <c r="B15" s="1133" t="s">
        <v>934</v>
      </c>
      <c r="C15" s="1135" t="s">
        <v>935</v>
      </c>
      <c r="D15" s="1135" t="s">
        <v>22</v>
      </c>
      <c r="E15" s="1135" t="s">
        <v>22</v>
      </c>
      <c r="F15" s="1135" t="s">
        <v>22</v>
      </c>
      <c r="G15" s="1135" t="s">
        <v>22</v>
      </c>
      <c r="H15" s="992" t="s">
        <v>292</v>
      </c>
      <c r="I15" s="375" t="s">
        <v>1486</v>
      </c>
      <c r="J15" s="1137">
        <v>0.45</v>
      </c>
      <c r="K15" s="1135" t="s">
        <v>22</v>
      </c>
      <c r="L15" s="1128">
        <v>34338</v>
      </c>
      <c r="M15" s="1128">
        <v>36305</v>
      </c>
      <c r="N15" s="1135" t="s">
        <v>22</v>
      </c>
      <c r="O15" s="1140">
        <v>1999</v>
      </c>
      <c r="P15" s="1141">
        <v>236460</v>
      </c>
      <c r="Q15" s="1168">
        <v>4491569047</v>
      </c>
      <c r="R15" s="1141" t="s">
        <v>151</v>
      </c>
      <c r="S15" s="1142">
        <v>1.2167533333333331</v>
      </c>
      <c r="T15" s="1143" t="s">
        <v>140</v>
      </c>
      <c r="U15" s="1144">
        <v>2331.4443333333334</v>
      </c>
      <c r="V15" s="1141">
        <v>4491569047</v>
      </c>
      <c r="W15" s="1145">
        <v>18995</v>
      </c>
      <c r="X15" s="1145">
        <v>8548</v>
      </c>
      <c r="Y15" s="1596" t="s">
        <v>22</v>
      </c>
      <c r="Z15" s="1596" t="s">
        <v>22</v>
      </c>
      <c r="AA15" s="1597" t="s">
        <v>129</v>
      </c>
    </row>
    <row r="16" spans="1:28" s="417" customFormat="1" ht="42.75">
      <c r="A16" s="1226" t="s">
        <v>933</v>
      </c>
      <c r="B16" s="1133" t="s">
        <v>934</v>
      </c>
      <c r="C16" s="1135" t="s">
        <v>935</v>
      </c>
      <c r="D16" s="1135" t="s">
        <v>22</v>
      </c>
      <c r="E16" s="1135" t="s">
        <v>22</v>
      </c>
      <c r="F16" s="1135" t="s">
        <v>22</v>
      </c>
      <c r="G16" s="1135" t="s">
        <v>22</v>
      </c>
      <c r="H16" s="992" t="s">
        <v>297</v>
      </c>
      <c r="I16" s="375" t="s">
        <v>1487</v>
      </c>
      <c r="J16" s="1131">
        <v>1</v>
      </c>
      <c r="K16" s="1148" t="s">
        <v>22</v>
      </c>
      <c r="L16" s="1128">
        <v>39142</v>
      </c>
      <c r="M16" s="1128">
        <v>40920</v>
      </c>
      <c r="N16" s="1135" t="s">
        <v>22</v>
      </c>
      <c r="O16" s="1149">
        <v>2012</v>
      </c>
      <c r="P16" s="1141">
        <v>566700</v>
      </c>
      <c r="Q16" s="1168">
        <v>3161732843</v>
      </c>
      <c r="R16" s="1141" t="s">
        <v>151</v>
      </c>
      <c r="S16" s="1142">
        <v>1.2167533333333331</v>
      </c>
      <c r="T16" s="1143" t="s">
        <v>140</v>
      </c>
      <c r="U16" s="1144">
        <v>2331.4443333333334</v>
      </c>
      <c r="V16" s="1141">
        <v>3161732843</v>
      </c>
      <c r="W16" s="1145">
        <v>5579</v>
      </c>
      <c r="X16" s="1145">
        <v>5579</v>
      </c>
      <c r="Y16" s="1596"/>
      <c r="Z16" s="1596"/>
      <c r="AA16" s="1597"/>
    </row>
    <row r="17" spans="1:27" s="417" customFormat="1" ht="156.75">
      <c r="A17" s="1226" t="s">
        <v>933</v>
      </c>
      <c r="B17" s="1133" t="s">
        <v>934</v>
      </c>
      <c r="C17" s="1135" t="s">
        <v>935</v>
      </c>
      <c r="D17" s="1135" t="s">
        <v>22</v>
      </c>
      <c r="E17" s="1135" t="s">
        <v>22</v>
      </c>
      <c r="F17" s="1135" t="s">
        <v>22</v>
      </c>
      <c r="G17" s="1135" t="s">
        <v>22</v>
      </c>
      <c r="H17" s="992" t="s">
        <v>292</v>
      </c>
      <c r="I17" s="375" t="s">
        <v>1488</v>
      </c>
      <c r="J17" s="1131">
        <v>0.55000000000000004</v>
      </c>
      <c r="K17" s="1148" t="s">
        <v>22</v>
      </c>
      <c r="L17" s="1128">
        <v>39125</v>
      </c>
      <c r="M17" s="1128">
        <v>42012</v>
      </c>
      <c r="N17" s="1135" t="s">
        <v>22</v>
      </c>
      <c r="O17" s="1149">
        <v>2015</v>
      </c>
      <c r="P17" s="1141">
        <v>644350</v>
      </c>
      <c r="Q17" s="1141">
        <v>15319357761</v>
      </c>
      <c r="R17" s="1141" t="s">
        <v>151</v>
      </c>
      <c r="S17" s="1142">
        <v>1.2167533333333331</v>
      </c>
      <c r="T17" s="1143" t="s">
        <v>140</v>
      </c>
      <c r="U17" s="1144">
        <v>2331.4443333333334</v>
      </c>
      <c r="V17" s="1141">
        <v>15319357761</v>
      </c>
      <c r="W17" s="1145">
        <v>23775</v>
      </c>
      <c r="X17" s="1145">
        <v>13076</v>
      </c>
      <c r="Y17" s="1596"/>
      <c r="Z17" s="1596"/>
      <c r="AA17" s="1597"/>
    </row>
    <row r="18" spans="1:27" s="417" customFormat="1" ht="143.25" thickBot="1">
      <c r="A18" s="1226" t="s">
        <v>933</v>
      </c>
      <c r="B18" s="1133" t="s">
        <v>936</v>
      </c>
      <c r="C18" s="1135" t="s">
        <v>937</v>
      </c>
      <c r="D18" s="1135" t="s">
        <v>22</v>
      </c>
      <c r="E18" s="1135" t="s">
        <v>22</v>
      </c>
      <c r="F18" s="1135" t="s">
        <v>22</v>
      </c>
      <c r="G18" s="1135" t="s">
        <v>22</v>
      </c>
      <c r="H18" s="992" t="s">
        <v>448</v>
      </c>
      <c r="I18" s="375" t="s">
        <v>1489</v>
      </c>
      <c r="J18" s="1131">
        <v>0.65</v>
      </c>
      <c r="K18" s="1148" t="s">
        <v>22</v>
      </c>
      <c r="L18" s="1128">
        <v>39249</v>
      </c>
      <c r="M18" s="1128">
        <v>41152</v>
      </c>
      <c r="N18" s="1135" t="s">
        <v>22</v>
      </c>
      <c r="O18" s="1149">
        <v>2012</v>
      </c>
      <c r="P18" s="1141">
        <v>566700</v>
      </c>
      <c r="Q18" s="1150">
        <v>19146251489</v>
      </c>
      <c r="R18" s="1150" t="s">
        <v>151</v>
      </c>
      <c r="S18" s="1142">
        <v>1.2167533333333331</v>
      </c>
      <c r="T18" s="1143" t="s">
        <v>140</v>
      </c>
      <c r="U18" s="1144">
        <v>2331.4443333333334</v>
      </c>
      <c r="V18" s="1141">
        <v>19146251489</v>
      </c>
      <c r="W18" s="1145">
        <v>33786</v>
      </c>
      <c r="X18" s="1145">
        <v>21961</v>
      </c>
      <c r="Y18" s="1596"/>
      <c r="Z18" s="1596"/>
      <c r="AA18" s="1597"/>
    </row>
    <row r="19" spans="1:27" s="417" customFormat="1" ht="85.5">
      <c r="A19" s="1212" t="s">
        <v>939</v>
      </c>
      <c r="B19" s="1213" t="s">
        <v>940</v>
      </c>
      <c r="C19" s="1214" t="s">
        <v>941</v>
      </c>
      <c r="D19" s="1214" t="s">
        <v>22</v>
      </c>
      <c r="E19" s="1214" t="s">
        <v>22</v>
      </c>
      <c r="F19" s="1214" t="s">
        <v>22</v>
      </c>
      <c r="G19" s="1214" t="s">
        <v>22</v>
      </c>
      <c r="H19" s="1215" t="s">
        <v>945</v>
      </c>
      <c r="I19" s="1216" t="s">
        <v>946</v>
      </c>
      <c r="J19" s="1217">
        <v>1</v>
      </c>
      <c r="K19" s="1214" t="s">
        <v>22</v>
      </c>
      <c r="L19" s="1218">
        <v>39804</v>
      </c>
      <c r="M19" s="1218">
        <v>40390</v>
      </c>
      <c r="N19" s="1214" t="s">
        <v>22</v>
      </c>
      <c r="O19" s="1219">
        <v>2010</v>
      </c>
      <c r="P19" s="1220">
        <v>515000</v>
      </c>
      <c r="Q19" s="1221">
        <v>2748016868.48</v>
      </c>
      <c r="R19" s="1220" t="s">
        <v>151</v>
      </c>
      <c r="S19" s="1222">
        <v>1.2167533333333331</v>
      </c>
      <c r="T19" s="1223" t="s">
        <v>140</v>
      </c>
      <c r="U19" s="1224">
        <v>2331.4443333333334</v>
      </c>
      <c r="V19" s="1220">
        <v>2748016868.48</v>
      </c>
      <c r="W19" s="1225">
        <v>5336</v>
      </c>
      <c r="X19" s="1225">
        <v>5336</v>
      </c>
      <c r="Y19" s="1598" t="s">
        <v>22</v>
      </c>
      <c r="Z19" s="1598" t="s">
        <v>22</v>
      </c>
      <c r="AA19" s="1600" t="s">
        <v>129</v>
      </c>
    </row>
    <row r="20" spans="1:27" s="417" customFormat="1" ht="199.5">
      <c r="A20" s="1226" t="s">
        <v>939</v>
      </c>
      <c r="B20" s="1133" t="s">
        <v>940</v>
      </c>
      <c r="C20" s="1135" t="s">
        <v>941</v>
      </c>
      <c r="D20" s="1135" t="s">
        <v>22</v>
      </c>
      <c r="E20" s="1135" t="s">
        <v>22</v>
      </c>
      <c r="F20" s="1135" t="s">
        <v>22</v>
      </c>
      <c r="G20" s="1135" t="s">
        <v>22</v>
      </c>
      <c r="H20" s="992" t="s">
        <v>517</v>
      </c>
      <c r="I20" s="375" t="s">
        <v>1490</v>
      </c>
      <c r="J20" s="1131">
        <v>0.25</v>
      </c>
      <c r="K20" s="1148" t="s">
        <v>22</v>
      </c>
      <c r="L20" s="1128">
        <v>39521</v>
      </c>
      <c r="M20" s="1128">
        <v>40999</v>
      </c>
      <c r="N20" s="1135" t="s">
        <v>22</v>
      </c>
      <c r="O20" s="1149">
        <v>2012</v>
      </c>
      <c r="P20" s="1141">
        <v>566700</v>
      </c>
      <c r="Q20" s="1168">
        <v>7395957190</v>
      </c>
      <c r="R20" s="1141" t="s">
        <v>151</v>
      </c>
      <c r="S20" s="1142">
        <v>1.2167533333333331</v>
      </c>
      <c r="T20" s="1143" t="s">
        <v>140</v>
      </c>
      <c r="U20" s="1144">
        <v>2331.4443333333334</v>
      </c>
      <c r="V20" s="1141">
        <v>7395957190</v>
      </c>
      <c r="W20" s="1145">
        <v>13051</v>
      </c>
      <c r="X20" s="1145">
        <v>3263</v>
      </c>
      <c r="Y20" s="1596"/>
      <c r="Z20" s="1596"/>
      <c r="AA20" s="1597"/>
    </row>
    <row r="21" spans="1:27" s="417" customFormat="1" ht="85.5">
      <c r="A21" s="1226" t="s">
        <v>939</v>
      </c>
      <c r="B21" s="1133" t="s">
        <v>940</v>
      </c>
      <c r="C21" s="1135" t="s">
        <v>941</v>
      </c>
      <c r="D21" s="1135" t="s">
        <v>22</v>
      </c>
      <c r="E21" s="1135" t="s">
        <v>22</v>
      </c>
      <c r="F21" s="1135" t="s">
        <v>22</v>
      </c>
      <c r="G21" s="1135" t="s">
        <v>22</v>
      </c>
      <c r="H21" s="992" t="s">
        <v>448</v>
      </c>
      <c r="I21" s="375" t="s">
        <v>1491</v>
      </c>
      <c r="J21" s="1158">
        <v>0.7</v>
      </c>
      <c r="K21" s="1148" t="s">
        <v>22</v>
      </c>
      <c r="L21" s="1128">
        <v>39860</v>
      </c>
      <c r="M21" s="1128">
        <v>41337</v>
      </c>
      <c r="N21" s="1135" t="s">
        <v>22</v>
      </c>
      <c r="O21" s="1149">
        <v>2013</v>
      </c>
      <c r="P21" s="1141">
        <v>589500</v>
      </c>
      <c r="Q21" s="1150">
        <v>13157956981</v>
      </c>
      <c r="R21" s="1141" t="s">
        <v>151</v>
      </c>
      <c r="S21" s="1142">
        <v>1.2167533333333331</v>
      </c>
      <c r="T21" s="1143" t="s">
        <v>140</v>
      </c>
      <c r="U21" s="1144">
        <v>2331.4443333333334</v>
      </c>
      <c r="V21" s="1141">
        <v>13157956981</v>
      </c>
      <c r="W21" s="1145">
        <v>22321</v>
      </c>
      <c r="X21" s="1145">
        <v>15625</v>
      </c>
      <c r="Y21" s="1596"/>
      <c r="Z21" s="1596"/>
      <c r="AA21" s="1597"/>
    </row>
    <row r="22" spans="1:27" s="417" customFormat="1" ht="86.25" thickBot="1">
      <c r="A22" s="1228" t="s">
        <v>939</v>
      </c>
      <c r="B22" s="1229" t="s">
        <v>947</v>
      </c>
      <c r="C22" s="1230" t="s">
        <v>1492</v>
      </c>
      <c r="D22" s="1230" t="s">
        <v>22</v>
      </c>
      <c r="E22" s="1230" t="s">
        <v>22</v>
      </c>
      <c r="F22" s="1230" t="s">
        <v>22</v>
      </c>
      <c r="G22" s="1230" t="s">
        <v>22</v>
      </c>
      <c r="H22" s="1231" t="s">
        <v>949</v>
      </c>
      <c r="I22" s="1232" t="s">
        <v>950</v>
      </c>
      <c r="J22" s="1233">
        <v>0.75</v>
      </c>
      <c r="K22" s="1234" t="s">
        <v>22</v>
      </c>
      <c r="L22" s="1246">
        <v>38343</v>
      </c>
      <c r="M22" s="1246">
        <v>40512</v>
      </c>
      <c r="N22" s="1230" t="s">
        <v>22</v>
      </c>
      <c r="O22" s="1237">
        <v>2010</v>
      </c>
      <c r="P22" s="1238">
        <v>515000</v>
      </c>
      <c r="Q22" s="1240">
        <v>5720807974</v>
      </c>
      <c r="R22" s="1240" t="s">
        <v>151</v>
      </c>
      <c r="S22" s="1241">
        <v>1.2167533333333331</v>
      </c>
      <c r="T22" s="1242" t="s">
        <v>140</v>
      </c>
      <c r="U22" s="1243">
        <v>2331.4443333333334</v>
      </c>
      <c r="V22" s="1238">
        <v>5720807974</v>
      </c>
      <c r="W22" s="1244">
        <v>11108</v>
      </c>
      <c r="X22" s="1244">
        <v>8331</v>
      </c>
      <c r="Y22" s="1599"/>
      <c r="Z22" s="1599"/>
      <c r="AA22" s="1601"/>
    </row>
    <row r="23" spans="1:27" s="417" customFormat="1" ht="99.75">
      <c r="A23" s="1226" t="s">
        <v>951</v>
      </c>
      <c r="B23" s="1133" t="s">
        <v>952</v>
      </c>
      <c r="C23" s="1135" t="s">
        <v>527</v>
      </c>
      <c r="D23" s="1135" t="s">
        <v>22</v>
      </c>
      <c r="E23" s="1135" t="s">
        <v>22</v>
      </c>
      <c r="F23" s="1135" t="s">
        <v>22</v>
      </c>
      <c r="G23" s="1135" t="s">
        <v>22</v>
      </c>
      <c r="H23" s="992" t="s">
        <v>528</v>
      </c>
      <c r="I23" s="375" t="s">
        <v>953</v>
      </c>
      <c r="J23" s="1137">
        <v>1</v>
      </c>
      <c r="K23" s="1135" t="s">
        <v>22</v>
      </c>
      <c r="L23" s="1128">
        <v>38321</v>
      </c>
      <c r="M23" s="1128">
        <v>39901</v>
      </c>
      <c r="N23" s="1135" t="s">
        <v>22</v>
      </c>
      <c r="O23" s="1140">
        <v>2009</v>
      </c>
      <c r="P23" s="1141">
        <v>496900</v>
      </c>
      <c r="Q23" s="1168">
        <v>1743176333</v>
      </c>
      <c r="R23" s="1141" t="s">
        <v>151</v>
      </c>
      <c r="S23" s="1142">
        <v>1.2167533333333331</v>
      </c>
      <c r="T23" s="1143" t="s">
        <v>140</v>
      </c>
      <c r="U23" s="1144">
        <v>2331.4443333333334</v>
      </c>
      <c r="V23" s="1141">
        <v>1743176333</v>
      </c>
      <c r="W23" s="1145">
        <v>3508</v>
      </c>
      <c r="X23" s="1145">
        <v>3508</v>
      </c>
      <c r="Y23" s="1596" t="s">
        <v>22</v>
      </c>
      <c r="Z23" s="1596" t="s">
        <v>22</v>
      </c>
      <c r="AA23" s="1597" t="s">
        <v>129</v>
      </c>
    </row>
    <row r="24" spans="1:27" s="417" customFormat="1" ht="142.5">
      <c r="A24" s="1226" t="s">
        <v>951</v>
      </c>
      <c r="B24" s="1133" t="s">
        <v>952</v>
      </c>
      <c r="C24" s="1135" t="s">
        <v>527</v>
      </c>
      <c r="D24" s="1135" t="s">
        <v>22</v>
      </c>
      <c r="E24" s="1135" t="s">
        <v>22</v>
      </c>
      <c r="F24" s="1135" t="s">
        <v>22</v>
      </c>
      <c r="G24" s="1135" t="s">
        <v>22</v>
      </c>
      <c r="H24" s="992" t="s">
        <v>949</v>
      </c>
      <c r="I24" s="375" t="s">
        <v>1493</v>
      </c>
      <c r="J24" s="1131">
        <v>1</v>
      </c>
      <c r="K24" s="1148" t="s">
        <v>22</v>
      </c>
      <c r="L24" s="1128">
        <v>38658</v>
      </c>
      <c r="M24" s="1128">
        <v>39813</v>
      </c>
      <c r="N24" s="1135" t="s">
        <v>22</v>
      </c>
      <c r="O24" s="1149">
        <v>2008</v>
      </c>
      <c r="P24" s="1141">
        <v>461500</v>
      </c>
      <c r="Q24" s="1168">
        <v>2904906735</v>
      </c>
      <c r="R24" s="1141" t="s">
        <v>151</v>
      </c>
      <c r="S24" s="1142">
        <v>1.2167533333333331</v>
      </c>
      <c r="T24" s="1143" t="s">
        <v>140</v>
      </c>
      <c r="U24" s="1144">
        <v>2331.4443333333334</v>
      </c>
      <c r="V24" s="1141">
        <v>2904906735</v>
      </c>
      <c r="W24" s="1145">
        <v>6294</v>
      </c>
      <c r="X24" s="1145">
        <v>6294</v>
      </c>
      <c r="Y24" s="1596"/>
      <c r="Z24" s="1596"/>
      <c r="AA24" s="1597"/>
    </row>
    <row r="25" spans="1:27" s="417" customFormat="1" ht="128.25">
      <c r="A25" s="1226" t="s">
        <v>951</v>
      </c>
      <c r="B25" s="1133" t="s">
        <v>952</v>
      </c>
      <c r="C25" s="1135" t="s">
        <v>527</v>
      </c>
      <c r="D25" s="1135" t="s">
        <v>22</v>
      </c>
      <c r="E25" s="1135" t="s">
        <v>22</v>
      </c>
      <c r="F25" s="1135" t="s">
        <v>22</v>
      </c>
      <c r="G25" s="1135" t="s">
        <v>22</v>
      </c>
      <c r="H25" s="992" t="s">
        <v>949</v>
      </c>
      <c r="I25" s="375" t="s">
        <v>959</v>
      </c>
      <c r="J25" s="1158">
        <v>1</v>
      </c>
      <c r="K25" s="1148" t="s">
        <v>22</v>
      </c>
      <c r="L25" s="1128">
        <v>38673</v>
      </c>
      <c r="M25" s="1128">
        <v>39675</v>
      </c>
      <c r="N25" s="1135" t="s">
        <v>22</v>
      </c>
      <c r="O25" s="1149">
        <v>2008</v>
      </c>
      <c r="P25" s="1141">
        <v>461500</v>
      </c>
      <c r="Q25" s="1150">
        <v>2205036734</v>
      </c>
      <c r="R25" s="1141" t="s">
        <v>151</v>
      </c>
      <c r="S25" s="1142">
        <v>1.2167533333333331</v>
      </c>
      <c r="T25" s="1143" t="s">
        <v>140</v>
      </c>
      <c r="U25" s="1144">
        <v>2331.4443333333334</v>
      </c>
      <c r="V25" s="1141">
        <v>2205036734</v>
      </c>
      <c r="W25" s="1145">
        <v>4778</v>
      </c>
      <c r="X25" s="1145">
        <v>4778</v>
      </c>
      <c r="Y25" s="1596"/>
      <c r="Z25" s="1596"/>
      <c r="AA25" s="1597"/>
    </row>
    <row r="26" spans="1:27" s="417" customFormat="1" ht="129" thickBot="1">
      <c r="A26" s="1226" t="s">
        <v>951</v>
      </c>
      <c r="B26" s="1133" t="s">
        <v>952</v>
      </c>
      <c r="C26" s="1135" t="s">
        <v>527</v>
      </c>
      <c r="D26" s="1135" t="s">
        <v>22</v>
      </c>
      <c r="E26" s="1135" t="s">
        <v>22</v>
      </c>
      <c r="F26" s="1135" t="s">
        <v>22</v>
      </c>
      <c r="G26" s="1135" t="s">
        <v>22</v>
      </c>
      <c r="H26" s="992" t="s">
        <v>949</v>
      </c>
      <c r="I26" s="375" t="s">
        <v>769</v>
      </c>
      <c r="J26" s="1131">
        <v>0.5</v>
      </c>
      <c r="K26" s="1148" t="s">
        <v>22</v>
      </c>
      <c r="L26" s="1128">
        <v>39778</v>
      </c>
      <c r="M26" s="1128">
        <v>41496</v>
      </c>
      <c r="N26" s="1135" t="s">
        <v>22</v>
      </c>
      <c r="O26" s="1149">
        <v>2013</v>
      </c>
      <c r="P26" s="1141">
        <v>589500</v>
      </c>
      <c r="Q26" s="1150">
        <v>5413375107</v>
      </c>
      <c r="R26" s="1150" t="s">
        <v>151</v>
      </c>
      <c r="S26" s="1142">
        <v>1.2167533333333331</v>
      </c>
      <c r="T26" s="1143" t="s">
        <v>140</v>
      </c>
      <c r="U26" s="1144">
        <v>2331.4443333333334</v>
      </c>
      <c r="V26" s="1141">
        <v>5413375107</v>
      </c>
      <c r="W26" s="1145">
        <v>9183</v>
      </c>
      <c r="X26" s="1145">
        <v>4592</v>
      </c>
      <c r="Y26" s="1596"/>
      <c r="Z26" s="1596"/>
      <c r="AA26" s="1597"/>
    </row>
    <row r="27" spans="1:27" s="417" customFormat="1" ht="71.25">
      <c r="A27" s="1212" t="s">
        <v>960</v>
      </c>
      <c r="B27" s="1213" t="s">
        <v>961</v>
      </c>
      <c r="C27" s="1214" t="s">
        <v>962</v>
      </c>
      <c r="D27" s="1214" t="s">
        <v>22</v>
      </c>
      <c r="E27" s="1214" t="s">
        <v>22</v>
      </c>
      <c r="F27" s="1214" t="s">
        <v>22</v>
      </c>
      <c r="G27" s="1214" t="s">
        <v>22</v>
      </c>
      <c r="H27" s="1215" t="s">
        <v>147</v>
      </c>
      <c r="I27" s="1216" t="s">
        <v>1494</v>
      </c>
      <c r="J27" s="1217">
        <v>0.6</v>
      </c>
      <c r="K27" s="1214" t="s">
        <v>22</v>
      </c>
      <c r="L27" s="1218">
        <v>41576</v>
      </c>
      <c r="M27" s="1218">
        <v>41914</v>
      </c>
      <c r="N27" s="1214" t="s">
        <v>22</v>
      </c>
      <c r="O27" s="1219">
        <v>2014</v>
      </c>
      <c r="P27" s="1220">
        <v>616000</v>
      </c>
      <c r="Q27" s="1247">
        <v>3272576652</v>
      </c>
      <c r="R27" s="1220" t="s">
        <v>151</v>
      </c>
      <c r="S27" s="1222">
        <v>1.2167533333333331</v>
      </c>
      <c r="T27" s="1223" t="s">
        <v>140</v>
      </c>
      <c r="U27" s="1224">
        <v>2331.4443333333334</v>
      </c>
      <c r="V27" s="1220">
        <v>3272576652</v>
      </c>
      <c r="W27" s="1225">
        <v>5313</v>
      </c>
      <c r="X27" s="1225">
        <v>3188</v>
      </c>
      <c r="Y27" s="1598" t="s">
        <v>22</v>
      </c>
      <c r="Z27" s="1598" t="s">
        <v>22</v>
      </c>
      <c r="AA27" s="1600" t="s">
        <v>129</v>
      </c>
    </row>
    <row r="28" spans="1:27" s="417" customFormat="1" ht="57">
      <c r="A28" s="1226" t="s">
        <v>960</v>
      </c>
      <c r="B28" s="1133" t="s">
        <v>968</v>
      </c>
      <c r="C28" s="1135" t="s">
        <v>969</v>
      </c>
      <c r="D28" s="1135" t="s">
        <v>22</v>
      </c>
      <c r="E28" s="1135" t="s">
        <v>22</v>
      </c>
      <c r="F28" s="1135" t="s">
        <v>22</v>
      </c>
      <c r="G28" s="1135" t="s">
        <v>22</v>
      </c>
      <c r="H28" s="992" t="s">
        <v>214</v>
      </c>
      <c r="I28" s="375" t="s">
        <v>1495</v>
      </c>
      <c r="J28" s="1131">
        <v>1</v>
      </c>
      <c r="K28" s="1148" t="s">
        <v>22</v>
      </c>
      <c r="L28" s="1128">
        <v>38877</v>
      </c>
      <c r="M28" s="1128">
        <v>39933</v>
      </c>
      <c r="N28" s="1135" t="s">
        <v>22</v>
      </c>
      <c r="O28" s="1149">
        <v>2009</v>
      </c>
      <c r="P28" s="1141">
        <v>496900</v>
      </c>
      <c r="Q28" s="1248">
        <v>479319.77</v>
      </c>
      <c r="R28" s="1141" t="s">
        <v>142</v>
      </c>
      <c r="S28" s="1142">
        <v>1.2167533333333331</v>
      </c>
      <c r="T28" s="1143">
        <v>583213.92788006656</v>
      </c>
      <c r="U28" s="1144">
        <v>2331.4443333333334</v>
      </c>
      <c r="V28" s="1141">
        <v>1359730807.2770565</v>
      </c>
      <c r="W28" s="1145">
        <v>2736</v>
      </c>
      <c r="X28" s="1145">
        <v>2736</v>
      </c>
      <c r="Y28" s="1596"/>
      <c r="Z28" s="1596"/>
      <c r="AA28" s="1597"/>
    </row>
    <row r="29" spans="1:27" s="417" customFormat="1" ht="42.75">
      <c r="A29" s="1226" t="s">
        <v>960</v>
      </c>
      <c r="B29" s="1133" t="s">
        <v>961</v>
      </c>
      <c r="C29" s="1135" t="s">
        <v>962</v>
      </c>
      <c r="D29" s="1135" t="s">
        <v>22</v>
      </c>
      <c r="E29" s="1135" t="s">
        <v>22</v>
      </c>
      <c r="F29" s="1135" t="s">
        <v>22</v>
      </c>
      <c r="G29" s="1135" t="s">
        <v>22</v>
      </c>
      <c r="H29" s="992" t="s">
        <v>207</v>
      </c>
      <c r="I29" s="375" t="s">
        <v>1496</v>
      </c>
      <c r="J29" s="1158">
        <v>1</v>
      </c>
      <c r="K29" s="1148" t="s">
        <v>22</v>
      </c>
      <c r="L29" s="1128">
        <v>39848</v>
      </c>
      <c r="M29" s="1128">
        <v>40301</v>
      </c>
      <c r="N29" s="1135" t="s">
        <v>22</v>
      </c>
      <c r="O29" s="1149">
        <v>2010</v>
      </c>
      <c r="P29" s="1141">
        <v>515000</v>
      </c>
      <c r="Q29" s="1141">
        <v>1535853687</v>
      </c>
      <c r="R29" s="1141" t="s">
        <v>151</v>
      </c>
      <c r="S29" s="1142">
        <v>1.2167533333333331</v>
      </c>
      <c r="T29" s="1143" t="s">
        <v>140</v>
      </c>
      <c r="U29" s="1144">
        <v>2331.4443333333334</v>
      </c>
      <c r="V29" s="1141">
        <v>1535853687</v>
      </c>
      <c r="W29" s="1145">
        <v>2982</v>
      </c>
      <c r="X29" s="1145">
        <v>2982</v>
      </c>
      <c r="Y29" s="1596"/>
      <c r="Z29" s="1596"/>
      <c r="AA29" s="1597"/>
    </row>
    <row r="30" spans="1:27" s="417" customFormat="1" ht="72" thickBot="1">
      <c r="A30" s="1228" t="s">
        <v>960</v>
      </c>
      <c r="B30" s="1229" t="s">
        <v>972</v>
      </c>
      <c r="C30" s="1230" t="s">
        <v>973</v>
      </c>
      <c r="D30" s="1230" t="s">
        <v>22</v>
      </c>
      <c r="E30" s="1230" t="s">
        <v>22</v>
      </c>
      <c r="F30" s="1230" t="s">
        <v>22</v>
      </c>
      <c r="G30" s="1230" t="s">
        <v>22</v>
      </c>
      <c r="H30" s="1231" t="s">
        <v>207</v>
      </c>
      <c r="I30" s="1232" t="s">
        <v>974</v>
      </c>
      <c r="J30" s="1233">
        <v>1</v>
      </c>
      <c r="K30" s="1234" t="s">
        <v>22</v>
      </c>
      <c r="L30" s="1246">
        <v>39387</v>
      </c>
      <c r="M30" s="1246">
        <v>40087</v>
      </c>
      <c r="N30" s="1230" t="s">
        <v>22</v>
      </c>
      <c r="O30" s="1237">
        <v>2009</v>
      </c>
      <c r="P30" s="1238">
        <v>496900</v>
      </c>
      <c r="Q30" s="1240">
        <v>1787879811</v>
      </c>
      <c r="R30" s="1240" t="s">
        <v>151</v>
      </c>
      <c r="S30" s="1241">
        <v>1.2167533333333331</v>
      </c>
      <c r="T30" s="1242" t="s">
        <v>140</v>
      </c>
      <c r="U30" s="1243">
        <v>2331.4443333333334</v>
      </c>
      <c r="V30" s="1238">
        <v>1787879811</v>
      </c>
      <c r="W30" s="1244">
        <v>3598</v>
      </c>
      <c r="X30" s="1244">
        <v>3598</v>
      </c>
      <c r="Y30" s="1599"/>
      <c r="Z30" s="1599"/>
      <c r="AA30" s="1601"/>
    </row>
    <row r="31" spans="1:27" s="417" customFormat="1" ht="57">
      <c r="A31" s="1226" t="s">
        <v>977</v>
      </c>
      <c r="B31" s="1133" t="s">
        <v>978</v>
      </c>
      <c r="C31" s="1135" t="s">
        <v>979</v>
      </c>
      <c r="D31" s="1135" t="s">
        <v>22</v>
      </c>
      <c r="E31" s="1135" t="s">
        <v>22</v>
      </c>
      <c r="F31" s="1135" t="s">
        <v>129</v>
      </c>
      <c r="G31" s="1135" t="s">
        <v>22</v>
      </c>
      <c r="H31" s="992" t="s">
        <v>1497</v>
      </c>
      <c r="I31" s="375" t="s">
        <v>1498</v>
      </c>
      <c r="J31" s="1131">
        <v>1</v>
      </c>
      <c r="K31" s="1148" t="s">
        <v>22</v>
      </c>
      <c r="L31" s="1128">
        <v>38338</v>
      </c>
      <c r="M31" s="1128">
        <v>39082</v>
      </c>
      <c r="N31" s="1135" t="s">
        <v>22</v>
      </c>
      <c r="O31" s="1149">
        <v>2006</v>
      </c>
      <c r="P31" s="1141">
        <v>408000</v>
      </c>
      <c r="Q31" s="1150">
        <v>449899.22</v>
      </c>
      <c r="R31" s="1150" t="s">
        <v>142</v>
      </c>
      <c r="S31" s="1142">
        <v>1.2167533333333331</v>
      </c>
      <c r="T31" s="1143">
        <v>547416.37559906649</v>
      </c>
      <c r="U31" s="1144">
        <v>2331.4443333333334</v>
      </c>
      <c r="V31" s="1141">
        <v>1276270806.8643153</v>
      </c>
      <c r="W31" s="1145">
        <v>3128</v>
      </c>
      <c r="X31" s="1145">
        <v>3128</v>
      </c>
      <c r="Y31" s="1596" t="s">
        <v>22</v>
      </c>
      <c r="Z31" s="1596" t="s">
        <v>22</v>
      </c>
      <c r="AA31" s="1597" t="s">
        <v>129</v>
      </c>
    </row>
    <row r="32" spans="1:27" s="417" customFormat="1" ht="71.25">
      <c r="A32" s="1226" t="s">
        <v>977</v>
      </c>
      <c r="B32" s="1133" t="s">
        <v>978</v>
      </c>
      <c r="C32" s="1135" t="s">
        <v>979</v>
      </c>
      <c r="D32" s="1135" t="s">
        <v>22</v>
      </c>
      <c r="E32" s="1135" t="s">
        <v>22</v>
      </c>
      <c r="F32" s="1135" t="s">
        <v>129</v>
      </c>
      <c r="G32" s="1135" t="s">
        <v>22</v>
      </c>
      <c r="H32" s="992" t="s">
        <v>1499</v>
      </c>
      <c r="I32" s="375" t="s">
        <v>1500</v>
      </c>
      <c r="J32" s="1131">
        <v>0.4</v>
      </c>
      <c r="K32" s="1148" t="s">
        <v>22</v>
      </c>
      <c r="L32" s="1128">
        <v>41282</v>
      </c>
      <c r="M32" s="1128">
        <v>42279</v>
      </c>
      <c r="N32" s="1135" t="s">
        <v>22</v>
      </c>
      <c r="O32" s="1149">
        <v>2015</v>
      </c>
      <c r="P32" s="1141">
        <v>644350</v>
      </c>
      <c r="Q32" s="1150">
        <v>13726499698</v>
      </c>
      <c r="R32" s="1150" t="s">
        <v>151</v>
      </c>
      <c r="S32" s="1142">
        <v>1.2167533333333331</v>
      </c>
      <c r="T32" s="1143" t="s">
        <v>140</v>
      </c>
      <c r="U32" s="1144">
        <v>2331.4443333333334</v>
      </c>
      <c r="V32" s="1141">
        <v>13726499698</v>
      </c>
      <c r="W32" s="1145">
        <v>21303</v>
      </c>
      <c r="X32" s="1145">
        <v>8521</v>
      </c>
      <c r="Y32" s="1596"/>
      <c r="Z32" s="1596"/>
      <c r="AA32" s="1597"/>
    </row>
    <row r="33" spans="1:27" s="417" customFormat="1" ht="57">
      <c r="A33" s="1226" t="s">
        <v>977</v>
      </c>
      <c r="B33" s="1133" t="s">
        <v>984</v>
      </c>
      <c r="C33" s="396" t="s">
        <v>985</v>
      </c>
      <c r="D33" s="1135" t="s">
        <v>22</v>
      </c>
      <c r="E33" s="1135" t="s">
        <v>22</v>
      </c>
      <c r="F33" s="1135" t="s">
        <v>129</v>
      </c>
      <c r="G33" s="1135" t="s">
        <v>22</v>
      </c>
      <c r="H33" s="992" t="s">
        <v>1501</v>
      </c>
      <c r="I33" s="375" t="s">
        <v>987</v>
      </c>
      <c r="J33" s="1158">
        <v>1</v>
      </c>
      <c r="K33" s="1148" t="s">
        <v>22</v>
      </c>
      <c r="L33" s="1128">
        <v>39001</v>
      </c>
      <c r="M33" s="1128">
        <v>40354</v>
      </c>
      <c r="N33" s="1135" t="s">
        <v>22</v>
      </c>
      <c r="O33" s="1149">
        <v>2010</v>
      </c>
      <c r="P33" s="1141">
        <v>515000</v>
      </c>
      <c r="Q33" s="1141">
        <v>6389802.9699999997</v>
      </c>
      <c r="R33" s="1141" t="s">
        <v>142</v>
      </c>
      <c r="S33" s="1142">
        <v>1.2167533333333331</v>
      </c>
      <c r="T33" s="1143">
        <v>7774814.0630907314</v>
      </c>
      <c r="U33" s="1144">
        <v>2331.4443333333334</v>
      </c>
      <c r="V33" s="1141">
        <v>18126546190.113194</v>
      </c>
      <c r="W33" s="1145">
        <v>35197</v>
      </c>
      <c r="X33" s="1145">
        <v>35197</v>
      </c>
      <c r="Y33" s="1596"/>
      <c r="Z33" s="1596"/>
      <c r="AA33" s="1597"/>
    </row>
    <row r="34" spans="1:27" s="417" customFormat="1" ht="43.5" thickBot="1">
      <c r="A34" s="1226" t="s">
        <v>977</v>
      </c>
      <c r="B34" s="1133" t="s">
        <v>984</v>
      </c>
      <c r="C34" s="396" t="s">
        <v>985</v>
      </c>
      <c r="D34" s="1135" t="s">
        <v>22</v>
      </c>
      <c r="E34" s="1135" t="s">
        <v>22</v>
      </c>
      <c r="F34" s="1135" t="s">
        <v>129</v>
      </c>
      <c r="G34" s="1135" t="s">
        <v>22</v>
      </c>
      <c r="H34" s="992" t="s">
        <v>147</v>
      </c>
      <c r="I34" s="375" t="s">
        <v>1502</v>
      </c>
      <c r="J34" s="1131">
        <v>0.85</v>
      </c>
      <c r="K34" s="1148" t="s">
        <v>22</v>
      </c>
      <c r="L34" s="1128">
        <v>39792</v>
      </c>
      <c r="M34" s="1128">
        <v>40887</v>
      </c>
      <c r="N34" s="1135" t="s">
        <v>22</v>
      </c>
      <c r="O34" s="1149">
        <v>2011</v>
      </c>
      <c r="P34" s="1141">
        <v>535600</v>
      </c>
      <c r="Q34" s="1150">
        <v>3750285173</v>
      </c>
      <c r="R34" s="1150" t="s">
        <v>151</v>
      </c>
      <c r="S34" s="1142">
        <v>1.2167533333333331</v>
      </c>
      <c r="T34" s="1143" t="s">
        <v>140</v>
      </c>
      <c r="U34" s="1144">
        <v>2331.4443333333334</v>
      </c>
      <c r="V34" s="1141">
        <v>3750285173</v>
      </c>
      <c r="W34" s="1145">
        <v>7002</v>
      </c>
      <c r="X34" s="1145">
        <v>5952</v>
      </c>
      <c r="Y34" s="1596"/>
      <c r="Z34" s="1596"/>
      <c r="AA34" s="1597"/>
    </row>
    <row r="35" spans="1:27" s="417" customFormat="1" ht="47.25">
      <c r="A35" s="1212" t="s">
        <v>994</v>
      </c>
      <c r="B35" s="1213" t="s">
        <v>995</v>
      </c>
      <c r="C35" s="419" t="s">
        <v>996</v>
      </c>
      <c r="D35" s="1214" t="s">
        <v>22</v>
      </c>
      <c r="E35" s="1214" t="s">
        <v>22</v>
      </c>
      <c r="F35" s="1214" t="s">
        <v>22</v>
      </c>
      <c r="G35" s="1214" t="s">
        <v>22</v>
      </c>
      <c r="H35" s="1215" t="s">
        <v>997</v>
      </c>
      <c r="I35" s="1216" t="s">
        <v>1503</v>
      </c>
      <c r="J35" s="1217">
        <v>1</v>
      </c>
      <c r="K35" s="1214" t="s">
        <v>22</v>
      </c>
      <c r="L35" s="1218">
        <v>34991</v>
      </c>
      <c r="M35" s="1218">
        <v>35919</v>
      </c>
      <c r="N35" s="1214" t="s">
        <v>22</v>
      </c>
      <c r="O35" s="1219">
        <v>1998</v>
      </c>
      <c r="P35" s="1220">
        <v>203826</v>
      </c>
      <c r="Q35" s="1221">
        <v>2786155923</v>
      </c>
      <c r="R35" s="1220" t="s">
        <v>151</v>
      </c>
      <c r="S35" s="1222">
        <v>1.2167533333333331</v>
      </c>
      <c r="T35" s="1223" t="s">
        <v>140</v>
      </c>
      <c r="U35" s="1224">
        <v>2331.4443333333334</v>
      </c>
      <c r="V35" s="1220">
        <v>2786155923</v>
      </c>
      <c r="W35" s="1225">
        <v>13669</v>
      </c>
      <c r="X35" s="1225">
        <v>13669</v>
      </c>
      <c r="Y35" s="1598" t="s">
        <v>22</v>
      </c>
      <c r="Z35" s="1598" t="s">
        <v>22</v>
      </c>
      <c r="AA35" s="1600" t="s">
        <v>129</v>
      </c>
    </row>
    <row r="36" spans="1:27" s="417" customFormat="1" ht="71.25">
      <c r="A36" s="1226" t="s">
        <v>994</v>
      </c>
      <c r="B36" s="1133" t="s">
        <v>1001</v>
      </c>
      <c r="C36" s="1135" t="s">
        <v>1002</v>
      </c>
      <c r="D36" s="1135" t="s">
        <v>22</v>
      </c>
      <c r="E36" s="1135" t="s">
        <v>22</v>
      </c>
      <c r="F36" s="1135" t="s">
        <v>22</v>
      </c>
      <c r="G36" s="1135" t="s">
        <v>22</v>
      </c>
      <c r="H36" s="992" t="s">
        <v>155</v>
      </c>
      <c r="I36" s="375" t="s">
        <v>1504</v>
      </c>
      <c r="J36" s="1131">
        <v>1</v>
      </c>
      <c r="K36" s="1148" t="s">
        <v>22</v>
      </c>
      <c r="L36" s="1128">
        <v>35019</v>
      </c>
      <c r="M36" s="1128">
        <v>36114</v>
      </c>
      <c r="N36" s="1135" t="s">
        <v>22</v>
      </c>
      <c r="O36" s="1149">
        <v>1998</v>
      </c>
      <c r="P36" s="1141">
        <v>203826</v>
      </c>
      <c r="Q36" s="1168">
        <v>1910421539</v>
      </c>
      <c r="R36" s="1141" t="s">
        <v>151</v>
      </c>
      <c r="S36" s="1142">
        <v>1.2167533333333331</v>
      </c>
      <c r="T36" s="1143" t="s">
        <v>140</v>
      </c>
      <c r="U36" s="1144">
        <v>2331.4443333333334</v>
      </c>
      <c r="V36" s="1141">
        <v>1910421539</v>
      </c>
      <c r="W36" s="1145">
        <v>9373</v>
      </c>
      <c r="X36" s="1145">
        <v>9373</v>
      </c>
      <c r="Y36" s="1596"/>
      <c r="Z36" s="1596"/>
      <c r="AA36" s="1597"/>
    </row>
    <row r="37" spans="1:27" s="417" customFormat="1" ht="71.25">
      <c r="A37" s="1226" t="s">
        <v>994</v>
      </c>
      <c r="B37" s="1133" t="s">
        <v>1001</v>
      </c>
      <c r="C37" s="1135" t="s">
        <v>1002</v>
      </c>
      <c r="D37" s="1135" t="s">
        <v>22</v>
      </c>
      <c r="E37" s="1135" t="s">
        <v>22</v>
      </c>
      <c r="F37" s="1135" t="s">
        <v>22</v>
      </c>
      <c r="G37" s="1135" t="s">
        <v>22</v>
      </c>
      <c r="H37" s="992" t="s">
        <v>155</v>
      </c>
      <c r="I37" s="375" t="s">
        <v>1505</v>
      </c>
      <c r="J37" s="1158">
        <v>0.81799999999999995</v>
      </c>
      <c r="K37" s="1148" t="s">
        <v>22</v>
      </c>
      <c r="L37" s="1128">
        <v>35507</v>
      </c>
      <c r="M37" s="1128">
        <v>36543</v>
      </c>
      <c r="N37" s="1135" t="s">
        <v>22</v>
      </c>
      <c r="O37" s="1149">
        <v>2000</v>
      </c>
      <c r="P37" s="1141">
        <v>260100</v>
      </c>
      <c r="Q37" s="1141">
        <v>4449058497</v>
      </c>
      <c r="R37" s="1141" t="s">
        <v>151</v>
      </c>
      <c r="S37" s="1142">
        <v>1.2167533333333331</v>
      </c>
      <c r="T37" s="1143" t="s">
        <v>140</v>
      </c>
      <c r="U37" s="1144">
        <v>2331.4443333333334</v>
      </c>
      <c r="V37" s="1141">
        <v>4449058497</v>
      </c>
      <c r="W37" s="1145">
        <v>17105</v>
      </c>
      <c r="X37" s="1145">
        <v>13992</v>
      </c>
      <c r="Y37" s="1596"/>
      <c r="Z37" s="1596"/>
      <c r="AA37" s="1597"/>
    </row>
    <row r="38" spans="1:27" s="417" customFormat="1" ht="29.25" thickBot="1">
      <c r="A38" s="1228" t="s">
        <v>994</v>
      </c>
      <c r="B38" s="1229" t="s">
        <v>1001</v>
      </c>
      <c r="C38" s="1230" t="s">
        <v>1002</v>
      </c>
      <c r="D38" s="1230" t="s">
        <v>22</v>
      </c>
      <c r="E38" s="1230" t="s">
        <v>22</v>
      </c>
      <c r="F38" s="1230" t="s">
        <v>22</v>
      </c>
      <c r="G38" s="1230" t="s">
        <v>22</v>
      </c>
      <c r="H38" s="1231" t="s">
        <v>147</v>
      </c>
      <c r="I38" s="1232" t="s">
        <v>1506</v>
      </c>
      <c r="J38" s="1233">
        <v>0.4</v>
      </c>
      <c r="K38" s="1234" t="s">
        <v>22</v>
      </c>
      <c r="L38" s="1246">
        <v>41012</v>
      </c>
      <c r="M38" s="1246">
        <v>42124</v>
      </c>
      <c r="N38" s="1230" t="s">
        <v>22</v>
      </c>
      <c r="O38" s="1237">
        <v>2015</v>
      </c>
      <c r="P38" s="1238">
        <v>644350</v>
      </c>
      <c r="Q38" s="1240">
        <v>24067899177</v>
      </c>
      <c r="R38" s="1240" t="s">
        <v>151</v>
      </c>
      <c r="S38" s="1241">
        <v>1.2167533333333331</v>
      </c>
      <c r="T38" s="1242" t="s">
        <v>140</v>
      </c>
      <c r="U38" s="1243">
        <v>2331.4443333333334</v>
      </c>
      <c r="V38" s="1238">
        <v>24067899177</v>
      </c>
      <c r="W38" s="1244">
        <v>37352</v>
      </c>
      <c r="X38" s="1244">
        <v>14941</v>
      </c>
      <c r="Y38" s="1599"/>
      <c r="Z38" s="1599"/>
      <c r="AA38" s="1601"/>
    </row>
    <row r="39" spans="1:27" s="417" customFormat="1" ht="71.25">
      <c r="A39" s="1226" t="s">
        <v>1009</v>
      </c>
      <c r="B39" s="1133" t="s">
        <v>1010</v>
      </c>
      <c r="C39" s="388" t="s">
        <v>1011</v>
      </c>
      <c r="D39" s="1135" t="s">
        <v>22</v>
      </c>
      <c r="E39" s="1135" t="s">
        <v>22</v>
      </c>
      <c r="F39" s="1135" t="s">
        <v>22</v>
      </c>
      <c r="G39" s="1135" t="s">
        <v>22</v>
      </c>
      <c r="H39" s="992" t="s">
        <v>147</v>
      </c>
      <c r="I39" s="375" t="s">
        <v>1012</v>
      </c>
      <c r="J39" s="1131">
        <v>0.5</v>
      </c>
      <c r="K39" s="1148" t="s">
        <v>22</v>
      </c>
      <c r="L39" s="1128">
        <v>39595</v>
      </c>
      <c r="M39" s="1128">
        <v>42083</v>
      </c>
      <c r="N39" s="1135" t="s">
        <v>22</v>
      </c>
      <c r="O39" s="1149">
        <v>2015</v>
      </c>
      <c r="P39" s="1141">
        <v>644350</v>
      </c>
      <c r="Q39" s="1150">
        <v>36074618420</v>
      </c>
      <c r="R39" s="1150" t="s">
        <v>151</v>
      </c>
      <c r="S39" s="1142">
        <v>1.2167533333333331</v>
      </c>
      <c r="T39" s="1143" t="s">
        <v>140</v>
      </c>
      <c r="U39" s="1144">
        <v>2331.4443333333334</v>
      </c>
      <c r="V39" s="1141">
        <v>36074618420</v>
      </c>
      <c r="W39" s="1145">
        <v>55986</v>
      </c>
      <c r="X39" s="1145">
        <v>27993</v>
      </c>
      <c r="Y39" s="1596" t="s">
        <v>22</v>
      </c>
      <c r="Z39" s="1596" t="s">
        <v>22</v>
      </c>
      <c r="AA39" s="1597" t="s">
        <v>129</v>
      </c>
    </row>
    <row r="40" spans="1:27" s="417" customFormat="1" ht="99.75">
      <c r="A40" s="1226" t="s">
        <v>1009</v>
      </c>
      <c r="B40" s="1133" t="s">
        <v>1016</v>
      </c>
      <c r="C40" s="388" t="s">
        <v>154</v>
      </c>
      <c r="D40" s="1135" t="s">
        <v>22</v>
      </c>
      <c r="E40" s="1135" t="s">
        <v>22</v>
      </c>
      <c r="F40" s="1135" t="s">
        <v>22</v>
      </c>
      <c r="G40" s="1135" t="s">
        <v>22</v>
      </c>
      <c r="H40" s="992" t="s">
        <v>1477</v>
      </c>
      <c r="I40" s="375" t="s">
        <v>1507</v>
      </c>
      <c r="J40" s="1131">
        <v>0.75</v>
      </c>
      <c r="K40" s="1148" t="s">
        <v>22</v>
      </c>
      <c r="L40" s="1128">
        <v>38681</v>
      </c>
      <c r="M40" s="1128">
        <v>40083</v>
      </c>
      <c r="N40" s="1135" t="s">
        <v>22</v>
      </c>
      <c r="O40" s="1149">
        <v>2009</v>
      </c>
      <c r="P40" s="1141">
        <v>496900</v>
      </c>
      <c r="Q40" s="1150">
        <v>2040217206</v>
      </c>
      <c r="R40" s="1150" t="s">
        <v>151</v>
      </c>
      <c r="S40" s="1142">
        <v>1.2167533333333331</v>
      </c>
      <c r="T40" s="1143" t="s">
        <v>140</v>
      </c>
      <c r="U40" s="1144">
        <v>2331.4443333333334</v>
      </c>
      <c r="V40" s="1141">
        <v>2040217206</v>
      </c>
      <c r="W40" s="1145">
        <v>4106</v>
      </c>
      <c r="X40" s="1145">
        <v>3080</v>
      </c>
      <c r="Y40" s="1596"/>
      <c r="Z40" s="1596"/>
      <c r="AA40" s="1597"/>
    </row>
    <row r="41" spans="1:27" s="417" customFormat="1" ht="71.25">
      <c r="A41" s="1226" t="s">
        <v>1009</v>
      </c>
      <c r="B41" s="1133" t="s">
        <v>1016</v>
      </c>
      <c r="C41" s="388" t="s">
        <v>154</v>
      </c>
      <c r="D41" s="1135" t="s">
        <v>22</v>
      </c>
      <c r="E41" s="1135" t="s">
        <v>22</v>
      </c>
      <c r="F41" s="1135" t="s">
        <v>22</v>
      </c>
      <c r="G41" s="1135" t="s">
        <v>22</v>
      </c>
      <c r="H41" s="992" t="s">
        <v>1477</v>
      </c>
      <c r="I41" s="375" t="s">
        <v>1508</v>
      </c>
      <c r="J41" s="1131">
        <v>0.9</v>
      </c>
      <c r="K41" s="1148" t="s">
        <v>22</v>
      </c>
      <c r="L41" s="1128">
        <v>39770</v>
      </c>
      <c r="M41" s="1128">
        <v>40711</v>
      </c>
      <c r="N41" s="1135" t="s">
        <v>22</v>
      </c>
      <c r="O41" s="1149">
        <v>2011</v>
      </c>
      <c r="P41" s="1141">
        <v>535600</v>
      </c>
      <c r="Q41" s="1150">
        <v>2159192501</v>
      </c>
      <c r="R41" s="1150" t="s">
        <v>151</v>
      </c>
      <c r="S41" s="1142">
        <v>1.2167533333333331</v>
      </c>
      <c r="T41" s="1143" t="s">
        <v>140</v>
      </c>
      <c r="U41" s="1144">
        <v>2331.4443333333334</v>
      </c>
      <c r="V41" s="1141">
        <v>2159192501</v>
      </c>
      <c r="W41" s="1145">
        <v>4031</v>
      </c>
      <c r="X41" s="1145">
        <v>3628</v>
      </c>
      <c r="Y41" s="1596"/>
      <c r="Z41" s="1596"/>
      <c r="AA41" s="1597"/>
    </row>
    <row r="42" spans="1:27" s="417" customFormat="1" ht="57.75" thickBot="1">
      <c r="A42" s="1226" t="s">
        <v>1009</v>
      </c>
      <c r="B42" s="1133" t="s">
        <v>1016</v>
      </c>
      <c r="C42" s="388" t="s">
        <v>154</v>
      </c>
      <c r="D42" s="1135" t="s">
        <v>22</v>
      </c>
      <c r="E42" s="1135" t="s">
        <v>22</v>
      </c>
      <c r="F42" s="1135" t="s">
        <v>22</v>
      </c>
      <c r="G42" s="1135" t="s">
        <v>22</v>
      </c>
      <c r="H42" s="992" t="s">
        <v>1477</v>
      </c>
      <c r="I42" s="375" t="s">
        <v>1509</v>
      </c>
      <c r="J42" s="1131">
        <v>1</v>
      </c>
      <c r="K42" s="1148" t="s">
        <v>22</v>
      </c>
      <c r="L42" s="1128">
        <v>37995</v>
      </c>
      <c r="M42" s="1128">
        <v>38883</v>
      </c>
      <c r="N42" s="1135" t="s">
        <v>22</v>
      </c>
      <c r="O42" s="1149">
        <v>2006</v>
      </c>
      <c r="P42" s="1141">
        <v>408000</v>
      </c>
      <c r="Q42" s="1150">
        <v>1167976336</v>
      </c>
      <c r="R42" s="1150" t="s">
        <v>151</v>
      </c>
      <c r="S42" s="1142">
        <v>1.2167533333333331</v>
      </c>
      <c r="T42" s="1143" t="s">
        <v>140</v>
      </c>
      <c r="U42" s="1144">
        <v>2331.4443333333334</v>
      </c>
      <c r="V42" s="1141">
        <v>1167976336</v>
      </c>
      <c r="W42" s="1145">
        <v>2863</v>
      </c>
      <c r="X42" s="1145">
        <v>2863</v>
      </c>
      <c r="Y42" s="1596"/>
      <c r="Z42" s="1596"/>
      <c r="AA42" s="1597"/>
    </row>
    <row r="43" spans="1:27" s="417" customFormat="1" ht="57">
      <c r="A43" s="1212" t="s">
        <v>1021</v>
      </c>
      <c r="B43" s="1213" t="s">
        <v>1022</v>
      </c>
      <c r="C43" s="419" t="s">
        <v>1023</v>
      </c>
      <c r="D43" s="1214" t="s">
        <v>22</v>
      </c>
      <c r="E43" s="1214" t="s">
        <v>22</v>
      </c>
      <c r="F43" s="1214" t="s">
        <v>22</v>
      </c>
      <c r="G43" s="1214" t="s">
        <v>22</v>
      </c>
      <c r="H43" s="1215" t="s">
        <v>155</v>
      </c>
      <c r="I43" s="1216" t="s">
        <v>1024</v>
      </c>
      <c r="J43" s="1249">
        <v>0.5</v>
      </c>
      <c r="K43" s="1250" t="s">
        <v>22</v>
      </c>
      <c r="L43" s="1218">
        <v>37271</v>
      </c>
      <c r="M43" s="1218">
        <v>38507</v>
      </c>
      <c r="N43" s="1214" t="s">
        <v>22</v>
      </c>
      <c r="O43" s="1251">
        <v>2005</v>
      </c>
      <c r="P43" s="1220">
        <v>381500</v>
      </c>
      <c r="Q43" s="1220">
        <v>2372844012.1999998</v>
      </c>
      <c r="R43" s="1220" t="s">
        <v>151</v>
      </c>
      <c r="S43" s="1222">
        <v>1.2167533333333331</v>
      </c>
      <c r="T43" s="1223" t="s">
        <v>140</v>
      </c>
      <c r="U43" s="1224">
        <v>2331.4443333333334</v>
      </c>
      <c r="V43" s="1220">
        <v>2372844012.1999998</v>
      </c>
      <c r="W43" s="1225">
        <v>6220</v>
      </c>
      <c r="X43" s="1225">
        <v>3110</v>
      </c>
      <c r="Y43" s="1598" t="s">
        <v>22</v>
      </c>
      <c r="Z43" s="1598" t="s">
        <v>22</v>
      </c>
      <c r="AA43" s="1600" t="s">
        <v>129</v>
      </c>
    </row>
    <row r="44" spans="1:27" s="417" customFormat="1" ht="57">
      <c r="A44" s="1226" t="s">
        <v>1021</v>
      </c>
      <c r="B44" s="1133" t="s">
        <v>1022</v>
      </c>
      <c r="C44" s="388" t="s">
        <v>1023</v>
      </c>
      <c r="D44" s="1135" t="s">
        <v>22</v>
      </c>
      <c r="E44" s="1135" t="s">
        <v>22</v>
      </c>
      <c r="F44" s="1135" t="s">
        <v>22</v>
      </c>
      <c r="G44" s="1135" t="s">
        <v>22</v>
      </c>
      <c r="H44" s="992" t="s">
        <v>207</v>
      </c>
      <c r="I44" s="375" t="s">
        <v>1025</v>
      </c>
      <c r="J44" s="1131">
        <v>0.4</v>
      </c>
      <c r="K44" s="1148" t="s">
        <v>22</v>
      </c>
      <c r="L44" s="1128">
        <v>35859</v>
      </c>
      <c r="M44" s="1128">
        <v>36345</v>
      </c>
      <c r="N44" s="1135" t="s">
        <v>22</v>
      </c>
      <c r="O44" s="1149">
        <v>1999</v>
      </c>
      <c r="P44" s="1141">
        <v>236460</v>
      </c>
      <c r="Q44" s="1150">
        <v>1881895787</v>
      </c>
      <c r="R44" s="1150" t="s">
        <v>151</v>
      </c>
      <c r="S44" s="1142">
        <v>1.2167533333333331</v>
      </c>
      <c r="T44" s="1143" t="s">
        <v>140</v>
      </c>
      <c r="U44" s="1144">
        <v>2331.4443333333334</v>
      </c>
      <c r="V44" s="1141">
        <v>1881895787</v>
      </c>
      <c r="W44" s="1145">
        <v>7959</v>
      </c>
      <c r="X44" s="1145">
        <v>3184</v>
      </c>
      <c r="Y44" s="1596"/>
      <c r="Z44" s="1596"/>
      <c r="AA44" s="1597"/>
    </row>
    <row r="45" spans="1:27" s="417" customFormat="1" ht="57">
      <c r="A45" s="1226" t="s">
        <v>1021</v>
      </c>
      <c r="B45" s="1133" t="s">
        <v>1022</v>
      </c>
      <c r="C45" s="388" t="s">
        <v>1023</v>
      </c>
      <c r="D45" s="1135" t="s">
        <v>22</v>
      </c>
      <c r="E45" s="1135" t="s">
        <v>22</v>
      </c>
      <c r="F45" s="1135" t="s">
        <v>22</v>
      </c>
      <c r="G45" s="1135" t="s">
        <v>22</v>
      </c>
      <c r="H45" s="992" t="s">
        <v>448</v>
      </c>
      <c r="I45" s="375" t="s">
        <v>1026</v>
      </c>
      <c r="J45" s="1131">
        <v>1</v>
      </c>
      <c r="K45" s="1148" t="s">
        <v>22</v>
      </c>
      <c r="L45" s="1139">
        <v>39133</v>
      </c>
      <c r="M45" s="1139">
        <v>39636</v>
      </c>
      <c r="N45" s="1135" t="s">
        <v>22</v>
      </c>
      <c r="O45" s="1149">
        <v>2008</v>
      </c>
      <c r="P45" s="1141">
        <v>461500</v>
      </c>
      <c r="Q45" s="1150">
        <v>1330028412</v>
      </c>
      <c r="R45" s="1150" t="s">
        <v>151</v>
      </c>
      <c r="S45" s="1142">
        <v>1.2167533333333331</v>
      </c>
      <c r="T45" s="1143" t="s">
        <v>140</v>
      </c>
      <c r="U45" s="1144">
        <v>2331.4443333333334</v>
      </c>
      <c r="V45" s="1141">
        <v>1330028412</v>
      </c>
      <c r="W45" s="1145">
        <v>2882</v>
      </c>
      <c r="X45" s="1145">
        <v>2882</v>
      </c>
      <c r="Y45" s="1596"/>
      <c r="Z45" s="1596"/>
      <c r="AA45" s="1597"/>
    </row>
    <row r="46" spans="1:27" s="417" customFormat="1" ht="57.75" thickBot="1">
      <c r="A46" s="1228" t="s">
        <v>1021</v>
      </c>
      <c r="B46" s="1229" t="s">
        <v>1029</v>
      </c>
      <c r="C46" s="1230" t="s">
        <v>1030</v>
      </c>
      <c r="D46" s="1230" t="s">
        <v>22</v>
      </c>
      <c r="E46" s="1230" t="s">
        <v>22</v>
      </c>
      <c r="F46" s="1230" t="s">
        <v>22</v>
      </c>
      <c r="G46" s="1230" t="s">
        <v>22</v>
      </c>
      <c r="H46" s="1231" t="s">
        <v>147</v>
      </c>
      <c r="I46" s="1232" t="s">
        <v>1510</v>
      </c>
      <c r="J46" s="1252">
        <v>0.75</v>
      </c>
      <c r="K46" s="1230" t="s">
        <v>22</v>
      </c>
      <c r="L46" s="1246">
        <v>39521</v>
      </c>
      <c r="M46" s="1246">
        <v>40999</v>
      </c>
      <c r="N46" s="1230" t="s">
        <v>22</v>
      </c>
      <c r="O46" s="1253">
        <v>2012</v>
      </c>
      <c r="P46" s="1238">
        <v>566700</v>
      </c>
      <c r="Q46" s="1254">
        <v>7072964150</v>
      </c>
      <c r="R46" s="1238" t="s">
        <v>151</v>
      </c>
      <c r="S46" s="1241">
        <v>1.2167533333333331</v>
      </c>
      <c r="T46" s="1242" t="s">
        <v>140</v>
      </c>
      <c r="U46" s="1243">
        <v>2331.4443333333334</v>
      </c>
      <c r="V46" s="1238">
        <v>7072964150</v>
      </c>
      <c r="W46" s="1244">
        <v>12481</v>
      </c>
      <c r="X46" s="1244">
        <v>9361</v>
      </c>
      <c r="Y46" s="1599"/>
      <c r="Z46" s="1599"/>
      <c r="AA46" s="1601"/>
    </row>
    <row r="47" spans="1:27" s="417" customFormat="1" ht="71.25">
      <c r="A47" s="1226" t="s">
        <v>1032</v>
      </c>
      <c r="B47" s="1133" t="s">
        <v>1040</v>
      </c>
      <c r="C47" s="388" t="s">
        <v>1041</v>
      </c>
      <c r="D47" s="1135" t="s">
        <v>22</v>
      </c>
      <c r="E47" s="1135" t="s">
        <v>22</v>
      </c>
      <c r="F47" s="1135" t="s">
        <v>22</v>
      </c>
      <c r="G47" s="1135" t="s">
        <v>22</v>
      </c>
      <c r="H47" s="992" t="s">
        <v>1511</v>
      </c>
      <c r="I47" s="375" t="s">
        <v>1512</v>
      </c>
      <c r="J47" s="1137">
        <v>0.95</v>
      </c>
      <c r="K47" s="1135" t="s">
        <v>22</v>
      </c>
      <c r="L47" s="1128">
        <v>41784</v>
      </c>
      <c r="M47" s="1128">
        <v>42545</v>
      </c>
      <c r="N47" s="1135" t="s">
        <v>22</v>
      </c>
      <c r="O47" s="1140">
        <v>2015</v>
      </c>
      <c r="P47" s="1141">
        <v>644350</v>
      </c>
      <c r="Q47" s="1168">
        <v>8585159768</v>
      </c>
      <c r="R47" s="1141" t="s">
        <v>151</v>
      </c>
      <c r="S47" s="1142">
        <v>1.2167533333333331</v>
      </c>
      <c r="T47" s="1143" t="s">
        <v>140</v>
      </c>
      <c r="U47" s="1144">
        <v>2331.4443333333334</v>
      </c>
      <c r="V47" s="1141">
        <v>8585159768</v>
      </c>
      <c r="W47" s="1145">
        <v>13324</v>
      </c>
      <c r="X47" s="1145">
        <v>12658</v>
      </c>
      <c r="Y47" s="1596" t="s">
        <v>22</v>
      </c>
      <c r="Z47" s="1596" t="s">
        <v>22</v>
      </c>
      <c r="AA47" s="1597" t="s">
        <v>129</v>
      </c>
    </row>
    <row r="48" spans="1:27" s="417" customFormat="1" ht="85.5">
      <c r="A48" s="1226" t="s">
        <v>1032</v>
      </c>
      <c r="B48" s="1133" t="s">
        <v>1033</v>
      </c>
      <c r="C48" s="1135" t="s">
        <v>1034</v>
      </c>
      <c r="D48" s="1135" t="s">
        <v>22</v>
      </c>
      <c r="E48" s="1135" t="s">
        <v>22</v>
      </c>
      <c r="F48" s="1135" t="s">
        <v>22</v>
      </c>
      <c r="G48" s="1135" t="s">
        <v>22</v>
      </c>
      <c r="H48" s="992" t="s">
        <v>155</v>
      </c>
      <c r="I48" s="375" t="s">
        <v>1039</v>
      </c>
      <c r="J48" s="1131">
        <v>0.5</v>
      </c>
      <c r="K48" s="1148" t="s">
        <v>22</v>
      </c>
      <c r="L48" s="1128">
        <v>38338</v>
      </c>
      <c r="M48" s="1128">
        <v>40296</v>
      </c>
      <c r="N48" s="1135" t="s">
        <v>22</v>
      </c>
      <c r="O48" s="1149">
        <v>2010</v>
      </c>
      <c r="P48" s="1141">
        <v>515000</v>
      </c>
      <c r="Q48" s="1150">
        <v>5611007439</v>
      </c>
      <c r="R48" s="1150" t="s">
        <v>151</v>
      </c>
      <c r="S48" s="1142">
        <v>1.2167533333333331</v>
      </c>
      <c r="T48" s="1143" t="s">
        <v>140</v>
      </c>
      <c r="U48" s="1144">
        <v>2331.4443333333334</v>
      </c>
      <c r="V48" s="1141">
        <v>5611007439</v>
      </c>
      <c r="W48" s="1145">
        <v>10895</v>
      </c>
      <c r="X48" s="1145">
        <v>5448</v>
      </c>
      <c r="Y48" s="1596"/>
      <c r="Z48" s="1596"/>
      <c r="AA48" s="1597"/>
    </row>
    <row r="49" spans="1:27" s="417" customFormat="1" ht="85.5">
      <c r="A49" s="1226" t="s">
        <v>1032</v>
      </c>
      <c r="B49" s="1133" t="s">
        <v>1033</v>
      </c>
      <c r="C49" s="1135" t="s">
        <v>1034</v>
      </c>
      <c r="D49" s="1135" t="s">
        <v>22</v>
      </c>
      <c r="E49" s="1135" t="s">
        <v>22</v>
      </c>
      <c r="F49" s="1135" t="s">
        <v>22</v>
      </c>
      <c r="G49" s="1135" t="s">
        <v>22</v>
      </c>
      <c r="H49" s="1135" t="s">
        <v>1035</v>
      </c>
      <c r="I49" s="1135" t="s">
        <v>1513</v>
      </c>
      <c r="J49" s="1255">
        <v>1</v>
      </c>
      <c r="K49" s="1148" t="s">
        <v>22</v>
      </c>
      <c r="L49" s="1159">
        <v>34743</v>
      </c>
      <c r="M49" s="1159">
        <v>35291</v>
      </c>
      <c r="N49" s="1135" t="s">
        <v>22</v>
      </c>
      <c r="O49" s="1149">
        <v>1996</v>
      </c>
      <c r="P49" s="1141">
        <v>142125</v>
      </c>
      <c r="Q49" s="1150">
        <v>602820317</v>
      </c>
      <c r="R49" s="1150" t="s">
        <v>151</v>
      </c>
      <c r="S49" s="1142">
        <v>1.2167533333333331</v>
      </c>
      <c r="T49" s="1143" t="s">
        <v>140</v>
      </c>
      <c r="U49" s="1144">
        <v>2331.4443333333334</v>
      </c>
      <c r="V49" s="1141">
        <v>602820317</v>
      </c>
      <c r="W49" s="1145">
        <v>4241</v>
      </c>
      <c r="X49" s="1145">
        <v>4241</v>
      </c>
      <c r="Y49" s="1596"/>
      <c r="Z49" s="1596"/>
      <c r="AA49" s="1597"/>
    </row>
    <row r="50" spans="1:27" s="417" customFormat="1" ht="57.75" thickBot="1">
      <c r="A50" s="1226" t="s">
        <v>1032</v>
      </c>
      <c r="B50" s="1133" t="s">
        <v>1033</v>
      </c>
      <c r="C50" s="1135" t="s">
        <v>1034</v>
      </c>
      <c r="D50" s="1135" t="s">
        <v>22</v>
      </c>
      <c r="E50" s="1135" t="s">
        <v>22</v>
      </c>
      <c r="F50" s="1135" t="s">
        <v>22</v>
      </c>
      <c r="G50" s="1135" t="s">
        <v>22</v>
      </c>
      <c r="H50" s="992" t="s">
        <v>351</v>
      </c>
      <c r="I50" s="375" t="s">
        <v>353</v>
      </c>
      <c r="J50" s="1131">
        <v>0.5</v>
      </c>
      <c r="K50" s="1148" t="s">
        <v>22</v>
      </c>
      <c r="L50" s="1128">
        <v>36752</v>
      </c>
      <c r="M50" s="1128">
        <v>41765</v>
      </c>
      <c r="N50" s="1135" t="s">
        <v>22</v>
      </c>
      <c r="O50" s="1149">
        <v>2014</v>
      </c>
      <c r="P50" s="1141">
        <v>616000</v>
      </c>
      <c r="Q50" s="1150">
        <v>4766569521</v>
      </c>
      <c r="R50" s="1150" t="s">
        <v>151</v>
      </c>
      <c r="S50" s="1142">
        <v>1.2167533333333331</v>
      </c>
      <c r="T50" s="1143" t="s">
        <v>140</v>
      </c>
      <c r="U50" s="1144">
        <v>2331.4443333333334</v>
      </c>
      <c r="V50" s="1141">
        <v>4766569521</v>
      </c>
      <c r="W50" s="1145">
        <v>7738</v>
      </c>
      <c r="X50" s="1145">
        <v>3869</v>
      </c>
      <c r="Y50" s="1596"/>
      <c r="Z50" s="1596"/>
      <c r="AA50" s="1597"/>
    </row>
    <row r="51" spans="1:27" s="417" customFormat="1" ht="85.5">
      <c r="A51" s="1212" t="s">
        <v>1044</v>
      </c>
      <c r="B51" s="1213" t="s">
        <v>1050</v>
      </c>
      <c r="C51" s="1214" t="s">
        <v>1051</v>
      </c>
      <c r="D51" s="1214" t="s">
        <v>129</v>
      </c>
      <c r="E51" s="1214" t="s">
        <v>22</v>
      </c>
      <c r="F51" s="1214" t="s">
        <v>22</v>
      </c>
      <c r="G51" s="1214" t="s">
        <v>22</v>
      </c>
      <c r="H51" s="1215" t="s">
        <v>1514</v>
      </c>
      <c r="I51" s="1216" t="s">
        <v>1053</v>
      </c>
      <c r="J51" s="1256">
        <v>0.5</v>
      </c>
      <c r="K51" s="1250" t="s">
        <v>22</v>
      </c>
      <c r="L51" s="1218">
        <v>39595</v>
      </c>
      <c r="M51" s="1257">
        <v>42083</v>
      </c>
      <c r="N51" s="1214" t="s">
        <v>22</v>
      </c>
      <c r="O51" s="1251">
        <v>2015</v>
      </c>
      <c r="P51" s="1220">
        <v>644350</v>
      </c>
      <c r="Q51" s="1247">
        <v>36074618420</v>
      </c>
      <c r="R51" s="1247" t="s">
        <v>151</v>
      </c>
      <c r="S51" s="1222">
        <v>1.2167533333333331</v>
      </c>
      <c r="T51" s="1223" t="s">
        <v>140</v>
      </c>
      <c r="U51" s="1224">
        <v>2331.4443333333334</v>
      </c>
      <c r="V51" s="1220">
        <v>36074618420</v>
      </c>
      <c r="W51" s="1225">
        <v>55986</v>
      </c>
      <c r="X51" s="1225">
        <v>27993</v>
      </c>
      <c r="Y51" s="1598" t="s">
        <v>22</v>
      </c>
      <c r="Z51" s="1598" t="s">
        <v>22</v>
      </c>
      <c r="AA51" s="1600" t="s">
        <v>129</v>
      </c>
    </row>
    <row r="52" spans="1:27" s="417" customFormat="1" ht="71.25">
      <c r="A52" s="1226" t="s">
        <v>1044</v>
      </c>
      <c r="B52" s="1133" t="s">
        <v>1054</v>
      </c>
      <c r="C52" s="388" t="s">
        <v>1055</v>
      </c>
      <c r="D52" s="1135" t="s">
        <v>129</v>
      </c>
      <c r="E52" s="1135" t="s">
        <v>22</v>
      </c>
      <c r="F52" s="1135" t="s">
        <v>22</v>
      </c>
      <c r="G52" s="1135" t="s">
        <v>22</v>
      </c>
      <c r="H52" s="992" t="s">
        <v>1515</v>
      </c>
      <c r="I52" s="375" t="s">
        <v>1516</v>
      </c>
      <c r="J52" s="1131">
        <v>1</v>
      </c>
      <c r="K52" s="1148" t="s">
        <v>22</v>
      </c>
      <c r="L52" s="1128">
        <v>40190</v>
      </c>
      <c r="M52" s="1128">
        <v>41240</v>
      </c>
      <c r="N52" s="1135" t="s">
        <v>22</v>
      </c>
      <c r="O52" s="1149">
        <v>2012</v>
      </c>
      <c r="P52" s="1141">
        <v>566700</v>
      </c>
      <c r="Q52" s="1150">
        <v>3164576487</v>
      </c>
      <c r="R52" s="1150" t="s">
        <v>151</v>
      </c>
      <c r="S52" s="1142">
        <v>1.2167533333333331</v>
      </c>
      <c r="T52" s="1143" t="s">
        <v>140</v>
      </c>
      <c r="U52" s="1144">
        <v>2331.4443333333334</v>
      </c>
      <c r="V52" s="1141">
        <v>3164576487</v>
      </c>
      <c r="W52" s="1145">
        <v>5584</v>
      </c>
      <c r="X52" s="1145">
        <v>5584</v>
      </c>
      <c r="Y52" s="1596"/>
      <c r="Z52" s="1596"/>
      <c r="AA52" s="1597"/>
    </row>
    <row r="53" spans="1:27" s="417" customFormat="1" ht="85.5">
      <c r="A53" s="1226" t="s">
        <v>1044</v>
      </c>
      <c r="B53" s="1133" t="s">
        <v>1045</v>
      </c>
      <c r="C53" s="388" t="s">
        <v>1046</v>
      </c>
      <c r="D53" s="1135" t="s">
        <v>129</v>
      </c>
      <c r="E53" s="1135" t="s">
        <v>22</v>
      </c>
      <c r="F53" s="1135" t="s">
        <v>22</v>
      </c>
      <c r="G53" s="1135" t="s">
        <v>22</v>
      </c>
      <c r="H53" s="992" t="s">
        <v>1047</v>
      </c>
      <c r="I53" s="375" t="s">
        <v>1048</v>
      </c>
      <c r="J53" s="1131">
        <v>0.7</v>
      </c>
      <c r="K53" s="1148" t="s">
        <v>22</v>
      </c>
      <c r="L53" s="1139">
        <v>40186</v>
      </c>
      <c r="M53" s="1139">
        <v>40561</v>
      </c>
      <c r="N53" s="1135" t="s">
        <v>22</v>
      </c>
      <c r="O53" s="1149">
        <v>2011</v>
      </c>
      <c r="P53" s="1141">
        <v>535600</v>
      </c>
      <c r="Q53" s="1150">
        <v>3104182180</v>
      </c>
      <c r="R53" s="1150" t="s">
        <v>151</v>
      </c>
      <c r="S53" s="1142">
        <v>1.2167533333333331</v>
      </c>
      <c r="T53" s="1143" t="s">
        <v>140</v>
      </c>
      <c r="U53" s="1144">
        <v>2331.4443333333334</v>
      </c>
      <c r="V53" s="1141">
        <v>3104182180</v>
      </c>
      <c r="W53" s="1145">
        <v>5796</v>
      </c>
      <c r="X53" s="1145">
        <v>4057</v>
      </c>
      <c r="Y53" s="1596"/>
      <c r="Z53" s="1596"/>
      <c r="AA53" s="1597"/>
    </row>
    <row r="54" spans="1:27" s="417" customFormat="1" ht="86.25" thickBot="1">
      <c r="A54" s="1228" t="s">
        <v>1044</v>
      </c>
      <c r="B54" s="1229" t="s">
        <v>1045</v>
      </c>
      <c r="C54" s="420" t="s">
        <v>1046</v>
      </c>
      <c r="D54" s="1230" t="s">
        <v>129</v>
      </c>
      <c r="E54" s="1230" t="s">
        <v>22</v>
      </c>
      <c r="F54" s="1230" t="s">
        <v>22</v>
      </c>
      <c r="G54" s="1230" t="s">
        <v>22</v>
      </c>
      <c r="H54" s="1231" t="s">
        <v>1047</v>
      </c>
      <c r="I54" s="1232" t="s">
        <v>1048</v>
      </c>
      <c r="J54" s="1233">
        <v>0.7</v>
      </c>
      <c r="K54" s="1234" t="s">
        <v>22</v>
      </c>
      <c r="L54" s="1246">
        <v>40561</v>
      </c>
      <c r="M54" s="1246">
        <v>41500</v>
      </c>
      <c r="N54" s="1230" t="s">
        <v>22</v>
      </c>
      <c r="O54" s="1237">
        <v>2013</v>
      </c>
      <c r="P54" s="1238">
        <v>589500</v>
      </c>
      <c r="Q54" s="1240">
        <v>4481543752</v>
      </c>
      <c r="R54" s="1240" t="s">
        <v>151</v>
      </c>
      <c r="S54" s="1241">
        <v>1.2167533333333331</v>
      </c>
      <c r="T54" s="1242" t="s">
        <v>140</v>
      </c>
      <c r="U54" s="1243">
        <v>2331.4443333333334</v>
      </c>
      <c r="V54" s="1238">
        <v>4481543752</v>
      </c>
      <c r="W54" s="1244">
        <v>7602</v>
      </c>
      <c r="X54" s="1244">
        <v>5321</v>
      </c>
      <c r="Y54" s="1599"/>
      <c r="Z54" s="1599"/>
      <c r="AA54" s="1601"/>
    </row>
    <row r="55" spans="1:27" s="417" customFormat="1" ht="156.75">
      <c r="A55" s="1226" t="s">
        <v>1057</v>
      </c>
      <c r="B55" s="1133" t="s">
        <v>1058</v>
      </c>
      <c r="C55" s="388" t="s">
        <v>1059</v>
      </c>
      <c r="D55" s="1135" t="s">
        <v>22</v>
      </c>
      <c r="E55" s="1135" t="s">
        <v>22</v>
      </c>
      <c r="F55" s="1135" t="s">
        <v>22</v>
      </c>
      <c r="G55" s="1135" t="s">
        <v>22</v>
      </c>
      <c r="H55" s="992" t="s">
        <v>517</v>
      </c>
      <c r="I55" s="375" t="s">
        <v>902</v>
      </c>
      <c r="J55" s="1131">
        <v>0.6</v>
      </c>
      <c r="K55" s="1148" t="s">
        <v>22</v>
      </c>
      <c r="L55" s="1128">
        <v>41075</v>
      </c>
      <c r="M55" s="1128">
        <v>42052</v>
      </c>
      <c r="N55" s="1135" t="s">
        <v>22</v>
      </c>
      <c r="O55" s="1149">
        <v>2015</v>
      </c>
      <c r="P55" s="1141">
        <v>644350</v>
      </c>
      <c r="Q55" s="1177">
        <v>19220639629</v>
      </c>
      <c r="R55" s="1150" t="s">
        <v>151</v>
      </c>
      <c r="S55" s="1142">
        <v>1.2167533333333331</v>
      </c>
      <c r="T55" s="1143" t="s">
        <v>140</v>
      </c>
      <c r="U55" s="1144">
        <v>2331.4443333333334</v>
      </c>
      <c r="V55" s="1141">
        <v>19220639629</v>
      </c>
      <c r="W55" s="1145">
        <v>29830</v>
      </c>
      <c r="X55" s="1145">
        <v>17898</v>
      </c>
      <c r="Y55" s="1596" t="s">
        <v>22</v>
      </c>
      <c r="Z55" s="1596" t="s">
        <v>22</v>
      </c>
      <c r="AA55" s="1597" t="s">
        <v>129</v>
      </c>
    </row>
    <row r="56" spans="1:27" s="417" customFormat="1" ht="71.25">
      <c r="A56" s="1226" t="s">
        <v>1057</v>
      </c>
      <c r="B56" s="1133" t="s">
        <v>1058</v>
      </c>
      <c r="C56" s="388" t="s">
        <v>1059</v>
      </c>
      <c r="D56" s="1135" t="s">
        <v>22</v>
      </c>
      <c r="E56" s="1135" t="s">
        <v>22</v>
      </c>
      <c r="F56" s="1135" t="s">
        <v>22</v>
      </c>
      <c r="G56" s="1135" t="s">
        <v>22</v>
      </c>
      <c r="H56" s="992" t="s">
        <v>1517</v>
      </c>
      <c r="I56" s="375" t="s">
        <v>1518</v>
      </c>
      <c r="J56" s="1131">
        <v>1</v>
      </c>
      <c r="K56" s="1148" t="s">
        <v>22</v>
      </c>
      <c r="L56" s="1128">
        <v>39671</v>
      </c>
      <c r="M56" s="1128">
        <v>40273</v>
      </c>
      <c r="N56" s="1135" t="s">
        <v>22</v>
      </c>
      <c r="O56" s="1149">
        <v>2010</v>
      </c>
      <c r="P56" s="1141">
        <v>515000</v>
      </c>
      <c r="Q56" s="1150">
        <v>1184567</v>
      </c>
      <c r="R56" s="1150" t="s">
        <v>179</v>
      </c>
      <c r="S56" s="1142">
        <v>1.2167533333333331</v>
      </c>
      <c r="T56" s="1143">
        <v>1441325.8458066664</v>
      </c>
      <c r="U56" s="1144">
        <v>2331.4443333333334</v>
      </c>
      <c r="V56" s="1141">
        <v>3360370975.6928263</v>
      </c>
      <c r="W56" s="1145">
        <v>6525</v>
      </c>
      <c r="X56" s="1145">
        <v>6525</v>
      </c>
      <c r="Y56" s="1596"/>
      <c r="Z56" s="1596"/>
      <c r="AA56" s="1597"/>
    </row>
    <row r="57" spans="1:27" s="417" customFormat="1" ht="114">
      <c r="A57" s="1226" t="s">
        <v>1057</v>
      </c>
      <c r="B57" s="1133" t="s">
        <v>1066</v>
      </c>
      <c r="C57" s="1135" t="s">
        <v>1067</v>
      </c>
      <c r="D57" s="1135" t="s">
        <v>22</v>
      </c>
      <c r="E57" s="1135" t="s">
        <v>22</v>
      </c>
      <c r="F57" s="1135" t="s">
        <v>22</v>
      </c>
      <c r="G57" s="1135" t="s">
        <v>22</v>
      </c>
      <c r="H57" s="992" t="s">
        <v>1038</v>
      </c>
      <c r="I57" s="375" t="s">
        <v>1519</v>
      </c>
      <c r="J57" s="1131">
        <v>1</v>
      </c>
      <c r="K57" s="1148" t="s">
        <v>22</v>
      </c>
      <c r="L57" s="1128">
        <v>39776</v>
      </c>
      <c r="M57" s="1128">
        <v>40809</v>
      </c>
      <c r="N57" s="1135" t="s">
        <v>22</v>
      </c>
      <c r="O57" s="1149">
        <v>2011</v>
      </c>
      <c r="P57" s="1141">
        <v>535600</v>
      </c>
      <c r="Q57" s="1150">
        <v>3888865854</v>
      </c>
      <c r="R57" s="1150" t="s">
        <v>151</v>
      </c>
      <c r="S57" s="1142">
        <v>1.2167533333333331</v>
      </c>
      <c r="T57" s="1143" t="s">
        <v>140</v>
      </c>
      <c r="U57" s="1144">
        <v>2331.4443333333334</v>
      </c>
      <c r="V57" s="1141">
        <v>3888865854</v>
      </c>
      <c r="W57" s="1145">
        <v>7261</v>
      </c>
      <c r="X57" s="1145">
        <v>7261</v>
      </c>
      <c r="Y57" s="1596"/>
      <c r="Z57" s="1596"/>
      <c r="AA57" s="1597"/>
    </row>
    <row r="58" spans="1:27" s="417" customFormat="1" ht="100.5" thickBot="1">
      <c r="A58" s="1226" t="s">
        <v>1057</v>
      </c>
      <c r="B58" s="1133" t="s">
        <v>1066</v>
      </c>
      <c r="C58" s="1135" t="s">
        <v>1067</v>
      </c>
      <c r="D58" s="1135" t="s">
        <v>22</v>
      </c>
      <c r="E58" s="1135" t="s">
        <v>22</v>
      </c>
      <c r="F58" s="1135" t="s">
        <v>22</v>
      </c>
      <c r="G58" s="1135" t="s">
        <v>22</v>
      </c>
      <c r="H58" s="992" t="s">
        <v>448</v>
      </c>
      <c r="I58" s="375" t="s">
        <v>1520</v>
      </c>
      <c r="J58" s="1131">
        <v>0.6</v>
      </c>
      <c r="K58" s="1148" t="s">
        <v>22</v>
      </c>
      <c r="L58" s="1128">
        <v>37432</v>
      </c>
      <c r="M58" s="1128">
        <v>38352</v>
      </c>
      <c r="N58" s="1135" t="s">
        <v>22</v>
      </c>
      <c r="O58" s="1149">
        <v>2004</v>
      </c>
      <c r="P58" s="1141">
        <v>358000</v>
      </c>
      <c r="Q58" s="1150">
        <v>2381707955</v>
      </c>
      <c r="R58" s="1150" t="s">
        <v>151</v>
      </c>
      <c r="S58" s="1142">
        <v>1.2167533333333331</v>
      </c>
      <c r="T58" s="1143" t="s">
        <v>140</v>
      </c>
      <c r="U58" s="1144">
        <v>2331.4443333333334</v>
      </c>
      <c r="V58" s="1141">
        <v>2381707955</v>
      </c>
      <c r="W58" s="1145">
        <v>6653</v>
      </c>
      <c r="X58" s="1145">
        <v>3992</v>
      </c>
      <c r="Y58" s="1596"/>
      <c r="Z58" s="1596"/>
      <c r="AA58" s="1597"/>
    </row>
    <row r="59" spans="1:27" s="417" customFormat="1" ht="270.75">
      <c r="A59" s="1212" t="s">
        <v>1071</v>
      </c>
      <c r="B59" s="1213" t="s">
        <v>1072</v>
      </c>
      <c r="C59" s="419" t="s">
        <v>1073</v>
      </c>
      <c r="D59" s="1214" t="s">
        <v>22</v>
      </c>
      <c r="E59" s="1214" t="s">
        <v>22</v>
      </c>
      <c r="F59" s="1214" t="s">
        <v>22</v>
      </c>
      <c r="G59" s="1214" t="s">
        <v>22</v>
      </c>
      <c r="H59" s="1215" t="s">
        <v>517</v>
      </c>
      <c r="I59" s="1216" t="s">
        <v>1074</v>
      </c>
      <c r="J59" s="1217">
        <v>0.35</v>
      </c>
      <c r="K59" s="1214" t="s">
        <v>22</v>
      </c>
      <c r="L59" s="1218">
        <v>41075</v>
      </c>
      <c r="M59" s="1218">
        <v>42063</v>
      </c>
      <c r="N59" s="1214" t="s">
        <v>22</v>
      </c>
      <c r="O59" s="1219">
        <v>2015</v>
      </c>
      <c r="P59" s="1220">
        <v>644350</v>
      </c>
      <c r="Q59" s="1247">
        <v>6668665130</v>
      </c>
      <c r="R59" s="1220" t="s">
        <v>151</v>
      </c>
      <c r="S59" s="1222">
        <v>1.2167533333333331</v>
      </c>
      <c r="T59" s="1223" t="s">
        <v>140</v>
      </c>
      <c r="U59" s="1224">
        <v>2331.4443333333334</v>
      </c>
      <c r="V59" s="1220">
        <v>6668665130</v>
      </c>
      <c r="W59" s="1225">
        <v>10349</v>
      </c>
      <c r="X59" s="1225">
        <v>3622</v>
      </c>
      <c r="Y59" s="1598" t="s">
        <v>22</v>
      </c>
      <c r="Z59" s="1598" t="s">
        <v>22</v>
      </c>
      <c r="AA59" s="1600" t="s">
        <v>129</v>
      </c>
    </row>
    <row r="60" spans="1:27" s="417" customFormat="1" ht="47.25">
      <c r="A60" s="1258" t="s">
        <v>1071</v>
      </c>
      <c r="B60" s="1171" t="s">
        <v>1072</v>
      </c>
      <c r="C60" s="421" t="s">
        <v>1073</v>
      </c>
      <c r="D60" s="1135" t="s">
        <v>22</v>
      </c>
      <c r="E60" s="1135" t="s">
        <v>22</v>
      </c>
      <c r="F60" s="1135" t="s">
        <v>22</v>
      </c>
      <c r="G60" s="1135" t="s">
        <v>22</v>
      </c>
      <c r="H60" s="992" t="s">
        <v>214</v>
      </c>
      <c r="I60" s="375" t="s">
        <v>1075</v>
      </c>
      <c r="J60" s="1131">
        <v>1</v>
      </c>
      <c r="K60" s="1148" t="s">
        <v>22</v>
      </c>
      <c r="L60" s="1139">
        <v>39295</v>
      </c>
      <c r="M60" s="1139">
        <v>40209</v>
      </c>
      <c r="N60" s="1135" t="s">
        <v>22</v>
      </c>
      <c r="O60" s="1149">
        <v>2010</v>
      </c>
      <c r="P60" s="1141">
        <v>515000</v>
      </c>
      <c r="Q60" s="1150">
        <v>1403754.99</v>
      </c>
      <c r="R60" s="1150" t="s">
        <v>142</v>
      </c>
      <c r="S60" s="1142">
        <v>1.2167533333333331</v>
      </c>
      <c r="T60" s="1143">
        <v>1708023.5632657998</v>
      </c>
      <c r="U60" s="1144">
        <v>2331.4443333333334</v>
      </c>
      <c r="V60" s="1141">
        <v>3982161857.775857</v>
      </c>
      <c r="W60" s="1145">
        <v>7732</v>
      </c>
      <c r="X60" s="1145">
        <v>7732</v>
      </c>
      <c r="Y60" s="1596"/>
      <c r="Z60" s="1596"/>
      <c r="AA60" s="1597"/>
    </row>
    <row r="61" spans="1:27" s="417" customFormat="1" ht="71.25">
      <c r="A61" s="1258" t="s">
        <v>1071</v>
      </c>
      <c r="B61" s="1171" t="s">
        <v>1072</v>
      </c>
      <c r="C61" s="421" t="s">
        <v>1073</v>
      </c>
      <c r="D61" s="1135" t="s">
        <v>22</v>
      </c>
      <c r="E61" s="1135" t="s">
        <v>22</v>
      </c>
      <c r="F61" s="1135" t="s">
        <v>22</v>
      </c>
      <c r="G61" s="1135" t="s">
        <v>22</v>
      </c>
      <c r="H61" s="992" t="s">
        <v>214</v>
      </c>
      <c r="I61" s="375" t="s">
        <v>1076</v>
      </c>
      <c r="J61" s="1131">
        <v>1</v>
      </c>
      <c r="K61" s="1148" t="s">
        <v>22</v>
      </c>
      <c r="L61" s="1128">
        <v>39385</v>
      </c>
      <c r="M61" s="1128">
        <v>41182</v>
      </c>
      <c r="N61" s="1135" t="s">
        <v>22</v>
      </c>
      <c r="O61" s="1149">
        <v>2012</v>
      </c>
      <c r="P61" s="1141">
        <v>566700</v>
      </c>
      <c r="Q61" s="1168">
        <v>1943712.48</v>
      </c>
      <c r="R61" s="1141" t="s">
        <v>142</v>
      </c>
      <c r="S61" s="1142">
        <v>1.2167533333333331</v>
      </c>
      <c r="T61" s="1143">
        <v>2365018.6390815997</v>
      </c>
      <c r="U61" s="1144">
        <v>2331.4443333333334</v>
      </c>
      <c r="V61" s="1141">
        <v>5513909304.3145075</v>
      </c>
      <c r="W61" s="1145">
        <v>9730</v>
      </c>
      <c r="X61" s="1145">
        <v>9730</v>
      </c>
      <c r="Y61" s="1596"/>
      <c r="Z61" s="1596"/>
      <c r="AA61" s="1597"/>
    </row>
    <row r="62" spans="1:27" s="417" customFormat="1" ht="100.5" thickBot="1">
      <c r="A62" s="1228" t="s">
        <v>1071</v>
      </c>
      <c r="B62" s="1229" t="s">
        <v>1077</v>
      </c>
      <c r="C62" s="1230" t="s">
        <v>1078</v>
      </c>
      <c r="D62" s="1230" t="s">
        <v>22</v>
      </c>
      <c r="E62" s="1230" t="s">
        <v>22</v>
      </c>
      <c r="F62" s="1230" t="s">
        <v>22</v>
      </c>
      <c r="G62" s="1230" t="s">
        <v>22</v>
      </c>
      <c r="H62" s="1231" t="s">
        <v>949</v>
      </c>
      <c r="I62" s="1232" t="s">
        <v>1079</v>
      </c>
      <c r="J62" s="1233">
        <v>0.75</v>
      </c>
      <c r="K62" s="1234" t="s">
        <v>22</v>
      </c>
      <c r="L62" s="1246">
        <v>38327</v>
      </c>
      <c r="M62" s="1246">
        <v>40668</v>
      </c>
      <c r="N62" s="1230" t="s">
        <v>22</v>
      </c>
      <c r="O62" s="1237">
        <v>2011</v>
      </c>
      <c r="P62" s="1238">
        <v>535600</v>
      </c>
      <c r="Q62" s="1240">
        <v>6564670351</v>
      </c>
      <c r="R62" s="1240" t="s">
        <v>151</v>
      </c>
      <c r="S62" s="1241">
        <v>1.2167533333333331</v>
      </c>
      <c r="T62" s="1242" t="s">
        <v>140</v>
      </c>
      <c r="U62" s="1243">
        <v>2331.4443333333334</v>
      </c>
      <c r="V62" s="1238">
        <v>6564670351</v>
      </c>
      <c r="W62" s="1244">
        <v>12257</v>
      </c>
      <c r="X62" s="1244">
        <v>9193</v>
      </c>
      <c r="Y62" s="1599"/>
      <c r="Z62" s="1599"/>
      <c r="AA62" s="1601"/>
    </row>
    <row r="63" spans="1:27" s="417" customFormat="1" ht="85.5">
      <c r="A63" s="1258" t="s">
        <v>1080</v>
      </c>
      <c r="B63" s="1171" t="s">
        <v>1081</v>
      </c>
      <c r="C63" s="1154" t="s">
        <v>1082</v>
      </c>
      <c r="D63" s="1135" t="s">
        <v>22</v>
      </c>
      <c r="E63" s="1135" t="s">
        <v>22</v>
      </c>
      <c r="F63" s="1135" t="s">
        <v>22</v>
      </c>
      <c r="G63" s="1135" t="s">
        <v>22</v>
      </c>
      <c r="H63" s="992" t="s">
        <v>448</v>
      </c>
      <c r="I63" s="375" t="s">
        <v>1083</v>
      </c>
      <c r="J63" s="1131">
        <v>0.7</v>
      </c>
      <c r="K63" s="1148" t="s">
        <v>22</v>
      </c>
      <c r="L63" s="1128">
        <v>39615</v>
      </c>
      <c r="M63" s="1128">
        <v>41502</v>
      </c>
      <c r="N63" s="1135" t="s">
        <v>22</v>
      </c>
      <c r="O63" s="1149">
        <v>2013</v>
      </c>
      <c r="P63" s="1141">
        <v>589500</v>
      </c>
      <c r="Q63" s="1150">
        <v>28736581560</v>
      </c>
      <c r="R63" s="1150" t="s">
        <v>151</v>
      </c>
      <c r="S63" s="1142">
        <v>1.2167533333333331</v>
      </c>
      <c r="T63" s="1143" t="s">
        <v>140</v>
      </c>
      <c r="U63" s="1144">
        <v>2331.4443333333334</v>
      </c>
      <c r="V63" s="1141">
        <v>28736581560</v>
      </c>
      <c r="W63" s="1145">
        <v>48747</v>
      </c>
      <c r="X63" s="1145">
        <v>34123</v>
      </c>
      <c r="Y63" s="1596" t="s">
        <v>22</v>
      </c>
      <c r="Z63" s="1596" t="s">
        <v>22</v>
      </c>
      <c r="AA63" s="1597" t="s">
        <v>129</v>
      </c>
    </row>
    <row r="64" spans="1:27" s="417" customFormat="1" ht="114">
      <c r="A64" s="1258" t="s">
        <v>1080</v>
      </c>
      <c r="B64" s="1171" t="s">
        <v>1081</v>
      </c>
      <c r="C64" s="1154" t="s">
        <v>1082</v>
      </c>
      <c r="D64" s="1135" t="s">
        <v>22</v>
      </c>
      <c r="E64" s="1135" t="s">
        <v>22</v>
      </c>
      <c r="F64" s="1135" t="s">
        <v>22</v>
      </c>
      <c r="G64" s="1135" t="s">
        <v>22</v>
      </c>
      <c r="H64" s="992" t="s">
        <v>517</v>
      </c>
      <c r="I64" s="375" t="s">
        <v>1521</v>
      </c>
      <c r="J64" s="1131">
        <v>0.4</v>
      </c>
      <c r="K64" s="1148" t="s">
        <v>22</v>
      </c>
      <c r="L64" s="1128">
        <v>40567</v>
      </c>
      <c r="M64" s="1128">
        <v>42151</v>
      </c>
      <c r="N64" s="1135" t="s">
        <v>22</v>
      </c>
      <c r="O64" s="1149">
        <v>2015</v>
      </c>
      <c r="P64" s="1141">
        <v>644350</v>
      </c>
      <c r="Q64" s="1150">
        <v>39239865014</v>
      </c>
      <c r="R64" s="1150" t="s">
        <v>151</v>
      </c>
      <c r="S64" s="1142">
        <v>1.2167533333333331</v>
      </c>
      <c r="T64" s="1143" t="s">
        <v>140</v>
      </c>
      <c r="U64" s="1144">
        <v>2331.4443333333334</v>
      </c>
      <c r="V64" s="1141">
        <v>39239865014</v>
      </c>
      <c r="W64" s="1145">
        <v>60898</v>
      </c>
      <c r="X64" s="1145">
        <v>24359</v>
      </c>
      <c r="Y64" s="1596"/>
      <c r="Z64" s="1596"/>
      <c r="AA64" s="1597"/>
    </row>
    <row r="65" spans="1:27" s="417" customFormat="1" ht="85.5">
      <c r="A65" s="1258" t="s">
        <v>1080</v>
      </c>
      <c r="B65" s="1171" t="s">
        <v>1081</v>
      </c>
      <c r="C65" s="1154" t="s">
        <v>1082</v>
      </c>
      <c r="D65" s="1135" t="s">
        <v>22</v>
      </c>
      <c r="E65" s="1135" t="s">
        <v>22</v>
      </c>
      <c r="F65" s="1135" t="s">
        <v>22</v>
      </c>
      <c r="G65" s="1135" t="s">
        <v>22</v>
      </c>
      <c r="H65" s="1135" t="s">
        <v>1522</v>
      </c>
      <c r="I65" s="375" t="s">
        <v>1523</v>
      </c>
      <c r="J65" s="1131">
        <v>1</v>
      </c>
      <c r="K65" s="1148" t="s">
        <v>22</v>
      </c>
      <c r="L65" s="1159">
        <v>40617</v>
      </c>
      <c r="M65" s="1159">
        <v>42308</v>
      </c>
      <c r="N65" s="1135" t="s">
        <v>22</v>
      </c>
      <c r="O65" s="1149">
        <v>2015</v>
      </c>
      <c r="P65" s="1141">
        <v>644350</v>
      </c>
      <c r="Q65" s="1150">
        <v>7278795408</v>
      </c>
      <c r="R65" s="1149" t="s">
        <v>151</v>
      </c>
      <c r="S65" s="1142">
        <v>1.2167533333333331</v>
      </c>
      <c r="T65" s="1143" t="s">
        <v>140</v>
      </c>
      <c r="U65" s="1144">
        <v>2331.4443333333334</v>
      </c>
      <c r="V65" s="1141">
        <v>7278795408</v>
      </c>
      <c r="W65" s="1145">
        <v>11296</v>
      </c>
      <c r="X65" s="1145">
        <v>11296</v>
      </c>
      <c r="Y65" s="1596"/>
      <c r="Z65" s="1596"/>
      <c r="AA65" s="1597"/>
    </row>
    <row r="66" spans="1:27" s="417" customFormat="1" ht="57.75" thickBot="1">
      <c r="A66" s="1258" t="s">
        <v>1080</v>
      </c>
      <c r="B66" s="1171" t="s">
        <v>1081</v>
      </c>
      <c r="C66" s="1154" t="s">
        <v>1082</v>
      </c>
      <c r="D66" s="1135" t="s">
        <v>22</v>
      </c>
      <c r="E66" s="1135" t="s">
        <v>22</v>
      </c>
      <c r="F66" s="1135" t="s">
        <v>22</v>
      </c>
      <c r="G66" s="1135" t="s">
        <v>22</v>
      </c>
      <c r="H66" s="992" t="s">
        <v>949</v>
      </c>
      <c r="I66" s="375" t="s">
        <v>1524</v>
      </c>
      <c r="J66" s="1131">
        <v>0.55000000000000004</v>
      </c>
      <c r="K66" s="1148" t="s">
        <v>22</v>
      </c>
      <c r="L66" s="1128">
        <v>40394</v>
      </c>
      <c r="M66" s="1128">
        <v>40979</v>
      </c>
      <c r="N66" s="1135" t="s">
        <v>22</v>
      </c>
      <c r="O66" s="1149">
        <v>2012</v>
      </c>
      <c r="P66" s="1141">
        <v>566700</v>
      </c>
      <c r="Q66" s="1150">
        <v>3720919329.1999998</v>
      </c>
      <c r="R66" s="1150" t="s">
        <v>151</v>
      </c>
      <c r="S66" s="1142">
        <v>1.2167533333333331</v>
      </c>
      <c r="T66" s="1143" t="s">
        <v>140</v>
      </c>
      <c r="U66" s="1144">
        <v>2331.4443333333334</v>
      </c>
      <c r="V66" s="1141">
        <v>3720919329.1999998</v>
      </c>
      <c r="W66" s="1145">
        <v>6566</v>
      </c>
      <c r="X66" s="1145">
        <v>3611</v>
      </c>
      <c r="Y66" s="1596"/>
      <c r="Z66" s="1596"/>
      <c r="AA66" s="1597"/>
    </row>
    <row r="67" spans="1:27" s="417" customFormat="1" ht="57">
      <c r="A67" s="1212" t="s">
        <v>1084</v>
      </c>
      <c r="B67" s="1213" t="s">
        <v>1091</v>
      </c>
      <c r="C67" s="419" t="s">
        <v>1092</v>
      </c>
      <c r="D67" s="1214" t="s">
        <v>22</v>
      </c>
      <c r="E67" s="1214" t="s">
        <v>22</v>
      </c>
      <c r="F67" s="1214" t="s">
        <v>22</v>
      </c>
      <c r="G67" s="1214" t="s">
        <v>22</v>
      </c>
      <c r="H67" s="1215" t="s">
        <v>1005</v>
      </c>
      <c r="I67" s="1216" t="s">
        <v>242</v>
      </c>
      <c r="J67" s="1256">
        <v>0.4</v>
      </c>
      <c r="K67" s="1250" t="s">
        <v>22</v>
      </c>
      <c r="L67" s="1218">
        <v>41095</v>
      </c>
      <c r="M67" s="1218">
        <v>42247</v>
      </c>
      <c r="N67" s="1214" t="s">
        <v>22</v>
      </c>
      <c r="O67" s="1251">
        <v>2015</v>
      </c>
      <c r="P67" s="1220">
        <v>644350</v>
      </c>
      <c r="Q67" s="1247">
        <v>8603551358</v>
      </c>
      <c r="R67" s="1247" t="s">
        <v>151</v>
      </c>
      <c r="S67" s="1222">
        <v>1.2167533333333331</v>
      </c>
      <c r="T67" s="1223" t="s">
        <v>140</v>
      </c>
      <c r="U67" s="1224">
        <v>2331.4443333333334</v>
      </c>
      <c r="V67" s="1220">
        <v>8603551358</v>
      </c>
      <c r="W67" s="1225">
        <v>13352</v>
      </c>
      <c r="X67" s="1225">
        <v>5341</v>
      </c>
      <c r="Y67" s="1598" t="s">
        <v>22</v>
      </c>
      <c r="Z67" s="1598" t="s">
        <v>22</v>
      </c>
      <c r="AA67" s="1600" t="s">
        <v>129</v>
      </c>
    </row>
    <row r="68" spans="1:27" s="417" customFormat="1" ht="57">
      <c r="A68" s="1226" t="s">
        <v>1084</v>
      </c>
      <c r="B68" s="1133" t="s">
        <v>1091</v>
      </c>
      <c r="C68" s="388" t="s">
        <v>1092</v>
      </c>
      <c r="D68" s="1135" t="s">
        <v>22</v>
      </c>
      <c r="E68" s="1135" t="s">
        <v>22</v>
      </c>
      <c r="F68" s="1135" t="s">
        <v>22</v>
      </c>
      <c r="G68" s="1135" t="s">
        <v>22</v>
      </c>
      <c r="H68" s="992" t="s">
        <v>1525</v>
      </c>
      <c r="I68" s="375" t="s">
        <v>1526</v>
      </c>
      <c r="J68" s="1131">
        <v>1</v>
      </c>
      <c r="K68" s="1148" t="s">
        <v>22</v>
      </c>
      <c r="L68" s="1139">
        <v>38596</v>
      </c>
      <c r="M68" s="1139">
        <v>40298</v>
      </c>
      <c r="N68" s="1135" t="s">
        <v>22</v>
      </c>
      <c r="O68" s="1149">
        <v>2010</v>
      </c>
      <c r="P68" s="1141">
        <v>515000</v>
      </c>
      <c r="Q68" s="1150">
        <v>4600000</v>
      </c>
      <c r="R68" s="1150" t="s">
        <v>179</v>
      </c>
      <c r="S68" s="1142">
        <v>1.2167533333333331</v>
      </c>
      <c r="T68" s="1143">
        <v>5597065.3333333321</v>
      </c>
      <c r="U68" s="1144">
        <v>2331.4443333333334</v>
      </c>
      <c r="V68" s="1141">
        <v>13049246254.696442</v>
      </c>
      <c r="W68" s="1145">
        <v>25338</v>
      </c>
      <c r="X68" s="1145">
        <v>25338</v>
      </c>
      <c r="Y68" s="1596"/>
      <c r="Z68" s="1596"/>
      <c r="AA68" s="1597"/>
    </row>
    <row r="69" spans="1:27" s="417" customFormat="1" ht="85.5">
      <c r="A69" s="1226" t="s">
        <v>1084</v>
      </c>
      <c r="B69" s="1133" t="s">
        <v>1091</v>
      </c>
      <c r="C69" s="388" t="s">
        <v>1092</v>
      </c>
      <c r="D69" s="1135" t="s">
        <v>22</v>
      </c>
      <c r="E69" s="1135" t="s">
        <v>22</v>
      </c>
      <c r="F69" s="1135" t="s">
        <v>22</v>
      </c>
      <c r="G69" s="1135" t="s">
        <v>22</v>
      </c>
      <c r="H69" s="1135" t="s">
        <v>155</v>
      </c>
      <c r="I69" s="1135" t="s">
        <v>250</v>
      </c>
      <c r="J69" s="1131">
        <v>0.6</v>
      </c>
      <c r="K69" s="1148" t="s">
        <v>22</v>
      </c>
      <c r="L69" s="1159">
        <v>40079</v>
      </c>
      <c r="M69" s="1159">
        <v>42094</v>
      </c>
      <c r="N69" s="1135" t="s">
        <v>22</v>
      </c>
      <c r="O69" s="1149">
        <v>2015</v>
      </c>
      <c r="P69" s="1141">
        <v>644350</v>
      </c>
      <c r="Q69" s="1150">
        <v>14008976863</v>
      </c>
      <c r="R69" s="1150" t="s">
        <v>151</v>
      </c>
      <c r="S69" s="1142">
        <v>1.2167533333333331</v>
      </c>
      <c r="T69" s="1143" t="s">
        <v>140</v>
      </c>
      <c r="U69" s="1144">
        <v>2331.4443333333334</v>
      </c>
      <c r="V69" s="1141">
        <v>14008976863</v>
      </c>
      <c r="W69" s="1145">
        <v>21741</v>
      </c>
      <c r="X69" s="1145">
        <v>13045</v>
      </c>
      <c r="Y69" s="1596"/>
      <c r="Z69" s="1596"/>
      <c r="AA69" s="1597"/>
    </row>
    <row r="70" spans="1:27" s="417" customFormat="1" ht="100.5" thickBot="1">
      <c r="A70" s="1228" t="s">
        <v>1084</v>
      </c>
      <c r="B70" s="1229" t="s">
        <v>1091</v>
      </c>
      <c r="C70" s="420" t="s">
        <v>1092</v>
      </c>
      <c r="D70" s="1230" t="s">
        <v>22</v>
      </c>
      <c r="E70" s="1230" t="s">
        <v>22</v>
      </c>
      <c r="F70" s="1230" t="s">
        <v>22</v>
      </c>
      <c r="G70" s="1230" t="s">
        <v>22</v>
      </c>
      <c r="H70" s="1231" t="s">
        <v>517</v>
      </c>
      <c r="I70" s="1232" t="s">
        <v>244</v>
      </c>
      <c r="J70" s="1259">
        <v>0.2</v>
      </c>
      <c r="K70" s="1260" t="s">
        <v>22</v>
      </c>
      <c r="L70" s="1261">
        <v>41114</v>
      </c>
      <c r="M70" s="1262">
        <v>42279</v>
      </c>
      <c r="N70" s="1230" t="s">
        <v>22</v>
      </c>
      <c r="O70" s="1253">
        <v>2015</v>
      </c>
      <c r="P70" s="1238">
        <v>644350</v>
      </c>
      <c r="Q70" s="1238">
        <v>9414715733</v>
      </c>
      <c r="R70" s="1238" t="s">
        <v>151</v>
      </c>
      <c r="S70" s="1241">
        <v>1.2167533333333331</v>
      </c>
      <c r="T70" s="1242" t="s">
        <v>140</v>
      </c>
      <c r="U70" s="1243">
        <v>2331.4443333333334</v>
      </c>
      <c r="V70" s="1238">
        <v>9414715733</v>
      </c>
      <c r="W70" s="1244">
        <v>14611</v>
      </c>
      <c r="X70" s="1244">
        <v>2922</v>
      </c>
      <c r="Y70" s="1599"/>
      <c r="Z70" s="1599"/>
      <c r="AA70" s="1601"/>
    </row>
    <row r="71" spans="1:27" s="417" customFormat="1" ht="71.25">
      <c r="A71" s="1226" t="s">
        <v>1097</v>
      </c>
      <c r="B71" s="1133" t="s">
        <v>1098</v>
      </c>
      <c r="C71" s="388" t="s">
        <v>1099</v>
      </c>
      <c r="D71" s="1135" t="s">
        <v>22</v>
      </c>
      <c r="E71" s="1135" t="s">
        <v>22</v>
      </c>
      <c r="F71" s="1135" t="s">
        <v>22</v>
      </c>
      <c r="G71" s="1135" t="s">
        <v>22</v>
      </c>
      <c r="H71" s="992" t="s">
        <v>1527</v>
      </c>
      <c r="I71" s="375" t="s">
        <v>1100</v>
      </c>
      <c r="J71" s="1263">
        <v>1</v>
      </c>
      <c r="K71" s="1264" t="s">
        <v>22</v>
      </c>
      <c r="L71" s="1128">
        <v>39062</v>
      </c>
      <c r="M71" s="1128">
        <v>40476</v>
      </c>
      <c r="N71" s="1135" t="s">
        <v>22</v>
      </c>
      <c r="O71" s="1149">
        <v>2010</v>
      </c>
      <c r="P71" s="1141">
        <v>515000</v>
      </c>
      <c r="Q71" s="1150">
        <v>2398644428</v>
      </c>
      <c r="R71" s="1150" t="s">
        <v>151</v>
      </c>
      <c r="S71" s="1142">
        <v>1.2167533333333331</v>
      </c>
      <c r="T71" s="1143" t="s">
        <v>140</v>
      </c>
      <c r="U71" s="1144">
        <v>2331.4443333333334</v>
      </c>
      <c r="V71" s="1141">
        <v>2398644428</v>
      </c>
      <c r="W71" s="1145">
        <v>4658</v>
      </c>
      <c r="X71" s="1145">
        <v>4658</v>
      </c>
      <c r="Y71" s="1596" t="s">
        <v>22</v>
      </c>
      <c r="Z71" s="1596" t="s">
        <v>22</v>
      </c>
      <c r="AA71" s="1597" t="s">
        <v>129</v>
      </c>
    </row>
    <row r="72" spans="1:27" s="417" customFormat="1" ht="128.25">
      <c r="A72" s="1226" t="s">
        <v>1097</v>
      </c>
      <c r="B72" s="1133" t="s">
        <v>1098</v>
      </c>
      <c r="C72" s="388" t="s">
        <v>1099</v>
      </c>
      <c r="D72" s="1135" t="s">
        <v>22</v>
      </c>
      <c r="E72" s="1135" t="s">
        <v>22</v>
      </c>
      <c r="F72" s="1135" t="s">
        <v>22</v>
      </c>
      <c r="G72" s="1135" t="s">
        <v>22</v>
      </c>
      <c r="H72" s="992" t="s">
        <v>517</v>
      </c>
      <c r="I72" s="375" t="s">
        <v>1101</v>
      </c>
      <c r="J72" s="1263">
        <v>0.2</v>
      </c>
      <c r="K72" s="1264" t="s">
        <v>22</v>
      </c>
      <c r="L72" s="1128">
        <v>40567</v>
      </c>
      <c r="M72" s="1128">
        <v>42226</v>
      </c>
      <c r="N72" s="1135" t="s">
        <v>22</v>
      </c>
      <c r="O72" s="1149">
        <v>2015</v>
      </c>
      <c r="P72" s="1141">
        <v>644350</v>
      </c>
      <c r="Q72" s="1150">
        <v>34817301515</v>
      </c>
      <c r="R72" s="1150" t="s">
        <v>151</v>
      </c>
      <c r="S72" s="1142">
        <v>1.2167533333333331</v>
      </c>
      <c r="T72" s="1143" t="s">
        <v>140</v>
      </c>
      <c r="U72" s="1144">
        <v>2331.4443333333334</v>
      </c>
      <c r="V72" s="1141">
        <v>34817301515</v>
      </c>
      <c r="W72" s="1145">
        <v>54035</v>
      </c>
      <c r="X72" s="1145">
        <v>10807</v>
      </c>
      <c r="Y72" s="1596"/>
      <c r="Z72" s="1596"/>
      <c r="AA72" s="1597"/>
    </row>
    <row r="73" spans="1:27" s="417" customFormat="1" ht="99.75">
      <c r="A73" s="1226" t="s">
        <v>1097</v>
      </c>
      <c r="B73" s="1133" t="s">
        <v>1102</v>
      </c>
      <c r="C73" s="1135" t="s">
        <v>1103</v>
      </c>
      <c r="D73" s="1135" t="s">
        <v>22</v>
      </c>
      <c r="E73" s="1135" t="s">
        <v>22</v>
      </c>
      <c r="F73" s="1135" t="s">
        <v>22</v>
      </c>
      <c r="G73" s="1135" t="s">
        <v>22</v>
      </c>
      <c r="H73" s="992" t="s">
        <v>1477</v>
      </c>
      <c r="I73" s="375" t="s">
        <v>1104</v>
      </c>
      <c r="J73" s="1263">
        <v>0.6</v>
      </c>
      <c r="K73" s="1264" t="s">
        <v>22</v>
      </c>
      <c r="L73" s="1128">
        <v>41121</v>
      </c>
      <c r="M73" s="1128">
        <v>41882</v>
      </c>
      <c r="N73" s="1135" t="s">
        <v>22</v>
      </c>
      <c r="O73" s="1149">
        <v>2014</v>
      </c>
      <c r="P73" s="1141">
        <v>616000</v>
      </c>
      <c r="Q73" s="1150">
        <v>3121715915</v>
      </c>
      <c r="R73" s="1150" t="s">
        <v>151</v>
      </c>
      <c r="S73" s="1142">
        <v>1.2167533333333331</v>
      </c>
      <c r="T73" s="1143" t="s">
        <v>140</v>
      </c>
      <c r="U73" s="1144">
        <v>2331.4443333333334</v>
      </c>
      <c r="V73" s="1141">
        <v>3121715915</v>
      </c>
      <c r="W73" s="1145">
        <v>5068</v>
      </c>
      <c r="X73" s="1145">
        <v>3041</v>
      </c>
      <c r="Y73" s="1596"/>
      <c r="Z73" s="1596"/>
      <c r="AA73" s="1597"/>
    </row>
    <row r="74" spans="1:27" s="417" customFormat="1" ht="100.5" thickBot="1">
      <c r="A74" s="1226" t="s">
        <v>1097</v>
      </c>
      <c r="B74" s="1133" t="s">
        <v>1102</v>
      </c>
      <c r="C74" s="1135" t="s">
        <v>1103</v>
      </c>
      <c r="D74" s="1135" t="s">
        <v>22</v>
      </c>
      <c r="E74" s="1135" t="s">
        <v>22</v>
      </c>
      <c r="F74" s="1135" t="s">
        <v>22</v>
      </c>
      <c r="G74" s="1135" t="s">
        <v>22</v>
      </c>
      <c r="H74" s="992" t="s">
        <v>1477</v>
      </c>
      <c r="I74" s="375" t="s">
        <v>1105</v>
      </c>
      <c r="J74" s="1263">
        <v>0.6</v>
      </c>
      <c r="K74" s="1264" t="s">
        <v>22</v>
      </c>
      <c r="L74" s="1128">
        <v>41123</v>
      </c>
      <c r="M74" s="1128">
        <v>42139</v>
      </c>
      <c r="N74" s="1135" t="s">
        <v>22</v>
      </c>
      <c r="O74" s="1149">
        <v>2015</v>
      </c>
      <c r="P74" s="1141">
        <v>644350</v>
      </c>
      <c r="Q74" s="1150">
        <v>5897603327</v>
      </c>
      <c r="R74" s="1150" t="s">
        <v>151</v>
      </c>
      <c r="S74" s="1142">
        <v>1.2167533333333331</v>
      </c>
      <c r="T74" s="1143" t="s">
        <v>140</v>
      </c>
      <c r="U74" s="1144">
        <v>2331.4443333333334</v>
      </c>
      <c r="V74" s="1141">
        <v>5897603327</v>
      </c>
      <c r="W74" s="1145">
        <v>9153</v>
      </c>
      <c r="X74" s="1145">
        <v>5492</v>
      </c>
      <c r="Y74" s="1596"/>
      <c r="Z74" s="1596"/>
      <c r="AA74" s="1597"/>
    </row>
    <row r="75" spans="1:27" s="417" customFormat="1" ht="99.75">
      <c r="A75" s="1212" t="s">
        <v>1106</v>
      </c>
      <c r="B75" s="1213" t="s">
        <v>1107</v>
      </c>
      <c r="C75" s="419" t="s">
        <v>1108</v>
      </c>
      <c r="D75" s="1214" t="s">
        <v>22</v>
      </c>
      <c r="E75" s="1214" t="s">
        <v>22</v>
      </c>
      <c r="F75" s="1214" t="s">
        <v>22</v>
      </c>
      <c r="G75" s="1214" t="s">
        <v>22</v>
      </c>
      <c r="H75" s="1215" t="s">
        <v>1005</v>
      </c>
      <c r="I75" s="1216" t="s">
        <v>1528</v>
      </c>
      <c r="J75" s="1265">
        <v>0.3</v>
      </c>
      <c r="K75" s="1214" t="s">
        <v>22</v>
      </c>
      <c r="L75" s="1218">
        <v>39934</v>
      </c>
      <c r="M75" s="1218">
        <v>41029</v>
      </c>
      <c r="N75" s="1214" t="s">
        <v>22</v>
      </c>
      <c r="O75" s="1219">
        <v>2012</v>
      </c>
      <c r="P75" s="1220">
        <v>566700</v>
      </c>
      <c r="Q75" s="1221">
        <v>9410306932</v>
      </c>
      <c r="R75" s="1220" t="s">
        <v>151</v>
      </c>
      <c r="S75" s="1222">
        <v>1.2167533333333331</v>
      </c>
      <c r="T75" s="1223" t="s">
        <v>140</v>
      </c>
      <c r="U75" s="1224">
        <v>2331.4443333333334</v>
      </c>
      <c r="V75" s="1220">
        <v>9410306932</v>
      </c>
      <c r="W75" s="1225">
        <v>16605</v>
      </c>
      <c r="X75" s="1225">
        <v>4982</v>
      </c>
      <c r="Y75" s="1598" t="s">
        <v>22</v>
      </c>
      <c r="Z75" s="1598" t="s">
        <v>22</v>
      </c>
      <c r="AA75" s="1600" t="s">
        <v>129</v>
      </c>
    </row>
    <row r="76" spans="1:27" s="417" customFormat="1" ht="114">
      <c r="A76" s="1226" t="s">
        <v>1106</v>
      </c>
      <c r="B76" s="1133" t="s">
        <v>1107</v>
      </c>
      <c r="C76" s="388" t="s">
        <v>1108</v>
      </c>
      <c r="D76" s="1135" t="s">
        <v>22</v>
      </c>
      <c r="E76" s="1135" t="s">
        <v>22</v>
      </c>
      <c r="F76" s="1135" t="s">
        <v>22</v>
      </c>
      <c r="G76" s="1135" t="s">
        <v>22</v>
      </c>
      <c r="H76" s="992" t="s">
        <v>281</v>
      </c>
      <c r="I76" s="375" t="s">
        <v>1529</v>
      </c>
      <c r="J76" s="1266">
        <v>0.5</v>
      </c>
      <c r="K76" s="1135" t="s">
        <v>22</v>
      </c>
      <c r="L76" s="1128">
        <v>36333</v>
      </c>
      <c r="M76" s="1128">
        <v>38915</v>
      </c>
      <c r="N76" s="1135" t="s">
        <v>22</v>
      </c>
      <c r="O76" s="1140">
        <v>2006</v>
      </c>
      <c r="P76" s="1141">
        <v>408000</v>
      </c>
      <c r="Q76" s="1168">
        <v>19941780178.779999</v>
      </c>
      <c r="R76" s="1141" t="s">
        <v>151</v>
      </c>
      <c r="S76" s="1142">
        <v>1.2167533333333331</v>
      </c>
      <c r="T76" s="1143" t="s">
        <v>140</v>
      </c>
      <c r="U76" s="1144">
        <v>2331.4443333333334</v>
      </c>
      <c r="V76" s="1141">
        <v>19941780178.779999</v>
      </c>
      <c r="W76" s="1145">
        <v>48877</v>
      </c>
      <c r="X76" s="1145">
        <v>24439</v>
      </c>
      <c r="Y76" s="1596"/>
      <c r="Z76" s="1596"/>
      <c r="AA76" s="1597"/>
    </row>
    <row r="77" spans="1:27" s="417" customFormat="1" ht="156.75">
      <c r="A77" s="1226" t="s">
        <v>1106</v>
      </c>
      <c r="B77" s="1133" t="s">
        <v>1112</v>
      </c>
      <c r="C77" s="1135" t="s">
        <v>581</v>
      </c>
      <c r="D77" s="1135" t="s">
        <v>22</v>
      </c>
      <c r="E77" s="1135" t="s">
        <v>22</v>
      </c>
      <c r="F77" s="1135" t="s">
        <v>22</v>
      </c>
      <c r="G77" s="1135" t="s">
        <v>22</v>
      </c>
      <c r="H77" s="992" t="s">
        <v>448</v>
      </c>
      <c r="I77" s="375" t="s">
        <v>1530</v>
      </c>
      <c r="J77" s="1267">
        <v>0.5</v>
      </c>
      <c r="K77" s="1264" t="s">
        <v>22</v>
      </c>
      <c r="L77" s="1128">
        <v>40137</v>
      </c>
      <c r="M77" s="1128">
        <v>41232</v>
      </c>
      <c r="N77" s="1135" t="s">
        <v>22</v>
      </c>
      <c r="O77" s="1149">
        <v>2012</v>
      </c>
      <c r="P77" s="1141">
        <v>566700</v>
      </c>
      <c r="Q77" s="1141">
        <v>4761160509</v>
      </c>
      <c r="R77" s="1141" t="s">
        <v>151</v>
      </c>
      <c r="S77" s="1142">
        <v>1.2167533333333331</v>
      </c>
      <c r="T77" s="1143" t="s">
        <v>140</v>
      </c>
      <c r="U77" s="1144">
        <v>2331.4443333333334</v>
      </c>
      <c r="V77" s="1141">
        <v>4761160509</v>
      </c>
      <c r="W77" s="1145">
        <v>8402</v>
      </c>
      <c r="X77" s="1145">
        <v>4201</v>
      </c>
      <c r="Y77" s="1596"/>
      <c r="Z77" s="1596"/>
      <c r="AA77" s="1597"/>
    </row>
    <row r="78" spans="1:27" s="417" customFormat="1" ht="200.25" thickBot="1">
      <c r="A78" s="1228" t="s">
        <v>1106</v>
      </c>
      <c r="B78" s="1229" t="s">
        <v>1112</v>
      </c>
      <c r="C78" s="1230" t="s">
        <v>581</v>
      </c>
      <c r="D78" s="1230" t="s">
        <v>22</v>
      </c>
      <c r="E78" s="1230" t="s">
        <v>22</v>
      </c>
      <c r="F78" s="1230" t="s">
        <v>22</v>
      </c>
      <c r="G78" s="1230" t="s">
        <v>22</v>
      </c>
      <c r="H78" s="1231" t="s">
        <v>448</v>
      </c>
      <c r="I78" s="1232" t="s">
        <v>1531</v>
      </c>
      <c r="J78" s="1268">
        <v>0.4</v>
      </c>
      <c r="K78" s="1260" t="s">
        <v>22</v>
      </c>
      <c r="L78" s="1246">
        <v>40143</v>
      </c>
      <c r="M78" s="1246">
        <v>41183</v>
      </c>
      <c r="N78" s="1230" t="s">
        <v>22</v>
      </c>
      <c r="O78" s="1237">
        <v>2012</v>
      </c>
      <c r="P78" s="1238">
        <v>566700</v>
      </c>
      <c r="Q78" s="1240">
        <v>4331349652</v>
      </c>
      <c r="R78" s="1240" t="s">
        <v>151</v>
      </c>
      <c r="S78" s="1241">
        <v>1.2167533333333331</v>
      </c>
      <c r="T78" s="1242" t="s">
        <v>140</v>
      </c>
      <c r="U78" s="1243">
        <v>2331.4443333333334</v>
      </c>
      <c r="V78" s="1238">
        <v>4331349652</v>
      </c>
      <c r="W78" s="1244">
        <v>7643</v>
      </c>
      <c r="X78" s="1244">
        <v>3057</v>
      </c>
      <c r="Y78" s="1599"/>
      <c r="Z78" s="1599"/>
      <c r="AA78" s="1601"/>
    </row>
    <row r="79" spans="1:27" s="417" customFormat="1" ht="228">
      <c r="A79" s="1226" t="s">
        <v>1113</v>
      </c>
      <c r="B79" s="1133" t="s">
        <v>1114</v>
      </c>
      <c r="C79" s="388" t="s">
        <v>1115</v>
      </c>
      <c r="D79" s="1135" t="s">
        <v>22</v>
      </c>
      <c r="E79" s="1135" t="s">
        <v>22</v>
      </c>
      <c r="F79" s="1135" t="s">
        <v>22</v>
      </c>
      <c r="G79" s="1135" t="s">
        <v>22</v>
      </c>
      <c r="H79" s="992" t="s">
        <v>1005</v>
      </c>
      <c r="I79" s="375" t="s">
        <v>1532</v>
      </c>
      <c r="J79" s="1263">
        <v>0.33329999999999999</v>
      </c>
      <c r="K79" s="1264" t="s">
        <v>22</v>
      </c>
      <c r="L79" s="1128">
        <v>41015</v>
      </c>
      <c r="M79" s="1139">
        <v>42200</v>
      </c>
      <c r="N79" s="1135" t="s">
        <v>22</v>
      </c>
      <c r="O79" s="1149">
        <v>2015</v>
      </c>
      <c r="P79" s="1141">
        <v>644350</v>
      </c>
      <c r="Q79" s="1150">
        <v>30247667650</v>
      </c>
      <c r="R79" s="1150" t="s">
        <v>151</v>
      </c>
      <c r="S79" s="1142">
        <v>1.2167533333333331</v>
      </c>
      <c r="T79" s="1143" t="s">
        <v>140</v>
      </c>
      <c r="U79" s="1144">
        <v>2331.4443333333334</v>
      </c>
      <c r="V79" s="1141">
        <v>30247667650</v>
      </c>
      <c r="W79" s="1145">
        <v>46943</v>
      </c>
      <c r="X79" s="1145">
        <v>15646</v>
      </c>
      <c r="Y79" s="1596" t="s">
        <v>22</v>
      </c>
      <c r="Z79" s="1596" t="s">
        <v>22</v>
      </c>
      <c r="AA79" s="1597" t="s">
        <v>129</v>
      </c>
    </row>
    <row r="80" spans="1:27" s="417" customFormat="1" ht="57">
      <c r="A80" s="1226" t="s">
        <v>1113</v>
      </c>
      <c r="B80" s="1133" t="s">
        <v>1114</v>
      </c>
      <c r="C80" s="388" t="s">
        <v>1115</v>
      </c>
      <c r="D80" s="1135" t="s">
        <v>22</v>
      </c>
      <c r="E80" s="1135" t="s">
        <v>22</v>
      </c>
      <c r="F80" s="1135" t="s">
        <v>22</v>
      </c>
      <c r="G80" s="1135" t="s">
        <v>22</v>
      </c>
      <c r="H80" s="992" t="s">
        <v>1533</v>
      </c>
      <c r="I80" s="375" t="s">
        <v>1534</v>
      </c>
      <c r="J80" s="1263">
        <v>0.5</v>
      </c>
      <c r="K80" s="1264" t="s">
        <v>22</v>
      </c>
      <c r="L80" s="1128">
        <v>36312</v>
      </c>
      <c r="M80" s="1128">
        <v>37833</v>
      </c>
      <c r="N80" s="1135" t="s">
        <v>22</v>
      </c>
      <c r="O80" s="1149">
        <v>2003</v>
      </c>
      <c r="P80" s="1141">
        <v>332000</v>
      </c>
      <c r="Q80" s="1150">
        <v>5331439397</v>
      </c>
      <c r="R80" s="1150" t="s">
        <v>151</v>
      </c>
      <c r="S80" s="1142">
        <v>1.2167533333333331</v>
      </c>
      <c r="T80" s="1143" t="s">
        <v>140</v>
      </c>
      <c r="U80" s="1144">
        <v>2331.4443333333334</v>
      </c>
      <c r="V80" s="1141">
        <v>5331439397</v>
      </c>
      <c r="W80" s="1145">
        <v>16059</v>
      </c>
      <c r="X80" s="1145">
        <v>8030</v>
      </c>
      <c r="Y80" s="1596"/>
      <c r="Z80" s="1596"/>
      <c r="AA80" s="1597"/>
    </row>
    <row r="81" spans="1:27" s="417" customFormat="1" ht="31.5">
      <c r="A81" s="1226" t="s">
        <v>1113</v>
      </c>
      <c r="B81" s="1133" t="s">
        <v>1114</v>
      </c>
      <c r="C81" s="388" t="s">
        <v>1115</v>
      </c>
      <c r="D81" s="1135" t="s">
        <v>22</v>
      </c>
      <c r="E81" s="1135" t="s">
        <v>22</v>
      </c>
      <c r="F81" s="1135" t="s">
        <v>22</v>
      </c>
      <c r="G81" s="1135" t="s">
        <v>22</v>
      </c>
      <c r="H81" s="992" t="s">
        <v>1533</v>
      </c>
      <c r="I81" s="375" t="s">
        <v>1535</v>
      </c>
      <c r="J81" s="1263">
        <v>0.5</v>
      </c>
      <c r="K81" s="1264" t="s">
        <v>22</v>
      </c>
      <c r="L81" s="1128">
        <v>35612</v>
      </c>
      <c r="M81" s="1128">
        <v>36311</v>
      </c>
      <c r="N81" s="1135" t="s">
        <v>22</v>
      </c>
      <c r="O81" s="1149">
        <v>1999</v>
      </c>
      <c r="P81" s="1141">
        <v>236460</v>
      </c>
      <c r="Q81" s="1150">
        <v>1549994366</v>
      </c>
      <c r="R81" s="1150" t="s">
        <v>151</v>
      </c>
      <c r="S81" s="1142">
        <v>1.2167533333333331</v>
      </c>
      <c r="T81" s="1143" t="s">
        <v>140</v>
      </c>
      <c r="U81" s="1144">
        <v>2331.4443333333334</v>
      </c>
      <c r="V81" s="1141">
        <v>1549994366</v>
      </c>
      <c r="W81" s="1145">
        <v>6555</v>
      </c>
      <c r="X81" s="1145">
        <v>3278</v>
      </c>
      <c r="Y81" s="1596"/>
      <c r="Z81" s="1596"/>
      <c r="AA81" s="1597"/>
    </row>
    <row r="82" spans="1:27" s="417" customFormat="1" ht="57.75" thickBot="1">
      <c r="A82" s="1226" t="s">
        <v>1113</v>
      </c>
      <c r="B82" s="1133" t="s">
        <v>1114</v>
      </c>
      <c r="C82" s="388" t="s">
        <v>1115</v>
      </c>
      <c r="D82" s="1135" t="s">
        <v>22</v>
      </c>
      <c r="E82" s="1135" t="s">
        <v>22</v>
      </c>
      <c r="F82" s="1135" t="s">
        <v>22</v>
      </c>
      <c r="G82" s="1135" t="s">
        <v>22</v>
      </c>
      <c r="H82" s="992" t="s">
        <v>442</v>
      </c>
      <c r="I82" s="375" t="s">
        <v>1536</v>
      </c>
      <c r="J82" s="1263">
        <v>0.75</v>
      </c>
      <c r="K82" s="1264" t="s">
        <v>22</v>
      </c>
      <c r="L82" s="1128">
        <v>39534</v>
      </c>
      <c r="M82" s="1128">
        <v>40628</v>
      </c>
      <c r="N82" s="1135" t="s">
        <v>22</v>
      </c>
      <c r="O82" s="1149">
        <v>2011</v>
      </c>
      <c r="P82" s="1141">
        <v>535600</v>
      </c>
      <c r="Q82" s="1150">
        <v>3753633746</v>
      </c>
      <c r="R82" s="1150" t="s">
        <v>151</v>
      </c>
      <c r="S82" s="1142">
        <v>1.2167533333333331</v>
      </c>
      <c r="T82" s="1143" t="s">
        <v>140</v>
      </c>
      <c r="U82" s="1144">
        <v>2331.4443333333334</v>
      </c>
      <c r="V82" s="1141">
        <v>3753633746</v>
      </c>
      <c r="W82" s="1145">
        <v>7008</v>
      </c>
      <c r="X82" s="1145">
        <v>5256</v>
      </c>
      <c r="Y82" s="1596"/>
      <c r="Z82" s="1596"/>
      <c r="AA82" s="1597"/>
    </row>
    <row r="83" spans="1:27" s="417" customFormat="1" ht="57">
      <c r="A83" s="1212" t="s">
        <v>1126</v>
      </c>
      <c r="B83" s="1213" t="s">
        <v>1127</v>
      </c>
      <c r="C83" s="419" t="s">
        <v>815</v>
      </c>
      <c r="D83" s="1214" t="s">
        <v>22</v>
      </c>
      <c r="E83" s="1214" t="s">
        <v>22</v>
      </c>
      <c r="F83" s="1214" t="s">
        <v>22</v>
      </c>
      <c r="G83" s="1214" t="s">
        <v>22</v>
      </c>
      <c r="H83" s="1215" t="s">
        <v>173</v>
      </c>
      <c r="I83" s="1216" t="s">
        <v>1128</v>
      </c>
      <c r="J83" s="1269">
        <v>1</v>
      </c>
      <c r="K83" s="1270" t="s">
        <v>22</v>
      </c>
      <c r="L83" s="1218">
        <v>38049</v>
      </c>
      <c r="M83" s="1218">
        <v>40545</v>
      </c>
      <c r="N83" s="1214" t="s">
        <v>22</v>
      </c>
      <c r="O83" s="1251">
        <v>2011</v>
      </c>
      <c r="P83" s="1220">
        <v>535600</v>
      </c>
      <c r="Q83" s="1247">
        <v>4478229438</v>
      </c>
      <c r="R83" s="1247" t="s">
        <v>177</v>
      </c>
      <c r="S83" s="1222">
        <v>1.2167533333333331</v>
      </c>
      <c r="T83" s="1223">
        <v>5448900596.117959</v>
      </c>
      <c r="U83" s="1224">
        <v>2331.4443333333334</v>
      </c>
      <c r="V83" s="1220">
        <v>12703808417715.838</v>
      </c>
      <c r="W83" s="1225">
        <v>23718836</v>
      </c>
      <c r="X83" s="1225">
        <v>23718836</v>
      </c>
      <c r="Y83" s="1598" t="s">
        <v>22</v>
      </c>
      <c r="Z83" s="1598" t="s">
        <v>22</v>
      </c>
      <c r="AA83" s="1600" t="s">
        <v>129</v>
      </c>
    </row>
    <row r="84" spans="1:27" s="417" customFormat="1" ht="47.25">
      <c r="A84" s="1226" t="s">
        <v>1126</v>
      </c>
      <c r="B84" s="1133" t="s">
        <v>1127</v>
      </c>
      <c r="C84" s="388" t="s">
        <v>815</v>
      </c>
      <c r="D84" s="1135" t="s">
        <v>22</v>
      </c>
      <c r="E84" s="1135" t="s">
        <v>22</v>
      </c>
      <c r="F84" s="1135" t="s">
        <v>22</v>
      </c>
      <c r="G84" s="1135" t="s">
        <v>22</v>
      </c>
      <c r="H84" s="992" t="s">
        <v>173</v>
      </c>
      <c r="I84" s="375" t="s">
        <v>1129</v>
      </c>
      <c r="J84" s="1263">
        <v>0.25</v>
      </c>
      <c r="K84" s="1264" t="s">
        <v>22</v>
      </c>
      <c r="L84" s="1128">
        <v>36363</v>
      </c>
      <c r="M84" s="1128">
        <v>37843</v>
      </c>
      <c r="N84" s="1135" t="s">
        <v>22</v>
      </c>
      <c r="O84" s="1149">
        <v>2003</v>
      </c>
      <c r="P84" s="1141">
        <v>332000</v>
      </c>
      <c r="Q84" s="1150">
        <v>6541364.1500000004</v>
      </c>
      <c r="R84" s="1150" t="s">
        <v>179</v>
      </c>
      <c r="S84" s="1142">
        <v>1.2167533333333331</v>
      </c>
      <c r="T84" s="1143">
        <v>7959226.6340596657</v>
      </c>
      <c r="U84" s="1144">
        <v>2331.4443333333334</v>
      </c>
      <c r="V84" s="1141">
        <v>18556493833.694149</v>
      </c>
      <c r="W84" s="1145">
        <v>55893</v>
      </c>
      <c r="X84" s="1145">
        <v>13973</v>
      </c>
      <c r="Y84" s="1596"/>
      <c r="Z84" s="1596"/>
      <c r="AA84" s="1597"/>
    </row>
    <row r="85" spans="1:27" s="417" customFormat="1" ht="85.5">
      <c r="A85" s="1226" t="s">
        <v>1126</v>
      </c>
      <c r="B85" s="1133" t="s">
        <v>1127</v>
      </c>
      <c r="C85" s="388" t="s">
        <v>815</v>
      </c>
      <c r="D85" s="1135" t="s">
        <v>22</v>
      </c>
      <c r="E85" s="1135" t="s">
        <v>22</v>
      </c>
      <c r="F85" s="1135" t="s">
        <v>22</v>
      </c>
      <c r="G85" s="1135" t="s">
        <v>22</v>
      </c>
      <c r="H85" s="992" t="s">
        <v>517</v>
      </c>
      <c r="I85" s="375" t="s">
        <v>1537</v>
      </c>
      <c r="J85" s="1263">
        <v>0.6</v>
      </c>
      <c r="K85" s="1264" t="s">
        <v>22</v>
      </c>
      <c r="L85" s="1128">
        <v>41187</v>
      </c>
      <c r="M85" s="1128">
        <v>42054</v>
      </c>
      <c r="N85" s="1135" t="s">
        <v>22</v>
      </c>
      <c r="O85" s="1149">
        <v>2015</v>
      </c>
      <c r="P85" s="1141">
        <v>644350</v>
      </c>
      <c r="Q85" s="1150">
        <v>4902104707</v>
      </c>
      <c r="R85" s="1150" t="s">
        <v>151</v>
      </c>
      <c r="S85" s="1142">
        <v>1.2167533333333331</v>
      </c>
      <c r="T85" s="1143" t="s">
        <v>140</v>
      </c>
      <c r="U85" s="1144">
        <v>2331.4443333333334</v>
      </c>
      <c r="V85" s="1141">
        <v>4902104707</v>
      </c>
      <c r="W85" s="1145">
        <v>7608</v>
      </c>
      <c r="X85" s="1145">
        <v>4565</v>
      </c>
      <c r="Y85" s="1596"/>
      <c r="Z85" s="1596"/>
      <c r="AA85" s="1597"/>
    </row>
    <row r="86" spans="1:27" s="417" customFormat="1" ht="86.25" thickBot="1">
      <c r="A86" s="1228" t="s">
        <v>1126</v>
      </c>
      <c r="B86" s="1229" t="s">
        <v>1130</v>
      </c>
      <c r="C86" s="1230" t="s">
        <v>1131</v>
      </c>
      <c r="D86" s="1230" t="s">
        <v>22</v>
      </c>
      <c r="E86" s="1230" t="s">
        <v>22</v>
      </c>
      <c r="F86" s="1230" t="s">
        <v>22</v>
      </c>
      <c r="G86" s="1230" t="s">
        <v>22</v>
      </c>
      <c r="H86" s="1231" t="s">
        <v>1538</v>
      </c>
      <c r="I86" s="1232" t="s">
        <v>1539</v>
      </c>
      <c r="J86" s="1268">
        <v>0.9</v>
      </c>
      <c r="K86" s="1260" t="s">
        <v>22</v>
      </c>
      <c r="L86" s="1246">
        <v>41523</v>
      </c>
      <c r="M86" s="1246">
        <v>42094</v>
      </c>
      <c r="N86" s="1230" t="s">
        <v>22</v>
      </c>
      <c r="O86" s="1237">
        <v>2015</v>
      </c>
      <c r="P86" s="1238">
        <v>644350</v>
      </c>
      <c r="Q86" s="1240">
        <v>4539581069</v>
      </c>
      <c r="R86" s="1240" t="s">
        <v>151</v>
      </c>
      <c r="S86" s="1241">
        <v>1.2167533333333331</v>
      </c>
      <c r="T86" s="1242" t="s">
        <v>140</v>
      </c>
      <c r="U86" s="1243">
        <v>2331.4443333333334</v>
      </c>
      <c r="V86" s="1238">
        <v>4539581069</v>
      </c>
      <c r="W86" s="1244">
        <v>7045</v>
      </c>
      <c r="X86" s="1244">
        <v>6341</v>
      </c>
      <c r="Y86" s="1599"/>
      <c r="Z86" s="1599"/>
      <c r="AA86" s="1601"/>
    </row>
    <row r="87" spans="1:27" s="417" customFormat="1" ht="57">
      <c r="A87" s="1226" t="s">
        <v>1137</v>
      </c>
      <c r="B87" s="1133" t="s">
        <v>1144</v>
      </c>
      <c r="C87" s="388" t="s">
        <v>1145</v>
      </c>
      <c r="D87" s="1135" t="s">
        <v>22</v>
      </c>
      <c r="E87" s="1135" t="s">
        <v>22</v>
      </c>
      <c r="F87" s="1135" t="s">
        <v>22</v>
      </c>
      <c r="G87" s="1135" t="s">
        <v>22</v>
      </c>
      <c r="H87" s="992" t="s">
        <v>1038</v>
      </c>
      <c r="I87" s="375" t="s">
        <v>1146</v>
      </c>
      <c r="J87" s="1263">
        <v>0.15</v>
      </c>
      <c r="K87" s="1264" t="s">
        <v>22</v>
      </c>
      <c r="L87" s="1128">
        <v>40487</v>
      </c>
      <c r="M87" s="1128">
        <v>42077</v>
      </c>
      <c r="N87" s="1135" t="s">
        <v>22</v>
      </c>
      <c r="O87" s="1149">
        <v>2015</v>
      </c>
      <c r="P87" s="1141">
        <v>644350</v>
      </c>
      <c r="Q87" s="1150">
        <v>21015648386</v>
      </c>
      <c r="R87" s="1150" t="s">
        <v>151</v>
      </c>
      <c r="S87" s="1142">
        <v>1.2167533333333331</v>
      </c>
      <c r="T87" s="1143" t="s">
        <v>140</v>
      </c>
      <c r="U87" s="1144">
        <v>2331.4443333333334</v>
      </c>
      <c r="V87" s="1141">
        <v>21015648386</v>
      </c>
      <c r="W87" s="1145">
        <v>32615</v>
      </c>
      <c r="X87" s="1145">
        <v>4892</v>
      </c>
      <c r="Y87" s="1596" t="s">
        <v>22</v>
      </c>
      <c r="Z87" s="1596" t="s">
        <v>22</v>
      </c>
      <c r="AA87" s="1597" t="s">
        <v>129</v>
      </c>
    </row>
    <row r="88" spans="1:27" s="417" customFormat="1" ht="57">
      <c r="A88" s="1226" t="s">
        <v>1137</v>
      </c>
      <c r="B88" s="1133" t="s">
        <v>1138</v>
      </c>
      <c r="C88" s="1135" t="s">
        <v>1139</v>
      </c>
      <c r="D88" s="1135" t="s">
        <v>22</v>
      </c>
      <c r="E88" s="1135" t="s">
        <v>22</v>
      </c>
      <c r="F88" s="1135" t="s">
        <v>22</v>
      </c>
      <c r="G88" s="1135" t="s">
        <v>22</v>
      </c>
      <c r="H88" s="992" t="s">
        <v>351</v>
      </c>
      <c r="I88" s="375" t="s">
        <v>353</v>
      </c>
      <c r="J88" s="1263">
        <v>0.5</v>
      </c>
      <c r="K88" s="1264" t="s">
        <v>22</v>
      </c>
      <c r="L88" s="1128">
        <v>36752</v>
      </c>
      <c r="M88" s="1128">
        <v>42111</v>
      </c>
      <c r="N88" s="1135" t="s">
        <v>22</v>
      </c>
      <c r="O88" s="1149">
        <v>2015</v>
      </c>
      <c r="P88" s="1141">
        <v>644350</v>
      </c>
      <c r="Q88" s="1168">
        <v>5014683563</v>
      </c>
      <c r="R88" s="1141" t="s">
        <v>151</v>
      </c>
      <c r="S88" s="1142">
        <v>1.2167533333333331</v>
      </c>
      <c r="T88" s="1143" t="s">
        <v>140</v>
      </c>
      <c r="U88" s="1144">
        <v>2331.4443333333334</v>
      </c>
      <c r="V88" s="1141">
        <v>5014683563</v>
      </c>
      <c r="W88" s="1145">
        <v>7783</v>
      </c>
      <c r="X88" s="1145">
        <v>3892</v>
      </c>
      <c r="Y88" s="1596"/>
      <c r="Z88" s="1596"/>
      <c r="AA88" s="1597"/>
    </row>
    <row r="89" spans="1:27" s="417" customFormat="1" ht="71.25">
      <c r="A89" s="1226" t="s">
        <v>1137</v>
      </c>
      <c r="B89" s="1133" t="s">
        <v>1138</v>
      </c>
      <c r="C89" s="1135" t="s">
        <v>1139</v>
      </c>
      <c r="D89" s="1135" t="s">
        <v>22</v>
      </c>
      <c r="E89" s="1135" t="s">
        <v>22</v>
      </c>
      <c r="F89" s="1135" t="s">
        <v>22</v>
      </c>
      <c r="G89" s="1135" t="s">
        <v>22</v>
      </c>
      <c r="H89" s="992" t="s">
        <v>155</v>
      </c>
      <c r="I89" s="375" t="s">
        <v>1540</v>
      </c>
      <c r="J89" s="1263">
        <v>0.75</v>
      </c>
      <c r="K89" s="1264" t="s">
        <v>22</v>
      </c>
      <c r="L89" s="1128">
        <v>38733</v>
      </c>
      <c r="M89" s="1128">
        <v>39950</v>
      </c>
      <c r="N89" s="1135" t="s">
        <v>22</v>
      </c>
      <c r="O89" s="1149">
        <v>2009</v>
      </c>
      <c r="P89" s="1141">
        <v>496900</v>
      </c>
      <c r="Q89" s="1150">
        <v>1837600645</v>
      </c>
      <c r="R89" s="1150" t="s">
        <v>151</v>
      </c>
      <c r="S89" s="1142">
        <v>1.2167533333333331</v>
      </c>
      <c r="T89" s="1143" t="s">
        <v>140</v>
      </c>
      <c r="U89" s="1144">
        <v>2331.4443333333334</v>
      </c>
      <c r="V89" s="1141">
        <v>1837600645</v>
      </c>
      <c r="W89" s="1145">
        <v>3698</v>
      </c>
      <c r="X89" s="1145">
        <v>2774</v>
      </c>
      <c r="Y89" s="1596"/>
      <c r="Z89" s="1596"/>
      <c r="AA89" s="1597"/>
    </row>
    <row r="90" spans="1:27" s="417" customFormat="1" ht="100.5" thickBot="1">
      <c r="A90" s="1226" t="s">
        <v>1137</v>
      </c>
      <c r="B90" s="1133" t="s">
        <v>1147</v>
      </c>
      <c r="C90" s="388" t="s">
        <v>1148</v>
      </c>
      <c r="D90" s="1135" t="s">
        <v>22</v>
      </c>
      <c r="E90" s="1135" t="s">
        <v>22</v>
      </c>
      <c r="F90" s="1135" t="s">
        <v>22</v>
      </c>
      <c r="G90" s="1135" t="s">
        <v>22</v>
      </c>
      <c r="H90" s="992" t="s">
        <v>1143</v>
      </c>
      <c r="I90" s="375" t="s">
        <v>1541</v>
      </c>
      <c r="J90" s="1263">
        <v>0.5</v>
      </c>
      <c r="K90" s="1264" t="s">
        <v>22</v>
      </c>
      <c r="L90" s="1128">
        <v>40099</v>
      </c>
      <c r="M90" s="1128">
        <v>40558</v>
      </c>
      <c r="N90" s="1135" t="s">
        <v>22</v>
      </c>
      <c r="O90" s="1149">
        <v>2011</v>
      </c>
      <c r="P90" s="1141">
        <v>535600</v>
      </c>
      <c r="Q90" s="1150">
        <v>4318631155</v>
      </c>
      <c r="R90" s="1150" t="s">
        <v>151</v>
      </c>
      <c r="S90" s="1142">
        <v>1.2167533333333331</v>
      </c>
      <c r="T90" s="1143" t="s">
        <v>140</v>
      </c>
      <c r="U90" s="1144">
        <v>2331.4443333333334</v>
      </c>
      <c r="V90" s="1141">
        <v>4318631155</v>
      </c>
      <c r="W90" s="1145">
        <v>8063</v>
      </c>
      <c r="X90" s="1145">
        <v>4032</v>
      </c>
      <c r="Y90" s="1596"/>
      <c r="Z90" s="1596"/>
      <c r="AA90" s="1597"/>
    </row>
    <row r="91" spans="1:27" s="417" customFormat="1" ht="71.25">
      <c r="A91" s="1212" t="s">
        <v>1151</v>
      </c>
      <c r="B91" s="1213" t="s">
        <v>1152</v>
      </c>
      <c r="C91" s="419" t="s">
        <v>1153</v>
      </c>
      <c r="D91" s="1214" t="s">
        <v>22</v>
      </c>
      <c r="E91" s="1214" t="s">
        <v>22</v>
      </c>
      <c r="F91" s="1214" t="s">
        <v>22</v>
      </c>
      <c r="G91" s="1214" t="s">
        <v>22</v>
      </c>
      <c r="H91" s="1215" t="s">
        <v>522</v>
      </c>
      <c r="I91" s="1216" t="s">
        <v>524</v>
      </c>
      <c r="J91" s="1265">
        <v>1</v>
      </c>
      <c r="K91" s="1214" t="s">
        <v>22</v>
      </c>
      <c r="L91" s="1218">
        <v>38807</v>
      </c>
      <c r="M91" s="1218">
        <v>39813</v>
      </c>
      <c r="N91" s="1214" t="s">
        <v>22</v>
      </c>
      <c r="O91" s="1219">
        <v>2008</v>
      </c>
      <c r="P91" s="1220">
        <v>461500</v>
      </c>
      <c r="Q91" s="1221">
        <v>47481903.439999998</v>
      </c>
      <c r="R91" s="1220" t="s">
        <v>525</v>
      </c>
      <c r="S91" s="1222">
        <v>1.2167533333333331</v>
      </c>
      <c r="T91" s="1223">
        <v>57773764.283631451</v>
      </c>
      <c r="U91" s="1224">
        <v>2331.4443333333334</v>
      </c>
      <c r="V91" s="1220">
        <v>134696315354.40828</v>
      </c>
      <c r="W91" s="1225">
        <v>291866</v>
      </c>
      <c r="X91" s="1225">
        <v>291866</v>
      </c>
      <c r="Y91" s="1598" t="s">
        <v>22</v>
      </c>
      <c r="Z91" s="1598" t="s">
        <v>22</v>
      </c>
      <c r="AA91" s="1600" t="s">
        <v>129</v>
      </c>
    </row>
    <row r="92" spans="1:27" s="417" customFormat="1" ht="57">
      <c r="A92" s="1226" t="s">
        <v>1151</v>
      </c>
      <c r="B92" s="1133" t="s">
        <v>1152</v>
      </c>
      <c r="C92" s="388" t="s">
        <v>1153</v>
      </c>
      <c r="D92" s="1135" t="s">
        <v>22</v>
      </c>
      <c r="E92" s="1135" t="s">
        <v>22</v>
      </c>
      <c r="F92" s="1135" t="s">
        <v>22</v>
      </c>
      <c r="G92" s="1135" t="s">
        <v>22</v>
      </c>
      <c r="H92" s="992" t="s">
        <v>763</v>
      </c>
      <c r="I92" s="375" t="s">
        <v>764</v>
      </c>
      <c r="J92" s="1263">
        <v>1</v>
      </c>
      <c r="K92" s="1264" t="s">
        <v>22</v>
      </c>
      <c r="L92" s="1128">
        <v>39692</v>
      </c>
      <c r="M92" s="1128">
        <v>40724</v>
      </c>
      <c r="N92" s="1135" t="s">
        <v>22</v>
      </c>
      <c r="O92" s="1149">
        <v>2011</v>
      </c>
      <c r="P92" s="1141">
        <v>535600</v>
      </c>
      <c r="Q92" s="1168">
        <v>38398960</v>
      </c>
      <c r="R92" s="1141" t="s">
        <v>525</v>
      </c>
      <c r="S92" s="1142">
        <v>1.2167533333333331</v>
      </c>
      <c r="T92" s="1143">
        <v>46722062.576533325</v>
      </c>
      <c r="U92" s="1144">
        <v>2331.4443333333334</v>
      </c>
      <c r="V92" s="1141">
        <v>108929888035.70403</v>
      </c>
      <c r="W92" s="1145">
        <v>203379</v>
      </c>
      <c r="X92" s="1145">
        <v>203379</v>
      </c>
      <c r="Y92" s="1596"/>
      <c r="Z92" s="1596"/>
      <c r="AA92" s="1597"/>
    </row>
    <row r="93" spans="1:27" s="417" customFormat="1" ht="57">
      <c r="A93" s="1226" t="s">
        <v>1151</v>
      </c>
      <c r="B93" s="1133" t="s">
        <v>1152</v>
      </c>
      <c r="C93" s="388" t="s">
        <v>1153</v>
      </c>
      <c r="D93" s="1135" t="s">
        <v>22</v>
      </c>
      <c r="E93" s="1135" t="s">
        <v>22</v>
      </c>
      <c r="F93" s="1135" t="s">
        <v>22</v>
      </c>
      <c r="G93" s="1135" t="s">
        <v>22</v>
      </c>
      <c r="H93" s="992" t="s">
        <v>517</v>
      </c>
      <c r="I93" s="375" t="s">
        <v>766</v>
      </c>
      <c r="J93" s="1267">
        <v>0.75</v>
      </c>
      <c r="K93" s="1264" t="s">
        <v>22</v>
      </c>
      <c r="L93" s="1128">
        <v>37790</v>
      </c>
      <c r="M93" s="1128">
        <v>38612</v>
      </c>
      <c r="N93" s="1135" t="s">
        <v>22</v>
      </c>
      <c r="O93" s="1149">
        <v>2005</v>
      </c>
      <c r="P93" s="1141">
        <v>381500</v>
      </c>
      <c r="Q93" s="1150">
        <v>2363195725</v>
      </c>
      <c r="R93" s="1141" t="s">
        <v>151</v>
      </c>
      <c r="S93" s="1142">
        <v>1.2167533333333331</v>
      </c>
      <c r="T93" s="1143" t="s">
        <v>140</v>
      </c>
      <c r="U93" s="1144">
        <v>2331.4443333333334</v>
      </c>
      <c r="V93" s="1141">
        <v>2363195725</v>
      </c>
      <c r="W93" s="1145">
        <v>6194</v>
      </c>
      <c r="X93" s="1145">
        <v>4646</v>
      </c>
      <c r="Y93" s="1596"/>
      <c r="Z93" s="1596"/>
      <c r="AA93" s="1597"/>
    </row>
    <row r="94" spans="1:27" s="417" customFormat="1" ht="72" thickBot="1">
      <c r="A94" s="1228" t="s">
        <v>1151</v>
      </c>
      <c r="B94" s="1229" t="s">
        <v>1152</v>
      </c>
      <c r="C94" s="420" t="s">
        <v>1153</v>
      </c>
      <c r="D94" s="1230" t="s">
        <v>22</v>
      </c>
      <c r="E94" s="1230" t="s">
        <v>22</v>
      </c>
      <c r="F94" s="1230" t="s">
        <v>22</v>
      </c>
      <c r="G94" s="1230" t="s">
        <v>22</v>
      </c>
      <c r="H94" s="1231" t="s">
        <v>517</v>
      </c>
      <c r="I94" s="1232" t="s">
        <v>521</v>
      </c>
      <c r="J94" s="1268">
        <v>0.3</v>
      </c>
      <c r="K94" s="1260" t="s">
        <v>22</v>
      </c>
      <c r="L94" s="1246">
        <v>37229</v>
      </c>
      <c r="M94" s="1246">
        <v>40168</v>
      </c>
      <c r="N94" s="1230" t="s">
        <v>22</v>
      </c>
      <c r="O94" s="1237">
        <v>2009</v>
      </c>
      <c r="P94" s="1238">
        <v>496900</v>
      </c>
      <c r="Q94" s="1240">
        <v>30738115975</v>
      </c>
      <c r="R94" s="1240" t="s">
        <v>151</v>
      </c>
      <c r="S94" s="1241">
        <v>1.2167533333333331</v>
      </c>
      <c r="T94" s="1242" t="s">
        <v>140</v>
      </c>
      <c r="U94" s="1243">
        <v>2331.4443333333334</v>
      </c>
      <c r="V94" s="1238">
        <v>30738115975</v>
      </c>
      <c r="W94" s="1244">
        <v>61860</v>
      </c>
      <c r="X94" s="1244">
        <v>18558</v>
      </c>
      <c r="Y94" s="1599"/>
      <c r="Z94" s="1599"/>
      <c r="AA94" s="1601"/>
    </row>
    <row r="95" spans="1:27" s="417" customFormat="1" ht="85.5">
      <c r="A95" s="1226" t="s">
        <v>1157</v>
      </c>
      <c r="B95" s="1133" t="s">
        <v>1158</v>
      </c>
      <c r="C95" s="388" t="s">
        <v>1159</v>
      </c>
      <c r="D95" s="1135" t="s">
        <v>22</v>
      </c>
      <c r="E95" s="1135" t="s">
        <v>22</v>
      </c>
      <c r="F95" s="1135" t="s">
        <v>22</v>
      </c>
      <c r="G95" s="1135" t="s">
        <v>22</v>
      </c>
      <c r="H95" s="992" t="s">
        <v>448</v>
      </c>
      <c r="I95" s="375" t="s">
        <v>1160</v>
      </c>
      <c r="J95" s="1263">
        <v>0.6</v>
      </c>
      <c r="K95" s="1264" t="s">
        <v>22</v>
      </c>
      <c r="L95" s="1271">
        <v>39860</v>
      </c>
      <c r="M95" s="1245">
        <v>41260</v>
      </c>
      <c r="N95" s="1135" t="s">
        <v>22</v>
      </c>
      <c r="O95" s="1149">
        <v>2012</v>
      </c>
      <c r="P95" s="1141">
        <v>566700</v>
      </c>
      <c r="Q95" s="1150">
        <v>8865205964</v>
      </c>
      <c r="R95" s="1150" t="s">
        <v>151</v>
      </c>
      <c r="S95" s="1142">
        <v>1.2167533333333331</v>
      </c>
      <c r="T95" s="1143" t="s">
        <v>140</v>
      </c>
      <c r="U95" s="1144">
        <v>2331.4443333333334</v>
      </c>
      <c r="V95" s="1141">
        <v>8865205964</v>
      </c>
      <c r="W95" s="1145">
        <v>15644</v>
      </c>
      <c r="X95" s="1145">
        <v>9386</v>
      </c>
      <c r="Y95" s="1596" t="s">
        <v>22</v>
      </c>
      <c r="Z95" s="1596" t="s">
        <v>22</v>
      </c>
      <c r="AA95" s="1597" t="s">
        <v>129</v>
      </c>
    </row>
    <row r="96" spans="1:27" s="417" customFormat="1" ht="85.5">
      <c r="A96" s="1226" t="s">
        <v>1157</v>
      </c>
      <c r="B96" s="1133" t="s">
        <v>1158</v>
      </c>
      <c r="C96" s="388" t="s">
        <v>1159</v>
      </c>
      <c r="D96" s="1135" t="s">
        <v>22</v>
      </c>
      <c r="E96" s="1135" t="s">
        <v>22</v>
      </c>
      <c r="F96" s="1135" t="s">
        <v>22</v>
      </c>
      <c r="G96" s="1135" t="s">
        <v>22</v>
      </c>
      <c r="H96" s="992" t="s">
        <v>433</v>
      </c>
      <c r="I96" s="375" t="s">
        <v>1161</v>
      </c>
      <c r="J96" s="1263">
        <v>0.7</v>
      </c>
      <c r="K96" s="1264" t="s">
        <v>22</v>
      </c>
      <c r="L96" s="1271">
        <v>41404</v>
      </c>
      <c r="M96" s="1245">
        <v>42137</v>
      </c>
      <c r="N96" s="1135" t="s">
        <v>22</v>
      </c>
      <c r="O96" s="1149">
        <v>2015</v>
      </c>
      <c r="P96" s="1141">
        <v>644350</v>
      </c>
      <c r="Q96" s="1150">
        <v>5284171200</v>
      </c>
      <c r="R96" s="1150" t="s">
        <v>151</v>
      </c>
      <c r="S96" s="1142">
        <v>1.2167533333333331</v>
      </c>
      <c r="T96" s="1143" t="s">
        <v>140</v>
      </c>
      <c r="U96" s="1144">
        <v>2331.4443333333334</v>
      </c>
      <c r="V96" s="1141">
        <v>5284171200</v>
      </c>
      <c r="W96" s="1145">
        <v>8201</v>
      </c>
      <c r="X96" s="1145">
        <v>5741</v>
      </c>
      <c r="Y96" s="1596"/>
      <c r="Z96" s="1596"/>
      <c r="AA96" s="1597"/>
    </row>
    <row r="97" spans="1:27" s="417" customFormat="1" ht="71.25">
      <c r="A97" s="1226" t="s">
        <v>1157</v>
      </c>
      <c r="B97" s="1133" t="s">
        <v>1162</v>
      </c>
      <c r="C97" s="1135" t="s">
        <v>1163</v>
      </c>
      <c r="D97" s="1135" t="s">
        <v>22</v>
      </c>
      <c r="E97" s="1135" t="s">
        <v>22</v>
      </c>
      <c r="F97" s="1135" t="s">
        <v>22</v>
      </c>
      <c r="G97" s="1135" t="s">
        <v>22</v>
      </c>
      <c r="H97" s="992" t="s">
        <v>281</v>
      </c>
      <c r="I97" s="375" t="s">
        <v>1542</v>
      </c>
      <c r="J97" s="1263">
        <v>0.1</v>
      </c>
      <c r="K97" s="1264" t="s">
        <v>22</v>
      </c>
      <c r="L97" s="1271">
        <v>37229</v>
      </c>
      <c r="M97" s="1245">
        <v>40168</v>
      </c>
      <c r="N97" s="1135" t="s">
        <v>22</v>
      </c>
      <c r="O97" s="1149">
        <v>2009</v>
      </c>
      <c r="P97" s="1141">
        <v>496900</v>
      </c>
      <c r="Q97" s="1150">
        <v>30754650877.91</v>
      </c>
      <c r="R97" s="1150" t="s">
        <v>151</v>
      </c>
      <c r="S97" s="1142">
        <v>1.2167533333333331</v>
      </c>
      <c r="T97" s="1143" t="s">
        <v>140</v>
      </c>
      <c r="U97" s="1144">
        <v>2331.4443333333334</v>
      </c>
      <c r="V97" s="1141">
        <v>30754650877.91</v>
      </c>
      <c r="W97" s="1145">
        <v>61893</v>
      </c>
      <c r="X97" s="1145">
        <v>6189</v>
      </c>
      <c r="Y97" s="1596"/>
      <c r="Z97" s="1596"/>
      <c r="AA97" s="1597"/>
    </row>
    <row r="98" spans="1:27" s="417" customFormat="1" ht="86.25" thickBot="1">
      <c r="A98" s="1226" t="s">
        <v>1157</v>
      </c>
      <c r="B98" s="1133" t="s">
        <v>1166</v>
      </c>
      <c r="C98" s="388" t="s">
        <v>1167</v>
      </c>
      <c r="D98" s="1135" t="s">
        <v>22</v>
      </c>
      <c r="E98" s="1135" t="s">
        <v>22</v>
      </c>
      <c r="F98" s="1135" t="s">
        <v>22</v>
      </c>
      <c r="G98" s="1135" t="s">
        <v>22</v>
      </c>
      <c r="H98" s="992" t="s">
        <v>207</v>
      </c>
      <c r="I98" s="375" t="s">
        <v>1168</v>
      </c>
      <c r="J98" s="1263">
        <v>0.5</v>
      </c>
      <c r="K98" s="1264" t="s">
        <v>22</v>
      </c>
      <c r="L98" s="1128">
        <v>39862</v>
      </c>
      <c r="M98" s="1128">
        <v>40878</v>
      </c>
      <c r="N98" s="1135" t="s">
        <v>22</v>
      </c>
      <c r="O98" s="1149">
        <v>2011</v>
      </c>
      <c r="P98" s="1141">
        <v>535600</v>
      </c>
      <c r="Q98" s="1150">
        <v>8675772032</v>
      </c>
      <c r="R98" s="1150" t="s">
        <v>151</v>
      </c>
      <c r="S98" s="1142">
        <v>1.2167533333333331</v>
      </c>
      <c r="T98" s="1143" t="s">
        <v>140</v>
      </c>
      <c r="U98" s="1144">
        <v>2331.4443333333334</v>
      </c>
      <c r="V98" s="1141">
        <v>8675772032</v>
      </c>
      <c r="W98" s="1145">
        <v>16198</v>
      </c>
      <c r="X98" s="1145">
        <v>8099</v>
      </c>
      <c r="Y98" s="1596"/>
      <c r="Z98" s="1596"/>
      <c r="AA98" s="1597"/>
    </row>
    <row r="99" spans="1:27" s="417" customFormat="1" ht="85.5">
      <c r="A99" s="1212" t="s">
        <v>1169</v>
      </c>
      <c r="B99" s="1213" t="s">
        <v>1176</v>
      </c>
      <c r="C99" s="1214" t="s">
        <v>1177</v>
      </c>
      <c r="D99" s="1214" t="s">
        <v>22</v>
      </c>
      <c r="E99" s="1214" t="s">
        <v>22</v>
      </c>
      <c r="F99" s="1214" t="s">
        <v>22</v>
      </c>
      <c r="G99" s="1214" t="s">
        <v>22</v>
      </c>
      <c r="H99" s="1215" t="s">
        <v>1477</v>
      </c>
      <c r="I99" s="1216" t="s">
        <v>1543</v>
      </c>
      <c r="J99" s="1269">
        <v>0.2</v>
      </c>
      <c r="K99" s="1270" t="s">
        <v>22</v>
      </c>
      <c r="L99" s="1218">
        <v>40079</v>
      </c>
      <c r="M99" s="1218">
        <v>42094</v>
      </c>
      <c r="N99" s="1214" t="s">
        <v>22</v>
      </c>
      <c r="O99" s="1251">
        <v>2015</v>
      </c>
      <c r="P99" s="1220">
        <v>644350</v>
      </c>
      <c r="Q99" s="1247">
        <v>14008976863</v>
      </c>
      <c r="R99" s="1247" t="s">
        <v>151</v>
      </c>
      <c r="S99" s="1222">
        <v>1.2167533333333331</v>
      </c>
      <c r="T99" s="1223" t="s">
        <v>140</v>
      </c>
      <c r="U99" s="1224">
        <v>2331.4443333333334</v>
      </c>
      <c r="V99" s="1220">
        <v>14008976863</v>
      </c>
      <c r="W99" s="1225">
        <v>21741</v>
      </c>
      <c r="X99" s="1225">
        <v>4348</v>
      </c>
      <c r="Y99" s="1598" t="s">
        <v>22</v>
      </c>
      <c r="Z99" s="1598" t="s">
        <v>22</v>
      </c>
      <c r="AA99" s="1600" t="s">
        <v>129</v>
      </c>
    </row>
    <row r="100" spans="1:27" s="417" customFormat="1" ht="57">
      <c r="A100" s="1226" t="s">
        <v>1169</v>
      </c>
      <c r="B100" s="1133" t="s">
        <v>1170</v>
      </c>
      <c r="C100" s="388" t="s">
        <v>1171</v>
      </c>
      <c r="D100" s="1135" t="s">
        <v>22</v>
      </c>
      <c r="E100" s="1135" t="s">
        <v>22</v>
      </c>
      <c r="F100" s="1135" t="s">
        <v>22</v>
      </c>
      <c r="G100" s="1135" t="s">
        <v>22</v>
      </c>
      <c r="H100" s="992" t="s">
        <v>1544</v>
      </c>
      <c r="I100" s="375" t="s">
        <v>1545</v>
      </c>
      <c r="J100" s="1263">
        <v>1</v>
      </c>
      <c r="K100" s="1264" t="s">
        <v>22</v>
      </c>
      <c r="L100" s="1128">
        <v>36298</v>
      </c>
      <c r="M100" s="1128">
        <v>37425</v>
      </c>
      <c r="N100" s="1135" t="s">
        <v>22</v>
      </c>
      <c r="O100" s="1149">
        <v>2002</v>
      </c>
      <c r="P100" s="1141">
        <v>309000</v>
      </c>
      <c r="Q100" s="1150">
        <v>3800380053</v>
      </c>
      <c r="R100" s="1150" t="s">
        <v>151</v>
      </c>
      <c r="S100" s="1142">
        <v>1.2167533333333331</v>
      </c>
      <c r="T100" s="1143" t="s">
        <v>140</v>
      </c>
      <c r="U100" s="1144">
        <v>2331.4443333333334</v>
      </c>
      <c r="V100" s="1141">
        <v>3800380053</v>
      </c>
      <c r="W100" s="1145">
        <v>12299</v>
      </c>
      <c r="X100" s="1145">
        <v>12299</v>
      </c>
      <c r="Y100" s="1596"/>
      <c r="Z100" s="1596"/>
      <c r="AA100" s="1597"/>
    </row>
    <row r="101" spans="1:27" s="417" customFormat="1" ht="42.75">
      <c r="A101" s="1226" t="s">
        <v>1169</v>
      </c>
      <c r="B101" s="1133" t="s">
        <v>1170</v>
      </c>
      <c r="C101" s="388" t="s">
        <v>1171</v>
      </c>
      <c r="D101" s="1135" t="s">
        <v>22</v>
      </c>
      <c r="E101" s="1135" t="s">
        <v>22</v>
      </c>
      <c r="F101" s="1135" t="s">
        <v>22</v>
      </c>
      <c r="G101" s="1135" t="s">
        <v>22</v>
      </c>
      <c r="H101" s="992" t="s">
        <v>914</v>
      </c>
      <c r="I101" s="375" t="s">
        <v>1546</v>
      </c>
      <c r="J101" s="1263">
        <v>1</v>
      </c>
      <c r="K101" s="1264" t="s">
        <v>22</v>
      </c>
      <c r="L101" s="1128">
        <v>34358</v>
      </c>
      <c r="M101" s="1128">
        <v>35828</v>
      </c>
      <c r="N101" s="1135" t="s">
        <v>22</v>
      </c>
      <c r="O101" s="1149">
        <v>1998</v>
      </c>
      <c r="P101" s="1141">
        <v>203826</v>
      </c>
      <c r="Q101" s="1150">
        <v>2834448285</v>
      </c>
      <c r="R101" s="1150" t="s">
        <v>151</v>
      </c>
      <c r="S101" s="1142">
        <v>1.2167533333333331</v>
      </c>
      <c r="T101" s="1143" t="s">
        <v>140</v>
      </c>
      <c r="U101" s="1144">
        <v>2331.4443333333334</v>
      </c>
      <c r="V101" s="1141">
        <v>2834448285</v>
      </c>
      <c r="W101" s="1145">
        <v>13906</v>
      </c>
      <c r="X101" s="1145">
        <v>13906</v>
      </c>
      <c r="Y101" s="1596"/>
      <c r="Z101" s="1596"/>
      <c r="AA101" s="1597"/>
    </row>
    <row r="102" spans="1:27" s="417" customFormat="1" ht="72" thickBot="1">
      <c r="A102" s="1228" t="s">
        <v>1169</v>
      </c>
      <c r="B102" s="1229" t="s">
        <v>1170</v>
      </c>
      <c r="C102" s="420" t="s">
        <v>1171</v>
      </c>
      <c r="D102" s="1230" t="s">
        <v>22</v>
      </c>
      <c r="E102" s="1230" t="s">
        <v>22</v>
      </c>
      <c r="F102" s="1230" t="s">
        <v>22</v>
      </c>
      <c r="G102" s="1230" t="s">
        <v>22</v>
      </c>
      <c r="H102" s="1231" t="s">
        <v>155</v>
      </c>
      <c r="I102" s="1232" t="s">
        <v>1547</v>
      </c>
      <c r="J102" s="1268">
        <v>1</v>
      </c>
      <c r="K102" s="1260" t="s">
        <v>22</v>
      </c>
      <c r="L102" s="1246">
        <v>33161</v>
      </c>
      <c r="M102" s="1246">
        <v>35550</v>
      </c>
      <c r="N102" s="1230" t="s">
        <v>22</v>
      </c>
      <c r="O102" s="1237">
        <v>1997</v>
      </c>
      <c r="P102" s="1238">
        <v>172005</v>
      </c>
      <c r="Q102" s="1240">
        <v>1546808187</v>
      </c>
      <c r="R102" s="1240" t="s">
        <v>151</v>
      </c>
      <c r="S102" s="1241">
        <v>1.2167533333333331</v>
      </c>
      <c r="T102" s="1242" t="s">
        <v>140</v>
      </c>
      <c r="U102" s="1243">
        <v>2331.4443333333334</v>
      </c>
      <c r="V102" s="1238">
        <v>1546808187</v>
      </c>
      <c r="W102" s="1244">
        <v>8993</v>
      </c>
      <c r="X102" s="1244">
        <v>8993</v>
      </c>
      <c r="Y102" s="1599"/>
      <c r="Z102" s="1599"/>
      <c r="AA102" s="1601"/>
    </row>
    <row r="103" spans="1:27" s="417" customFormat="1" ht="85.5">
      <c r="A103" s="1226" t="s">
        <v>1180</v>
      </c>
      <c r="B103" s="1133" t="s">
        <v>1182</v>
      </c>
      <c r="C103" s="1136" t="s">
        <v>1183</v>
      </c>
      <c r="D103" s="1135" t="s">
        <v>22</v>
      </c>
      <c r="E103" s="1135" t="s">
        <v>22</v>
      </c>
      <c r="F103" s="1135" t="s">
        <v>22</v>
      </c>
      <c r="G103" s="1135" t="s">
        <v>22</v>
      </c>
      <c r="H103" s="992" t="s">
        <v>1548</v>
      </c>
      <c r="I103" s="375" t="s">
        <v>1549</v>
      </c>
      <c r="J103" s="1263">
        <v>0.55000000000000004</v>
      </c>
      <c r="K103" s="1264" t="s">
        <v>22</v>
      </c>
      <c r="L103" s="1128">
        <v>34338</v>
      </c>
      <c r="M103" s="1128">
        <v>36305</v>
      </c>
      <c r="N103" s="1135" t="s">
        <v>22</v>
      </c>
      <c r="O103" s="1149">
        <v>1999</v>
      </c>
      <c r="P103" s="1141">
        <v>236460</v>
      </c>
      <c r="Q103" s="1150">
        <v>4644921688</v>
      </c>
      <c r="R103" s="1150" t="s">
        <v>151</v>
      </c>
      <c r="S103" s="1142">
        <v>1.2167533333333331</v>
      </c>
      <c r="T103" s="1143" t="s">
        <v>140</v>
      </c>
      <c r="U103" s="1144">
        <v>2331.4443333333334</v>
      </c>
      <c r="V103" s="1141">
        <v>4644921688</v>
      </c>
      <c r="W103" s="1145">
        <v>19644</v>
      </c>
      <c r="X103" s="1145">
        <v>10804</v>
      </c>
      <c r="Y103" s="1596" t="s">
        <v>22</v>
      </c>
      <c r="Z103" s="1596" t="s">
        <v>22</v>
      </c>
      <c r="AA103" s="1597" t="s">
        <v>129</v>
      </c>
    </row>
    <row r="104" spans="1:27" s="417" customFormat="1" ht="57">
      <c r="A104" s="1226" t="s">
        <v>1180</v>
      </c>
      <c r="B104" s="1133" t="s">
        <v>1181</v>
      </c>
      <c r="C104" s="1136" t="s">
        <v>402</v>
      </c>
      <c r="D104" s="1135" t="s">
        <v>22</v>
      </c>
      <c r="E104" s="1135" t="s">
        <v>22</v>
      </c>
      <c r="F104" s="1135" t="s">
        <v>22</v>
      </c>
      <c r="G104" s="1135" t="s">
        <v>22</v>
      </c>
      <c r="H104" s="992" t="s">
        <v>214</v>
      </c>
      <c r="I104" s="375" t="s">
        <v>1550</v>
      </c>
      <c r="J104" s="1263">
        <v>1</v>
      </c>
      <c r="K104" s="1264" t="s">
        <v>22</v>
      </c>
      <c r="L104" s="1128">
        <v>38296</v>
      </c>
      <c r="M104" s="1128">
        <v>39360</v>
      </c>
      <c r="N104" s="1135" t="s">
        <v>22</v>
      </c>
      <c r="O104" s="1149">
        <v>2007</v>
      </c>
      <c r="P104" s="1141">
        <v>433700</v>
      </c>
      <c r="Q104" s="1150">
        <v>1248500.53</v>
      </c>
      <c r="R104" s="1150" t="s">
        <v>142</v>
      </c>
      <c r="S104" s="1142">
        <v>1.2167533333333331</v>
      </c>
      <c r="T104" s="1143">
        <v>1519117.181545933</v>
      </c>
      <c r="U104" s="1144">
        <v>2331.4443333333334</v>
      </c>
      <c r="V104" s="1141">
        <v>3541737144.5845699</v>
      </c>
      <c r="W104" s="1145">
        <v>8166</v>
      </c>
      <c r="X104" s="1145">
        <v>8166</v>
      </c>
      <c r="Y104" s="1596"/>
      <c r="Z104" s="1596"/>
      <c r="AA104" s="1597"/>
    </row>
    <row r="105" spans="1:27" s="417" customFormat="1" ht="57">
      <c r="A105" s="1226" t="s">
        <v>1180</v>
      </c>
      <c r="B105" s="1133" t="s">
        <v>1181</v>
      </c>
      <c r="C105" s="1136" t="s">
        <v>402</v>
      </c>
      <c r="D105" s="1135" t="s">
        <v>22</v>
      </c>
      <c r="E105" s="1135" t="s">
        <v>22</v>
      </c>
      <c r="F105" s="1135" t="s">
        <v>22</v>
      </c>
      <c r="G105" s="1135" t="s">
        <v>22</v>
      </c>
      <c r="H105" s="992" t="s">
        <v>214</v>
      </c>
      <c r="I105" s="375" t="s">
        <v>1551</v>
      </c>
      <c r="J105" s="1263">
        <v>1</v>
      </c>
      <c r="K105" s="1264" t="s">
        <v>22</v>
      </c>
      <c r="L105" s="1128">
        <v>38661</v>
      </c>
      <c r="M105" s="1128">
        <v>40122</v>
      </c>
      <c r="N105" s="1135" t="s">
        <v>22</v>
      </c>
      <c r="O105" s="1149">
        <v>2009</v>
      </c>
      <c r="P105" s="1141">
        <v>496900</v>
      </c>
      <c r="Q105" s="1150">
        <v>949157.05</v>
      </c>
      <c r="R105" s="1150" t="s">
        <v>142</v>
      </c>
      <c r="S105" s="1142">
        <v>1.2167533333333331</v>
      </c>
      <c r="T105" s="1143">
        <v>1154890.0044443333</v>
      </c>
      <c r="U105" s="1144">
        <v>2331.4443333333334</v>
      </c>
      <c r="V105" s="1141">
        <v>2692561756.4850488</v>
      </c>
      <c r="W105" s="1145">
        <v>5419</v>
      </c>
      <c r="X105" s="1145">
        <v>5419</v>
      </c>
      <c r="Y105" s="1596"/>
      <c r="Z105" s="1596"/>
      <c r="AA105" s="1597"/>
    </row>
    <row r="106" spans="1:27" s="417" customFormat="1" ht="72" thickBot="1">
      <c r="A106" s="1226" t="s">
        <v>1180</v>
      </c>
      <c r="B106" s="1133" t="s">
        <v>1184</v>
      </c>
      <c r="C106" s="1136" t="s">
        <v>1185</v>
      </c>
      <c r="D106" s="1135" t="s">
        <v>22</v>
      </c>
      <c r="E106" s="1135" t="s">
        <v>22</v>
      </c>
      <c r="F106" s="1135" t="s">
        <v>22</v>
      </c>
      <c r="G106" s="1135" t="s">
        <v>22</v>
      </c>
      <c r="H106" s="992" t="s">
        <v>1477</v>
      </c>
      <c r="I106" s="375" t="s">
        <v>1552</v>
      </c>
      <c r="J106" s="1263">
        <v>0.6</v>
      </c>
      <c r="K106" s="1264" t="s">
        <v>22</v>
      </c>
      <c r="L106" s="1128">
        <v>40064</v>
      </c>
      <c r="M106" s="1128">
        <v>41999</v>
      </c>
      <c r="N106" s="1135" t="s">
        <v>22</v>
      </c>
      <c r="O106" s="1149">
        <v>2014</v>
      </c>
      <c r="P106" s="1141">
        <v>616000</v>
      </c>
      <c r="Q106" s="1150">
        <v>8501000000</v>
      </c>
      <c r="R106" s="1150" t="s">
        <v>151</v>
      </c>
      <c r="S106" s="1142">
        <v>1.2167533333333331</v>
      </c>
      <c r="T106" s="1143" t="s">
        <v>140</v>
      </c>
      <c r="U106" s="1144">
        <v>2331.4443333333334</v>
      </c>
      <c r="V106" s="1141">
        <v>8501000000</v>
      </c>
      <c r="W106" s="1145">
        <v>13800</v>
      </c>
      <c r="X106" s="1145">
        <v>8280</v>
      </c>
      <c r="Y106" s="1596"/>
      <c r="Z106" s="1596"/>
      <c r="AA106" s="1597"/>
    </row>
    <row r="107" spans="1:27" s="417" customFormat="1" ht="278.10000000000002" customHeight="1">
      <c r="A107" s="1272" t="s">
        <v>1189</v>
      </c>
      <c r="B107" s="1273" t="s">
        <v>1190</v>
      </c>
      <c r="C107" s="1274" t="s">
        <v>1191</v>
      </c>
      <c r="D107" s="1214" t="s">
        <v>22</v>
      </c>
      <c r="E107" s="1214" t="s">
        <v>22</v>
      </c>
      <c r="F107" s="1214" t="s">
        <v>22</v>
      </c>
      <c r="G107" s="1214" t="s">
        <v>22</v>
      </c>
      <c r="H107" s="1215" t="s">
        <v>517</v>
      </c>
      <c r="I107" s="1216" t="s">
        <v>1553</v>
      </c>
      <c r="J107" s="1269">
        <v>0.7</v>
      </c>
      <c r="K107" s="1270" t="s">
        <v>22</v>
      </c>
      <c r="L107" s="1218">
        <v>39933</v>
      </c>
      <c r="M107" s="1218">
        <v>41029</v>
      </c>
      <c r="N107" s="1214" t="s">
        <v>22</v>
      </c>
      <c r="O107" s="1251">
        <v>2012</v>
      </c>
      <c r="P107" s="1220">
        <v>566700</v>
      </c>
      <c r="Q107" s="1247">
        <v>9410306932</v>
      </c>
      <c r="R107" s="1247" t="s">
        <v>151</v>
      </c>
      <c r="S107" s="1222">
        <v>1.2167533333333331</v>
      </c>
      <c r="T107" s="1223" t="s">
        <v>140</v>
      </c>
      <c r="U107" s="1224">
        <v>2331.4443333333334</v>
      </c>
      <c r="V107" s="1220">
        <v>9410306932</v>
      </c>
      <c r="W107" s="1225">
        <v>16605</v>
      </c>
      <c r="X107" s="1225">
        <v>11624</v>
      </c>
      <c r="Y107" s="1598" t="s">
        <v>22</v>
      </c>
      <c r="Z107" s="1598" t="s">
        <v>22</v>
      </c>
      <c r="AA107" s="1600" t="s">
        <v>129</v>
      </c>
    </row>
    <row r="108" spans="1:27" s="417" customFormat="1" ht="85.5">
      <c r="A108" s="1258" t="s">
        <v>1189</v>
      </c>
      <c r="B108" s="1171" t="s">
        <v>1190</v>
      </c>
      <c r="C108" s="1172" t="s">
        <v>1191</v>
      </c>
      <c r="D108" s="1135" t="s">
        <v>22</v>
      </c>
      <c r="E108" s="1135" t="s">
        <v>22</v>
      </c>
      <c r="F108" s="1135" t="s">
        <v>22</v>
      </c>
      <c r="G108" s="1135" t="s">
        <v>22</v>
      </c>
      <c r="H108" s="992" t="s">
        <v>442</v>
      </c>
      <c r="I108" s="375" t="s">
        <v>1554</v>
      </c>
      <c r="J108" s="1263">
        <v>0.5</v>
      </c>
      <c r="K108" s="1264" t="s">
        <v>22</v>
      </c>
      <c r="L108" s="1128">
        <v>35457</v>
      </c>
      <c r="M108" s="1128">
        <v>37126</v>
      </c>
      <c r="N108" s="1135" t="s">
        <v>22</v>
      </c>
      <c r="O108" s="1149">
        <v>2001</v>
      </c>
      <c r="P108" s="1141">
        <v>286000</v>
      </c>
      <c r="Q108" s="1150">
        <v>5240267062</v>
      </c>
      <c r="R108" s="1150" t="s">
        <v>151</v>
      </c>
      <c r="S108" s="1142">
        <v>1.2167533333333331</v>
      </c>
      <c r="T108" s="1143" t="s">
        <v>140</v>
      </c>
      <c r="U108" s="1144">
        <v>2331.4443333333334</v>
      </c>
      <c r="V108" s="1141">
        <v>5240267062</v>
      </c>
      <c r="W108" s="1145">
        <v>18323</v>
      </c>
      <c r="X108" s="1145">
        <v>9162</v>
      </c>
      <c r="Y108" s="1596"/>
      <c r="Z108" s="1596"/>
      <c r="AA108" s="1597"/>
    </row>
    <row r="109" spans="1:27" s="417" customFormat="1" ht="99.75">
      <c r="A109" s="1258" t="s">
        <v>1189</v>
      </c>
      <c r="B109" s="1171" t="s">
        <v>1190</v>
      </c>
      <c r="C109" s="1172" t="s">
        <v>1191</v>
      </c>
      <c r="D109" s="1135" t="s">
        <v>22</v>
      </c>
      <c r="E109" s="1135" t="s">
        <v>22</v>
      </c>
      <c r="F109" s="1135" t="s">
        <v>22</v>
      </c>
      <c r="G109" s="1135" t="s">
        <v>22</v>
      </c>
      <c r="H109" s="992" t="s">
        <v>442</v>
      </c>
      <c r="I109" s="375" t="s">
        <v>1555</v>
      </c>
      <c r="J109" s="1263">
        <v>0.5</v>
      </c>
      <c r="K109" s="1264" t="s">
        <v>22</v>
      </c>
      <c r="L109" s="1128">
        <v>36333</v>
      </c>
      <c r="M109" s="1128">
        <v>38915</v>
      </c>
      <c r="N109" s="1135" t="s">
        <v>22</v>
      </c>
      <c r="O109" s="1149">
        <v>2006</v>
      </c>
      <c r="P109" s="1141">
        <v>408000</v>
      </c>
      <c r="Q109" s="1150">
        <v>19941780178.779999</v>
      </c>
      <c r="R109" s="1150" t="s">
        <v>151</v>
      </c>
      <c r="S109" s="1142">
        <v>1.2167533333333331</v>
      </c>
      <c r="T109" s="1143" t="s">
        <v>140</v>
      </c>
      <c r="U109" s="1144">
        <v>2331.4443333333334</v>
      </c>
      <c r="V109" s="1141">
        <v>19941780178.779999</v>
      </c>
      <c r="W109" s="1145">
        <v>48877</v>
      </c>
      <c r="X109" s="1145">
        <v>24439</v>
      </c>
      <c r="Y109" s="1596"/>
      <c r="Z109" s="1596"/>
      <c r="AA109" s="1597"/>
    </row>
    <row r="110" spans="1:27" s="417" customFormat="1" ht="100.5" thickBot="1">
      <c r="A110" s="1275" t="s">
        <v>1189</v>
      </c>
      <c r="B110" s="1276" t="s">
        <v>1190</v>
      </c>
      <c r="C110" s="1277" t="s">
        <v>1191</v>
      </c>
      <c r="D110" s="1230" t="s">
        <v>22</v>
      </c>
      <c r="E110" s="1230" t="s">
        <v>22</v>
      </c>
      <c r="F110" s="1230" t="s">
        <v>22</v>
      </c>
      <c r="G110" s="1230" t="s">
        <v>22</v>
      </c>
      <c r="H110" s="1231" t="s">
        <v>517</v>
      </c>
      <c r="I110" s="1232" t="s">
        <v>1556</v>
      </c>
      <c r="J110" s="1268">
        <v>0.7</v>
      </c>
      <c r="K110" s="1260" t="s">
        <v>22</v>
      </c>
      <c r="L110" s="1246">
        <v>39822</v>
      </c>
      <c r="M110" s="1246">
        <v>40916</v>
      </c>
      <c r="N110" s="1230" t="s">
        <v>22</v>
      </c>
      <c r="O110" s="1237">
        <v>2012</v>
      </c>
      <c r="P110" s="1238">
        <v>566700</v>
      </c>
      <c r="Q110" s="1240">
        <v>4788790194</v>
      </c>
      <c r="R110" s="1240" t="s">
        <v>151</v>
      </c>
      <c r="S110" s="1241">
        <v>1.2167533333333331</v>
      </c>
      <c r="T110" s="1242" t="s">
        <v>140</v>
      </c>
      <c r="U110" s="1243">
        <v>2331.4443333333334</v>
      </c>
      <c r="V110" s="1238">
        <v>4788790194</v>
      </c>
      <c r="W110" s="1244">
        <v>8450</v>
      </c>
      <c r="X110" s="1244">
        <v>5915</v>
      </c>
      <c r="Y110" s="1599"/>
      <c r="Z110" s="1599"/>
      <c r="AA110" s="1601"/>
    </row>
    <row r="111" spans="1:27" s="417" customFormat="1" ht="57">
      <c r="A111" s="1258" t="s">
        <v>1198</v>
      </c>
      <c r="B111" s="1133" t="s">
        <v>1199</v>
      </c>
      <c r="C111" s="1136" t="s">
        <v>1200</v>
      </c>
      <c r="D111" s="1135" t="s">
        <v>22</v>
      </c>
      <c r="E111" s="1135" t="s">
        <v>22</v>
      </c>
      <c r="F111" s="1135" t="s">
        <v>22</v>
      </c>
      <c r="G111" s="1135" t="s">
        <v>22</v>
      </c>
      <c r="H111" s="992" t="s">
        <v>442</v>
      </c>
      <c r="I111" s="375" t="s">
        <v>1557</v>
      </c>
      <c r="J111" s="1263">
        <v>0.26</v>
      </c>
      <c r="K111" s="1264" t="s">
        <v>22</v>
      </c>
      <c r="L111" s="1128">
        <v>38622</v>
      </c>
      <c r="M111" s="1128">
        <v>39930</v>
      </c>
      <c r="N111" s="1135" t="s">
        <v>22</v>
      </c>
      <c r="O111" s="1149">
        <v>2009</v>
      </c>
      <c r="P111" s="1141">
        <v>496900</v>
      </c>
      <c r="Q111" s="1168">
        <v>7034470356</v>
      </c>
      <c r="R111" s="1141" t="s">
        <v>151</v>
      </c>
      <c r="S111" s="1142">
        <v>1.2167533333333331</v>
      </c>
      <c r="T111" s="1143" t="s">
        <v>140</v>
      </c>
      <c r="U111" s="1144">
        <v>2331.4443333333334</v>
      </c>
      <c r="V111" s="1141">
        <v>7034470356</v>
      </c>
      <c r="W111" s="1145">
        <v>14157</v>
      </c>
      <c r="X111" s="1145">
        <v>3681</v>
      </c>
      <c r="Y111" s="1596" t="s">
        <v>22</v>
      </c>
      <c r="Z111" s="1596" t="s">
        <v>22</v>
      </c>
      <c r="AA111" s="1597" t="s">
        <v>129</v>
      </c>
    </row>
    <row r="112" spans="1:27" s="417" customFormat="1" ht="57">
      <c r="A112" s="1258" t="s">
        <v>1198</v>
      </c>
      <c r="B112" s="1133" t="s">
        <v>1199</v>
      </c>
      <c r="C112" s="1136" t="s">
        <v>1200</v>
      </c>
      <c r="D112" s="1135" t="s">
        <v>22</v>
      </c>
      <c r="E112" s="1135" t="s">
        <v>22</v>
      </c>
      <c r="F112" s="1135" t="s">
        <v>22</v>
      </c>
      <c r="G112" s="1135" t="s">
        <v>22</v>
      </c>
      <c r="H112" s="992" t="s">
        <v>442</v>
      </c>
      <c r="I112" s="375" t="s">
        <v>1558</v>
      </c>
      <c r="J112" s="1263">
        <v>1</v>
      </c>
      <c r="K112" s="1264" t="s">
        <v>22</v>
      </c>
      <c r="L112" s="1128">
        <v>39909</v>
      </c>
      <c r="M112" s="1128">
        <v>41186</v>
      </c>
      <c r="N112" s="1135" t="s">
        <v>22</v>
      </c>
      <c r="O112" s="1149">
        <v>2012</v>
      </c>
      <c r="P112" s="1141">
        <v>566700</v>
      </c>
      <c r="Q112" s="1168">
        <v>10196799946</v>
      </c>
      <c r="R112" s="1141" t="s">
        <v>151</v>
      </c>
      <c r="S112" s="1142">
        <v>1.2167533333333331</v>
      </c>
      <c r="T112" s="1143" t="s">
        <v>140</v>
      </c>
      <c r="U112" s="1144">
        <v>2331.4443333333334</v>
      </c>
      <c r="V112" s="1141">
        <v>10196799946</v>
      </c>
      <c r="W112" s="1145">
        <v>17993</v>
      </c>
      <c r="X112" s="1145">
        <v>17993</v>
      </c>
      <c r="Y112" s="1596"/>
      <c r="Z112" s="1596"/>
      <c r="AA112" s="1597"/>
    </row>
    <row r="113" spans="1:27" s="417" customFormat="1" ht="85.5">
      <c r="A113" s="1258" t="s">
        <v>1198</v>
      </c>
      <c r="B113" s="1133" t="s">
        <v>1203</v>
      </c>
      <c r="C113" s="1136" t="s">
        <v>426</v>
      </c>
      <c r="D113" s="1135" t="s">
        <v>22</v>
      </c>
      <c r="E113" s="1135" t="s">
        <v>22</v>
      </c>
      <c r="F113" s="1135" t="s">
        <v>22</v>
      </c>
      <c r="G113" s="1135" t="s">
        <v>22</v>
      </c>
      <c r="H113" s="375" t="s">
        <v>433</v>
      </c>
      <c r="I113" s="375" t="s">
        <v>435</v>
      </c>
      <c r="J113" s="1263">
        <v>0.5</v>
      </c>
      <c r="K113" s="1264" t="s">
        <v>22</v>
      </c>
      <c r="L113" s="1128">
        <v>37288</v>
      </c>
      <c r="M113" s="1128">
        <v>41779</v>
      </c>
      <c r="N113" s="1135" t="s">
        <v>22</v>
      </c>
      <c r="O113" s="1149">
        <v>2014</v>
      </c>
      <c r="P113" s="1141">
        <v>616000</v>
      </c>
      <c r="Q113" s="1150">
        <v>9405420640</v>
      </c>
      <c r="R113" s="1150" t="s">
        <v>151</v>
      </c>
      <c r="S113" s="1142">
        <v>1.2167533333333331</v>
      </c>
      <c r="T113" s="1143" t="s">
        <v>140</v>
      </c>
      <c r="U113" s="1144">
        <v>2331.4443333333334</v>
      </c>
      <c r="V113" s="1141">
        <v>9405420640</v>
      </c>
      <c r="W113" s="1145">
        <v>15269</v>
      </c>
      <c r="X113" s="1145">
        <v>7635</v>
      </c>
      <c r="Y113" s="1596"/>
      <c r="Z113" s="1596"/>
      <c r="AA113" s="1597"/>
    </row>
    <row r="114" spans="1:27" s="417" customFormat="1" ht="100.5" thickBot="1">
      <c r="A114" s="1258" t="s">
        <v>1198</v>
      </c>
      <c r="B114" s="1133" t="s">
        <v>1203</v>
      </c>
      <c r="C114" s="1136" t="s">
        <v>426</v>
      </c>
      <c r="D114" s="1135" t="s">
        <v>22</v>
      </c>
      <c r="E114" s="1135" t="s">
        <v>22</v>
      </c>
      <c r="F114" s="1135" t="s">
        <v>22</v>
      </c>
      <c r="G114" s="1135" t="s">
        <v>22</v>
      </c>
      <c r="H114" s="375" t="s">
        <v>427</v>
      </c>
      <c r="I114" s="375" t="s">
        <v>429</v>
      </c>
      <c r="J114" s="1263">
        <v>0.245</v>
      </c>
      <c r="K114" s="1264" t="s">
        <v>22</v>
      </c>
      <c r="L114" s="1128">
        <v>40186</v>
      </c>
      <c r="M114" s="1128">
        <v>41913</v>
      </c>
      <c r="N114" s="1135" t="s">
        <v>22</v>
      </c>
      <c r="O114" s="1149">
        <v>2014</v>
      </c>
      <c r="P114" s="1141">
        <v>616000</v>
      </c>
      <c r="Q114" s="1150">
        <v>10970426755</v>
      </c>
      <c r="R114" s="1150" t="s">
        <v>151</v>
      </c>
      <c r="S114" s="1142">
        <v>1.2167533333333331</v>
      </c>
      <c r="T114" s="1143" t="s">
        <v>140</v>
      </c>
      <c r="U114" s="1144">
        <v>2331.4443333333334</v>
      </c>
      <c r="V114" s="1141">
        <v>10970426755</v>
      </c>
      <c r="W114" s="1145">
        <v>17809</v>
      </c>
      <c r="X114" s="1145">
        <v>4363</v>
      </c>
      <c r="Y114" s="1596"/>
      <c r="Z114" s="1596"/>
      <c r="AA114" s="1597"/>
    </row>
    <row r="115" spans="1:27" s="417" customFormat="1" ht="71.25">
      <c r="A115" s="1272" t="s">
        <v>1204</v>
      </c>
      <c r="B115" s="1213" t="s">
        <v>1213</v>
      </c>
      <c r="C115" s="1278" t="s">
        <v>1214</v>
      </c>
      <c r="D115" s="1214" t="s">
        <v>22</v>
      </c>
      <c r="E115" s="1214" t="s">
        <v>22</v>
      </c>
      <c r="F115" s="1214" t="s">
        <v>22</v>
      </c>
      <c r="G115" s="1214" t="s">
        <v>22</v>
      </c>
      <c r="H115" s="1215" t="s">
        <v>1217</v>
      </c>
      <c r="I115" s="1216" t="s">
        <v>1559</v>
      </c>
      <c r="J115" s="1269">
        <v>1</v>
      </c>
      <c r="K115" s="1270" t="s">
        <v>22</v>
      </c>
      <c r="L115" s="1218">
        <v>40444</v>
      </c>
      <c r="M115" s="1218">
        <v>41175</v>
      </c>
      <c r="N115" s="1214" t="s">
        <v>22</v>
      </c>
      <c r="O115" s="1251">
        <v>2012</v>
      </c>
      <c r="P115" s="1220">
        <v>566700</v>
      </c>
      <c r="Q115" s="1247">
        <v>3135000000</v>
      </c>
      <c r="R115" s="1247" t="s">
        <v>151</v>
      </c>
      <c r="S115" s="1222">
        <v>1.2167533333333331</v>
      </c>
      <c r="T115" s="1223" t="s">
        <v>140</v>
      </c>
      <c r="U115" s="1224">
        <v>2331.4443333333334</v>
      </c>
      <c r="V115" s="1220">
        <v>3135000000</v>
      </c>
      <c r="W115" s="1225">
        <v>5532</v>
      </c>
      <c r="X115" s="1225">
        <v>5532</v>
      </c>
      <c r="Y115" s="1598" t="s">
        <v>22</v>
      </c>
      <c r="Z115" s="1598" t="s">
        <v>22</v>
      </c>
      <c r="AA115" s="1600" t="s">
        <v>129</v>
      </c>
    </row>
    <row r="116" spans="1:27" s="417" customFormat="1" ht="85.5">
      <c r="A116" s="1258" t="s">
        <v>1204</v>
      </c>
      <c r="B116" s="1133" t="s">
        <v>1213</v>
      </c>
      <c r="C116" s="1136" t="s">
        <v>1214</v>
      </c>
      <c r="D116" s="1135" t="s">
        <v>22</v>
      </c>
      <c r="E116" s="1135" t="s">
        <v>22</v>
      </c>
      <c r="F116" s="1135" t="s">
        <v>22</v>
      </c>
      <c r="G116" s="1135" t="s">
        <v>22</v>
      </c>
      <c r="H116" s="992" t="s">
        <v>1215</v>
      </c>
      <c r="I116" s="375" t="s">
        <v>1216</v>
      </c>
      <c r="J116" s="1263">
        <v>0.51</v>
      </c>
      <c r="K116" s="1264" t="s">
        <v>22</v>
      </c>
      <c r="L116" s="1128">
        <v>38769</v>
      </c>
      <c r="M116" s="1128">
        <v>39778</v>
      </c>
      <c r="N116" s="1135" t="s">
        <v>22</v>
      </c>
      <c r="O116" s="1149">
        <v>2008</v>
      </c>
      <c r="P116" s="1141">
        <v>461500</v>
      </c>
      <c r="Q116" s="1150">
        <v>3605729418</v>
      </c>
      <c r="R116" s="1150" t="s">
        <v>151</v>
      </c>
      <c r="S116" s="1142">
        <v>1.2167533333333331</v>
      </c>
      <c r="T116" s="1143" t="s">
        <v>140</v>
      </c>
      <c r="U116" s="1144">
        <v>2331.4443333333334</v>
      </c>
      <c r="V116" s="1141">
        <v>3605729418</v>
      </c>
      <c r="W116" s="1145">
        <v>7813</v>
      </c>
      <c r="X116" s="1145">
        <v>3985</v>
      </c>
      <c r="Y116" s="1596"/>
      <c r="Z116" s="1596"/>
      <c r="AA116" s="1597"/>
    </row>
    <row r="117" spans="1:27" s="417" customFormat="1" ht="85.5">
      <c r="A117" s="1258" t="s">
        <v>1204</v>
      </c>
      <c r="B117" s="1133" t="s">
        <v>1205</v>
      </c>
      <c r="C117" s="1136" t="s">
        <v>1206</v>
      </c>
      <c r="D117" s="1135" t="s">
        <v>22</v>
      </c>
      <c r="E117" s="1135" t="s">
        <v>22</v>
      </c>
      <c r="F117" s="1135" t="s">
        <v>22</v>
      </c>
      <c r="G117" s="1135" t="s">
        <v>22</v>
      </c>
      <c r="H117" s="992" t="s">
        <v>1207</v>
      </c>
      <c r="I117" s="375" t="s">
        <v>1208</v>
      </c>
      <c r="J117" s="1263">
        <v>1</v>
      </c>
      <c r="K117" s="1264" t="s">
        <v>22</v>
      </c>
      <c r="L117" s="1128">
        <v>37774</v>
      </c>
      <c r="M117" s="1128">
        <v>38597</v>
      </c>
      <c r="N117" s="1135" t="s">
        <v>22</v>
      </c>
      <c r="O117" s="1149">
        <v>2005</v>
      </c>
      <c r="P117" s="1141">
        <v>381500</v>
      </c>
      <c r="Q117" s="1150">
        <v>1207476.71</v>
      </c>
      <c r="R117" s="1150" t="s">
        <v>142</v>
      </c>
      <c r="S117" s="1142">
        <v>1.2167533333333331</v>
      </c>
      <c r="T117" s="1143">
        <v>1469201.3118148663</v>
      </c>
      <c r="U117" s="1144">
        <v>2331.4443333333334</v>
      </c>
      <c r="V117" s="1141">
        <v>3425361072.9566698</v>
      </c>
      <c r="W117" s="1145">
        <v>8979</v>
      </c>
      <c r="X117" s="1145">
        <v>8979</v>
      </c>
      <c r="Y117" s="1596"/>
      <c r="Z117" s="1596"/>
      <c r="AA117" s="1597"/>
    </row>
    <row r="118" spans="1:27" s="417" customFormat="1" ht="72" thickBot="1">
      <c r="A118" s="1275" t="s">
        <v>1204</v>
      </c>
      <c r="B118" s="1229" t="s">
        <v>1205</v>
      </c>
      <c r="C118" s="1279" t="s">
        <v>1206</v>
      </c>
      <c r="D118" s="1230" t="s">
        <v>22</v>
      </c>
      <c r="E118" s="1230" t="s">
        <v>22</v>
      </c>
      <c r="F118" s="1230" t="s">
        <v>22</v>
      </c>
      <c r="G118" s="1230" t="s">
        <v>22</v>
      </c>
      <c r="H118" s="1231" t="s">
        <v>1207</v>
      </c>
      <c r="I118" s="1232" t="s">
        <v>1209</v>
      </c>
      <c r="J118" s="1268">
        <v>1</v>
      </c>
      <c r="K118" s="1260" t="s">
        <v>22</v>
      </c>
      <c r="L118" s="1246">
        <v>39329</v>
      </c>
      <c r="M118" s="1246">
        <v>40578</v>
      </c>
      <c r="N118" s="1230" t="s">
        <v>22</v>
      </c>
      <c r="O118" s="1237">
        <v>2011</v>
      </c>
      <c r="P118" s="1238">
        <v>535600</v>
      </c>
      <c r="Q118" s="1240">
        <v>1551350.29</v>
      </c>
      <c r="R118" s="1240" t="s">
        <v>142</v>
      </c>
      <c r="S118" s="1241">
        <v>1.2167533333333331</v>
      </c>
      <c r="T118" s="1242">
        <v>1887610.6365251332</v>
      </c>
      <c r="U118" s="1243">
        <v>2331.4443333333334</v>
      </c>
      <c r="V118" s="1238">
        <v>4400859122.0662479</v>
      </c>
      <c r="W118" s="1244">
        <v>8217</v>
      </c>
      <c r="X118" s="1244">
        <v>8217</v>
      </c>
      <c r="Y118" s="1599"/>
      <c r="Z118" s="1599"/>
      <c r="AA118" s="1601"/>
    </row>
    <row r="119" spans="1:27" s="417" customFormat="1" ht="99.75">
      <c r="A119" s="1226" t="s">
        <v>1221</v>
      </c>
      <c r="B119" s="1133" t="s">
        <v>1222</v>
      </c>
      <c r="C119" s="1136" t="s">
        <v>1223</v>
      </c>
      <c r="D119" s="1135" t="s">
        <v>22</v>
      </c>
      <c r="E119" s="1135" t="s">
        <v>22</v>
      </c>
      <c r="F119" s="1135" t="s">
        <v>22</v>
      </c>
      <c r="G119" s="1135" t="s">
        <v>22</v>
      </c>
      <c r="H119" s="992" t="s">
        <v>1560</v>
      </c>
      <c r="I119" s="375" t="s">
        <v>1561</v>
      </c>
      <c r="J119" s="1263">
        <v>1</v>
      </c>
      <c r="K119" s="1264" t="s">
        <v>22</v>
      </c>
      <c r="L119" s="1128">
        <v>38929</v>
      </c>
      <c r="M119" s="1128">
        <v>39553</v>
      </c>
      <c r="N119" s="1135" t="s">
        <v>22</v>
      </c>
      <c r="O119" s="1149">
        <v>2008</v>
      </c>
      <c r="P119" s="1141">
        <v>461500</v>
      </c>
      <c r="Q119" s="1150">
        <v>3010928835</v>
      </c>
      <c r="R119" s="1150" t="s">
        <v>151</v>
      </c>
      <c r="S119" s="1142">
        <v>1.2167533333333331</v>
      </c>
      <c r="T119" s="1143" t="s">
        <v>140</v>
      </c>
      <c r="U119" s="1144">
        <v>2331.4443333333334</v>
      </c>
      <c r="V119" s="1141">
        <v>3010928835</v>
      </c>
      <c r="W119" s="1145">
        <v>6524</v>
      </c>
      <c r="X119" s="1145">
        <v>6524</v>
      </c>
      <c r="Y119" s="1596" t="s">
        <v>22</v>
      </c>
      <c r="Z119" s="1596" t="s">
        <v>22</v>
      </c>
      <c r="AA119" s="1597" t="s">
        <v>129</v>
      </c>
    </row>
    <row r="120" spans="1:27" s="417" customFormat="1" ht="199.5">
      <c r="A120" s="1226" t="s">
        <v>1221</v>
      </c>
      <c r="B120" s="1133" t="s">
        <v>1222</v>
      </c>
      <c r="C120" s="1136" t="s">
        <v>1223</v>
      </c>
      <c r="D120" s="1135" t="s">
        <v>22</v>
      </c>
      <c r="E120" s="1135" t="s">
        <v>22</v>
      </c>
      <c r="F120" s="1135" t="s">
        <v>22</v>
      </c>
      <c r="G120" s="1135" t="s">
        <v>22</v>
      </c>
      <c r="H120" s="992" t="s">
        <v>517</v>
      </c>
      <c r="I120" s="375" t="s">
        <v>1562</v>
      </c>
      <c r="J120" s="1263">
        <v>0.83499999999999996</v>
      </c>
      <c r="K120" s="1264" t="s">
        <v>22</v>
      </c>
      <c r="L120" s="1128">
        <v>38337</v>
      </c>
      <c r="M120" s="1128">
        <v>41440</v>
      </c>
      <c r="N120" s="1135" t="s">
        <v>22</v>
      </c>
      <c r="O120" s="1149">
        <v>2013</v>
      </c>
      <c r="P120" s="1141">
        <v>589500</v>
      </c>
      <c r="Q120" s="1150">
        <v>9865877743</v>
      </c>
      <c r="R120" s="1150" t="s">
        <v>151</v>
      </c>
      <c r="S120" s="1142">
        <v>1.2167533333333331</v>
      </c>
      <c r="T120" s="1143" t="s">
        <v>140</v>
      </c>
      <c r="U120" s="1144">
        <v>2331.4443333333334</v>
      </c>
      <c r="V120" s="1141">
        <v>9865877743</v>
      </c>
      <c r="W120" s="1145">
        <v>16736</v>
      </c>
      <c r="X120" s="1145">
        <v>13975</v>
      </c>
      <c r="Y120" s="1596"/>
      <c r="Z120" s="1596"/>
      <c r="AA120" s="1597"/>
    </row>
    <row r="121" spans="1:27" s="417" customFormat="1" ht="85.5">
      <c r="A121" s="1226" t="s">
        <v>1221</v>
      </c>
      <c r="B121" s="1133" t="s">
        <v>1222</v>
      </c>
      <c r="C121" s="1136" t="s">
        <v>1223</v>
      </c>
      <c r="D121" s="1135" t="s">
        <v>22</v>
      </c>
      <c r="E121" s="1135" t="s">
        <v>22</v>
      </c>
      <c r="F121" s="1135" t="s">
        <v>22</v>
      </c>
      <c r="G121" s="1135" t="s">
        <v>22</v>
      </c>
      <c r="H121" s="992" t="s">
        <v>1563</v>
      </c>
      <c r="I121" s="375" t="s">
        <v>1564</v>
      </c>
      <c r="J121" s="1263">
        <v>0.5</v>
      </c>
      <c r="K121" s="1264" t="s">
        <v>22</v>
      </c>
      <c r="L121" s="1128">
        <v>39694</v>
      </c>
      <c r="M121" s="1128">
        <v>40283</v>
      </c>
      <c r="N121" s="1135" t="s">
        <v>22</v>
      </c>
      <c r="O121" s="1149">
        <v>2010</v>
      </c>
      <c r="P121" s="1141">
        <v>515000</v>
      </c>
      <c r="Q121" s="1150">
        <v>3136622318</v>
      </c>
      <c r="R121" s="1150" t="s">
        <v>151</v>
      </c>
      <c r="S121" s="1142">
        <v>1.2167533333333331</v>
      </c>
      <c r="T121" s="1143" t="s">
        <v>140</v>
      </c>
      <c r="U121" s="1144">
        <v>2331.4443333333334</v>
      </c>
      <c r="V121" s="1141">
        <v>3136622318</v>
      </c>
      <c r="W121" s="1145">
        <v>6091</v>
      </c>
      <c r="X121" s="1145">
        <v>3046</v>
      </c>
      <c r="Y121" s="1596"/>
      <c r="Z121" s="1596"/>
      <c r="AA121" s="1597"/>
    </row>
    <row r="122" spans="1:27" s="417" customFormat="1" ht="100.5" thickBot="1">
      <c r="A122" s="1226" t="s">
        <v>1221</v>
      </c>
      <c r="B122" s="1133" t="s">
        <v>1222</v>
      </c>
      <c r="C122" s="1136" t="s">
        <v>1223</v>
      </c>
      <c r="D122" s="1135" t="s">
        <v>22</v>
      </c>
      <c r="E122" s="1135" t="s">
        <v>22</v>
      </c>
      <c r="F122" s="1135" t="s">
        <v>22</v>
      </c>
      <c r="G122" s="1135" t="s">
        <v>22</v>
      </c>
      <c r="H122" s="992" t="s">
        <v>448</v>
      </c>
      <c r="I122" s="375" t="s">
        <v>268</v>
      </c>
      <c r="J122" s="1263">
        <v>1</v>
      </c>
      <c r="K122" s="1264" t="s">
        <v>22</v>
      </c>
      <c r="L122" s="1128">
        <v>39148</v>
      </c>
      <c r="M122" s="1128">
        <v>40072</v>
      </c>
      <c r="N122" s="1135" t="s">
        <v>22</v>
      </c>
      <c r="O122" s="1149">
        <v>2009</v>
      </c>
      <c r="P122" s="1141">
        <v>496900</v>
      </c>
      <c r="Q122" s="1168">
        <v>2592326368</v>
      </c>
      <c r="R122" s="1141" t="s">
        <v>151</v>
      </c>
      <c r="S122" s="1142">
        <v>1.2167533333333331</v>
      </c>
      <c r="T122" s="1143" t="s">
        <v>140</v>
      </c>
      <c r="U122" s="1144">
        <v>2331.4443333333334</v>
      </c>
      <c r="V122" s="1141">
        <v>2592326368</v>
      </c>
      <c r="W122" s="1145">
        <v>5217</v>
      </c>
      <c r="X122" s="1145">
        <v>5217</v>
      </c>
      <c r="Y122" s="1596"/>
      <c r="Z122" s="1596"/>
      <c r="AA122" s="1597"/>
    </row>
    <row r="123" spans="1:27" s="417" customFormat="1" ht="57">
      <c r="A123" s="1212" t="s">
        <v>1225</v>
      </c>
      <c r="B123" s="1213" t="s">
        <v>1226</v>
      </c>
      <c r="C123" s="1278" t="s">
        <v>1227</v>
      </c>
      <c r="D123" s="1214" t="s">
        <v>22</v>
      </c>
      <c r="E123" s="1214" t="s">
        <v>22</v>
      </c>
      <c r="F123" s="1214" t="s">
        <v>22</v>
      </c>
      <c r="G123" s="1214" t="s">
        <v>22</v>
      </c>
      <c r="H123" s="1215" t="s">
        <v>1228</v>
      </c>
      <c r="I123" s="1216" t="s">
        <v>1229</v>
      </c>
      <c r="J123" s="1269">
        <v>1</v>
      </c>
      <c r="K123" s="1270" t="s">
        <v>22</v>
      </c>
      <c r="L123" s="1257">
        <v>37591</v>
      </c>
      <c r="M123" s="1257">
        <v>40087</v>
      </c>
      <c r="N123" s="1214" t="s">
        <v>22</v>
      </c>
      <c r="O123" s="1251">
        <v>2009</v>
      </c>
      <c r="P123" s="1220">
        <v>496900</v>
      </c>
      <c r="Q123" s="1247">
        <v>4306126.45</v>
      </c>
      <c r="R123" s="1247" t="s">
        <v>142</v>
      </c>
      <c r="S123" s="1222">
        <v>1.2167533333333331</v>
      </c>
      <c r="T123" s="1223">
        <v>5239493.7117923331</v>
      </c>
      <c r="U123" s="1224">
        <v>2331.4443333333334</v>
      </c>
      <c r="V123" s="1220">
        <v>12215587923.893867</v>
      </c>
      <c r="W123" s="1225">
        <v>24584</v>
      </c>
      <c r="X123" s="1225">
        <v>24584</v>
      </c>
      <c r="Y123" s="1598" t="s">
        <v>22</v>
      </c>
      <c r="Z123" s="1598" t="s">
        <v>22</v>
      </c>
      <c r="AA123" s="1600" t="s">
        <v>129</v>
      </c>
    </row>
    <row r="124" spans="1:27" s="417" customFormat="1" ht="71.25">
      <c r="A124" s="1226" t="s">
        <v>1225</v>
      </c>
      <c r="B124" s="1133" t="s">
        <v>1230</v>
      </c>
      <c r="C124" s="1136" t="s">
        <v>1231</v>
      </c>
      <c r="D124" s="1135" t="s">
        <v>22</v>
      </c>
      <c r="E124" s="1135" t="s">
        <v>22</v>
      </c>
      <c r="F124" s="1135" t="s">
        <v>22</v>
      </c>
      <c r="G124" s="1135" t="s">
        <v>22</v>
      </c>
      <c r="H124" s="992" t="s">
        <v>1005</v>
      </c>
      <c r="I124" s="375" t="s">
        <v>1232</v>
      </c>
      <c r="J124" s="1263">
        <v>0.5</v>
      </c>
      <c r="K124" s="1264" t="s">
        <v>22</v>
      </c>
      <c r="L124" s="1139">
        <v>38772</v>
      </c>
      <c r="M124" s="1139">
        <v>40656</v>
      </c>
      <c r="N124" s="1135" t="s">
        <v>22</v>
      </c>
      <c r="O124" s="1149">
        <v>2011</v>
      </c>
      <c r="P124" s="1141">
        <v>535600</v>
      </c>
      <c r="Q124" s="1150">
        <v>4793832856</v>
      </c>
      <c r="R124" s="1150" t="s">
        <v>151</v>
      </c>
      <c r="S124" s="1142">
        <v>1.2167533333333331</v>
      </c>
      <c r="T124" s="1143" t="s">
        <v>140</v>
      </c>
      <c r="U124" s="1144">
        <v>2331.4443333333334</v>
      </c>
      <c r="V124" s="1141">
        <v>4793832856</v>
      </c>
      <c r="W124" s="1145">
        <v>8950</v>
      </c>
      <c r="X124" s="1145">
        <v>4475</v>
      </c>
      <c r="Y124" s="1596"/>
      <c r="Z124" s="1596"/>
      <c r="AA124" s="1597"/>
    </row>
    <row r="125" spans="1:27" s="417" customFormat="1" ht="85.5">
      <c r="A125" s="1226" t="s">
        <v>1225</v>
      </c>
      <c r="B125" s="1133" t="s">
        <v>1230</v>
      </c>
      <c r="C125" s="1136" t="s">
        <v>1231</v>
      </c>
      <c r="D125" s="1135" t="s">
        <v>22</v>
      </c>
      <c r="E125" s="1135" t="s">
        <v>22</v>
      </c>
      <c r="F125" s="1135" t="s">
        <v>22</v>
      </c>
      <c r="G125" s="1135" t="s">
        <v>22</v>
      </c>
      <c r="H125" s="992" t="s">
        <v>949</v>
      </c>
      <c r="I125" s="375" t="s">
        <v>1233</v>
      </c>
      <c r="J125" s="1263">
        <v>0.75</v>
      </c>
      <c r="K125" s="1264" t="s">
        <v>22</v>
      </c>
      <c r="L125" s="1139">
        <v>37308</v>
      </c>
      <c r="M125" s="1139">
        <v>37986</v>
      </c>
      <c r="N125" s="1135" t="s">
        <v>22</v>
      </c>
      <c r="O125" s="1149">
        <v>2003</v>
      </c>
      <c r="P125" s="1141">
        <v>332000</v>
      </c>
      <c r="Q125" s="1150">
        <v>1335742560</v>
      </c>
      <c r="R125" s="1150" t="s">
        <v>151</v>
      </c>
      <c r="S125" s="1142">
        <v>1.2167533333333331</v>
      </c>
      <c r="T125" s="1143" t="s">
        <v>140</v>
      </c>
      <c r="U125" s="1144">
        <v>2331.4443333333334</v>
      </c>
      <c r="V125" s="1141">
        <v>1335742560</v>
      </c>
      <c r="W125" s="1145">
        <v>4023</v>
      </c>
      <c r="X125" s="1145">
        <v>3017</v>
      </c>
      <c r="Y125" s="1596"/>
      <c r="Z125" s="1596"/>
      <c r="AA125" s="1597"/>
    </row>
    <row r="126" spans="1:27" s="417" customFormat="1" ht="72" thickBot="1">
      <c r="A126" s="1228" t="s">
        <v>1225</v>
      </c>
      <c r="B126" s="1229" t="s">
        <v>1230</v>
      </c>
      <c r="C126" s="1279" t="s">
        <v>1231</v>
      </c>
      <c r="D126" s="1230" t="s">
        <v>22</v>
      </c>
      <c r="E126" s="1230" t="s">
        <v>22</v>
      </c>
      <c r="F126" s="1230" t="s">
        <v>22</v>
      </c>
      <c r="G126" s="1230" t="s">
        <v>22</v>
      </c>
      <c r="H126" s="1231" t="s">
        <v>949</v>
      </c>
      <c r="I126" s="1232" t="s">
        <v>1234</v>
      </c>
      <c r="J126" s="1268">
        <v>1</v>
      </c>
      <c r="K126" s="1260" t="s">
        <v>22</v>
      </c>
      <c r="L126" s="1235">
        <v>36992</v>
      </c>
      <c r="M126" s="1235">
        <v>37539</v>
      </c>
      <c r="N126" s="1230" t="s">
        <v>22</v>
      </c>
      <c r="O126" s="1237">
        <v>2002</v>
      </c>
      <c r="P126" s="1238">
        <v>309000</v>
      </c>
      <c r="Q126" s="1240">
        <v>999929000</v>
      </c>
      <c r="R126" s="1240" t="s">
        <v>151</v>
      </c>
      <c r="S126" s="1241">
        <v>1.2167533333333331</v>
      </c>
      <c r="T126" s="1242" t="s">
        <v>140</v>
      </c>
      <c r="U126" s="1243">
        <v>2331.4443333333334</v>
      </c>
      <c r="V126" s="1238">
        <v>999929000</v>
      </c>
      <c r="W126" s="1244">
        <v>3236</v>
      </c>
      <c r="X126" s="1244">
        <v>3236</v>
      </c>
      <c r="Y126" s="1599"/>
      <c r="Z126" s="1599"/>
      <c r="AA126" s="1601"/>
    </row>
    <row r="127" spans="1:27" s="417" customFormat="1" ht="57">
      <c r="A127" s="1226" t="s">
        <v>1236</v>
      </c>
      <c r="B127" s="1133" t="s">
        <v>1237</v>
      </c>
      <c r="C127" s="1136" t="s">
        <v>1238</v>
      </c>
      <c r="D127" s="1135" t="s">
        <v>22</v>
      </c>
      <c r="E127" s="1135" t="s">
        <v>22</v>
      </c>
      <c r="F127" s="1135" t="s">
        <v>22</v>
      </c>
      <c r="G127" s="1135" t="s">
        <v>22</v>
      </c>
      <c r="H127" s="992" t="s">
        <v>957</v>
      </c>
      <c r="I127" s="375" t="s">
        <v>1241</v>
      </c>
      <c r="J127" s="1266">
        <v>1</v>
      </c>
      <c r="K127" s="1135" t="s">
        <v>22</v>
      </c>
      <c r="L127" s="1128">
        <v>38366</v>
      </c>
      <c r="M127" s="1128">
        <v>39071</v>
      </c>
      <c r="N127" s="1135" t="s">
        <v>22</v>
      </c>
      <c r="O127" s="1140">
        <v>2006</v>
      </c>
      <c r="P127" s="1141">
        <v>408000</v>
      </c>
      <c r="Q127" s="1168">
        <v>1534302721</v>
      </c>
      <c r="R127" s="1141" t="s">
        <v>151</v>
      </c>
      <c r="S127" s="1142">
        <v>1.2167533333333331</v>
      </c>
      <c r="T127" s="1143" t="s">
        <v>140</v>
      </c>
      <c r="U127" s="1144">
        <v>2331.4443333333334</v>
      </c>
      <c r="V127" s="1141">
        <v>1534302721</v>
      </c>
      <c r="W127" s="1145">
        <v>3761</v>
      </c>
      <c r="X127" s="1145">
        <v>3761</v>
      </c>
      <c r="Y127" s="1596" t="s">
        <v>22</v>
      </c>
      <c r="Z127" s="1596" t="s">
        <v>22</v>
      </c>
      <c r="AA127" s="1597" t="s">
        <v>129</v>
      </c>
    </row>
    <row r="128" spans="1:27" s="417" customFormat="1" ht="142.5">
      <c r="A128" s="1226" t="s">
        <v>1236</v>
      </c>
      <c r="B128" s="1133" t="s">
        <v>1237</v>
      </c>
      <c r="C128" s="1136" t="s">
        <v>1238</v>
      </c>
      <c r="D128" s="1135" t="s">
        <v>22</v>
      </c>
      <c r="E128" s="1135" t="s">
        <v>22</v>
      </c>
      <c r="F128" s="1135" t="s">
        <v>22</v>
      </c>
      <c r="G128" s="1135" t="s">
        <v>22</v>
      </c>
      <c r="H128" s="992" t="s">
        <v>1243</v>
      </c>
      <c r="I128" s="375" t="s">
        <v>1244</v>
      </c>
      <c r="J128" s="1263">
        <v>0.5</v>
      </c>
      <c r="K128" s="1264" t="s">
        <v>22</v>
      </c>
      <c r="L128" s="1128">
        <v>38034</v>
      </c>
      <c r="M128" s="1128">
        <v>40770</v>
      </c>
      <c r="N128" s="1135" t="s">
        <v>22</v>
      </c>
      <c r="O128" s="1149">
        <v>2011</v>
      </c>
      <c r="P128" s="1141">
        <v>535600</v>
      </c>
      <c r="Q128" s="1168">
        <v>9131630030</v>
      </c>
      <c r="R128" s="1141" t="s">
        <v>151</v>
      </c>
      <c r="S128" s="1142">
        <v>1.2167533333333331</v>
      </c>
      <c r="T128" s="1143" t="s">
        <v>140</v>
      </c>
      <c r="U128" s="1144">
        <v>2331.4443333333334</v>
      </c>
      <c r="V128" s="1141">
        <v>9131630030</v>
      </c>
      <c r="W128" s="1145">
        <v>17049</v>
      </c>
      <c r="X128" s="1145">
        <v>8525</v>
      </c>
      <c r="Y128" s="1596"/>
      <c r="Z128" s="1596"/>
      <c r="AA128" s="1597"/>
    </row>
    <row r="129" spans="1:27" s="417" customFormat="1" ht="57">
      <c r="A129" s="1226" t="s">
        <v>1236</v>
      </c>
      <c r="B129" s="1133" t="s">
        <v>1245</v>
      </c>
      <c r="C129" s="1136" t="s">
        <v>1246</v>
      </c>
      <c r="D129" s="1135" t="s">
        <v>22</v>
      </c>
      <c r="E129" s="1135" t="s">
        <v>22</v>
      </c>
      <c r="F129" s="1135" t="s">
        <v>22</v>
      </c>
      <c r="G129" s="1135" t="s">
        <v>22</v>
      </c>
      <c r="H129" s="992" t="s">
        <v>1565</v>
      </c>
      <c r="I129" s="375" t="s">
        <v>1248</v>
      </c>
      <c r="J129" s="1267">
        <v>1</v>
      </c>
      <c r="K129" s="1264" t="s">
        <v>22</v>
      </c>
      <c r="L129" s="1128">
        <v>38562</v>
      </c>
      <c r="M129" s="1128">
        <v>39521</v>
      </c>
      <c r="N129" s="1135" t="s">
        <v>22</v>
      </c>
      <c r="O129" s="1149">
        <v>2008</v>
      </c>
      <c r="P129" s="1141">
        <v>461500</v>
      </c>
      <c r="Q129" s="1141">
        <v>2838230</v>
      </c>
      <c r="R129" s="1141" t="s">
        <v>142</v>
      </c>
      <c r="S129" s="1142">
        <v>1.2167533333333331</v>
      </c>
      <c r="T129" s="1143">
        <v>3453425.8132666661</v>
      </c>
      <c r="U129" s="1144">
        <v>2331.4443333333334</v>
      </c>
      <c r="V129" s="1141">
        <v>8051470042.9276266</v>
      </c>
      <c r="W129" s="1145">
        <v>17446</v>
      </c>
      <c r="X129" s="1145">
        <v>17446</v>
      </c>
      <c r="Y129" s="1596"/>
      <c r="Z129" s="1596"/>
      <c r="AA129" s="1597"/>
    </row>
    <row r="130" spans="1:27" s="417" customFormat="1" ht="57.75" thickBot="1">
      <c r="A130" s="1226" t="s">
        <v>1236</v>
      </c>
      <c r="B130" s="1133" t="s">
        <v>1245</v>
      </c>
      <c r="C130" s="1136" t="s">
        <v>1246</v>
      </c>
      <c r="D130" s="1135" t="s">
        <v>22</v>
      </c>
      <c r="E130" s="1135" t="s">
        <v>22</v>
      </c>
      <c r="F130" s="1135" t="s">
        <v>22</v>
      </c>
      <c r="G130" s="1135" t="s">
        <v>22</v>
      </c>
      <c r="H130" s="992" t="s">
        <v>1566</v>
      </c>
      <c r="I130" s="375" t="s">
        <v>1251</v>
      </c>
      <c r="J130" s="1263">
        <v>1</v>
      </c>
      <c r="K130" s="1264" t="s">
        <v>22</v>
      </c>
      <c r="L130" s="1128">
        <v>38701</v>
      </c>
      <c r="M130" s="1128">
        <v>40085</v>
      </c>
      <c r="N130" s="1135" t="s">
        <v>22</v>
      </c>
      <c r="O130" s="1149">
        <v>2009</v>
      </c>
      <c r="P130" s="1141">
        <v>496900</v>
      </c>
      <c r="Q130" s="1150">
        <v>1183267.6000000001</v>
      </c>
      <c r="R130" s="1150" t="s">
        <v>142</v>
      </c>
      <c r="S130" s="1142">
        <v>1.2167533333333331</v>
      </c>
      <c r="T130" s="1143">
        <v>1439744.7965253333</v>
      </c>
      <c r="U130" s="1144">
        <v>2331.4443333333334</v>
      </c>
      <c r="V130" s="1141">
        <v>3356684847.3051414</v>
      </c>
      <c r="W130" s="1145">
        <v>6755</v>
      </c>
      <c r="X130" s="1145">
        <v>6755</v>
      </c>
      <c r="Y130" s="1596"/>
      <c r="Z130" s="1596"/>
      <c r="AA130" s="1597"/>
    </row>
    <row r="131" spans="1:27" s="417" customFormat="1" ht="85.5">
      <c r="A131" s="1212" t="s">
        <v>1253</v>
      </c>
      <c r="B131" s="1213" t="s">
        <v>1254</v>
      </c>
      <c r="C131" s="419" t="s">
        <v>1255</v>
      </c>
      <c r="D131" s="1214" t="s">
        <v>22</v>
      </c>
      <c r="E131" s="1214" t="s">
        <v>22</v>
      </c>
      <c r="F131" s="1214" t="s">
        <v>22</v>
      </c>
      <c r="G131" s="1214" t="s">
        <v>22</v>
      </c>
      <c r="H131" s="1215" t="s">
        <v>214</v>
      </c>
      <c r="I131" s="1216" t="s">
        <v>1567</v>
      </c>
      <c r="J131" s="1269">
        <v>0.5</v>
      </c>
      <c r="K131" s="1270" t="s">
        <v>22</v>
      </c>
      <c r="L131" s="1218">
        <v>36746</v>
      </c>
      <c r="M131" s="1280">
        <v>38175</v>
      </c>
      <c r="N131" s="1214" t="s">
        <v>22</v>
      </c>
      <c r="O131" s="1251">
        <v>2004</v>
      </c>
      <c r="P131" s="1220">
        <v>358000</v>
      </c>
      <c r="Q131" s="1247">
        <v>1913345.14</v>
      </c>
      <c r="R131" s="1247" t="s">
        <v>142</v>
      </c>
      <c r="S131" s="1222">
        <v>1.2167533333333331</v>
      </c>
      <c r="T131" s="1223">
        <v>2328069.076912133</v>
      </c>
      <c r="U131" s="1224">
        <v>2331.4443333333334</v>
      </c>
      <c r="V131" s="1220">
        <v>5427763456.9753571</v>
      </c>
      <c r="W131" s="1225">
        <v>15161</v>
      </c>
      <c r="X131" s="1225">
        <v>7581</v>
      </c>
      <c r="Y131" s="1598" t="s">
        <v>22</v>
      </c>
      <c r="Z131" s="1598" t="s">
        <v>22</v>
      </c>
      <c r="AA131" s="1600" t="s">
        <v>129</v>
      </c>
    </row>
    <row r="132" spans="1:27" s="417" customFormat="1" ht="99.75">
      <c r="A132" s="1226" t="s">
        <v>1253</v>
      </c>
      <c r="B132" s="1133" t="s">
        <v>1257</v>
      </c>
      <c r="C132" s="1135" t="s">
        <v>1258</v>
      </c>
      <c r="D132" s="1135" t="s">
        <v>22</v>
      </c>
      <c r="E132" s="1135" t="s">
        <v>22</v>
      </c>
      <c r="F132" s="1135" t="s">
        <v>22</v>
      </c>
      <c r="G132" s="1135" t="s">
        <v>22</v>
      </c>
      <c r="H132" s="992" t="s">
        <v>1568</v>
      </c>
      <c r="I132" s="375" t="s">
        <v>1569</v>
      </c>
      <c r="J132" s="1263">
        <v>1</v>
      </c>
      <c r="K132" s="1264" t="s">
        <v>22</v>
      </c>
      <c r="L132" s="1128">
        <v>40792</v>
      </c>
      <c r="M132" s="1245">
        <v>41325</v>
      </c>
      <c r="N132" s="1135" t="s">
        <v>22</v>
      </c>
      <c r="O132" s="1149">
        <v>2013</v>
      </c>
      <c r="P132" s="1141">
        <v>589500</v>
      </c>
      <c r="Q132" s="1150">
        <v>1708675592</v>
      </c>
      <c r="R132" s="1150" t="s">
        <v>151</v>
      </c>
      <c r="S132" s="1142">
        <v>1.2167533333333331</v>
      </c>
      <c r="T132" s="1143" t="s">
        <v>140</v>
      </c>
      <c r="U132" s="1144">
        <v>2331.4443333333334</v>
      </c>
      <c r="V132" s="1141">
        <v>1708675592</v>
      </c>
      <c r="W132" s="1145">
        <v>2899</v>
      </c>
      <c r="X132" s="1145">
        <v>2899</v>
      </c>
      <c r="Y132" s="1596"/>
      <c r="Z132" s="1596"/>
      <c r="AA132" s="1597"/>
    </row>
    <row r="133" spans="1:27" s="417" customFormat="1" ht="57">
      <c r="A133" s="1226" t="s">
        <v>1253</v>
      </c>
      <c r="B133" s="1133" t="s">
        <v>1257</v>
      </c>
      <c r="C133" s="1135" t="s">
        <v>1258</v>
      </c>
      <c r="D133" s="1135" t="s">
        <v>22</v>
      </c>
      <c r="E133" s="1135" t="s">
        <v>22</v>
      </c>
      <c r="F133" s="1135" t="s">
        <v>22</v>
      </c>
      <c r="G133" s="1135" t="s">
        <v>22</v>
      </c>
      <c r="H133" s="992" t="s">
        <v>1477</v>
      </c>
      <c r="I133" s="375" t="s">
        <v>1570</v>
      </c>
      <c r="J133" s="1263">
        <v>0.5</v>
      </c>
      <c r="K133" s="1264" t="s">
        <v>22</v>
      </c>
      <c r="L133" s="1128">
        <v>37411</v>
      </c>
      <c r="M133" s="1128">
        <v>38776</v>
      </c>
      <c r="N133" s="1135" t="s">
        <v>22</v>
      </c>
      <c r="O133" s="1149">
        <v>2006</v>
      </c>
      <c r="P133" s="1141">
        <v>408000</v>
      </c>
      <c r="Q133" s="1150">
        <v>3791186168</v>
      </c>
      <c r="R133" s="1150" t="s">
        <v>151</v>
      </c>
      <c r="S133" s="1142">
        <v>1.2167533333333331</v>
      </c>
      <c r="T133" s="1143" t="s">
        <v>140</v>
      </c>
      <c r="U133" s="1144">
        <v>2331.4443333333334</v>
      </c>
      <c r="V133" s="1141">
        <v>3791186168</v>
      </c>
      <c r="W133" s="1145">
        <v>9292</v>
      </c>
      <c r="X133" s="1145">
        <v>4646</v>
      </c>
      <c r="Y133" s="1596"/>
      <c r="Z133" s="1596"/>
      <c r="AA133" s="1597"/>
    </row>
    <row r="134" spans="1:27" s="417" customFormat="1" ht="72" thickBot="1">
      <c r="A134" s="1228" t="s">
        <v>1253</v>
      </c>
      <c r="B134" s="1229" t="s">
        <v>1257</v>
      </c>
      <c r="C134" s="1230" t="s">
        <v>1258</v>
      </c>
      <c r="D134" s="1230" t="s">
        <v>22</v>
      </c>
      <c r="E134" s="1230" t="s">
        <v>22</v>
      </c>
      <c r="F134" s="1230" t="s">
        <v>22</v>
      </c>
      <c r="G134" s="1230" t="s">
        <v>22</v>
      </c>
      <c r="H134" s="1231" t="s">
        <v>442</v>
      </c>
      <c r="I134" s="1232" t="s">
        <v>1571</v>
      </c>
      <c r="J134" s="1268">
        <v>0.6</v>
      </c>
      <c r="K134" s="1260" t="s">
        <v>22</v>
      </c>
      <c r="L134" s="1246">
        <v>37188</v>
      </c>
      <c r="M134" s="1246">
        <v>38771</v>
      </c>
      <c r="N134" s="1230" t="s">
        <v>22</v>
      </c>
      <c r="O134" s="1237">
        <v>2006</v>
      </c>
      <c r="P134" s="1238">
        <v>408000</v>
      </c>
      <c r="Q134" s="1240">
        <v>2111434083</v>
      </c>
      <c r="R134" s="1240" t="s">
        <v>151</v>
      </c>
      <c r="S134" s="1241">
        <v>1.2167533333333331</v>
      </c>
      <c r="T134" s="1242" t="s">
        <v>140</v>
      </c>
      <c r="U134" s="1243">
        <v>2331.4443333333334</v>
      </c>
      <c r="V134" s="1238">
        <v>2111434083</v>
      </c>
      <c r="W134" s="1244">
        <v>5175</v>
      </c>
      <c r="X134" s="1244">
        <v>3105</v>
      </c>
      <c r="Y134" s="1599"/>
      <c r="Z134" s="1599"/>
      <c r="AA134" s="1601"/>
    </row>
    <row r="135" spans="1:27" s="417" customFormat="1" ht="71.25">
      <c r="A135" s="1226" t="s">
        <v>1263</v>
      </c>
      <c r="B135" s="1133" t="s">
        <v>1270</v>
      </c>
      <c r="C135" s="1135" t="s">
        <v>1271</v>
      </c>
      <c r="D135" s="1135" t="s">
        <v>129</v>
      </c>
      <c r="E135" s="1135" t="s">
        <v>22</v>
      </c>
      <c r="F135" s="1135" t="s">
        <v>22</v>
      </c>
      <c r="G135" s="1135" t="s">
        <v>22</v>
      </c>
      <c r="H135" s="1281" t="s">
        <v>155</v>
      </c>
      <c r="I135" s="375" t="s">
        <v>1572</v>
      </c>
      <c r="J135" s="1263">
        <v>0.28000000000000003</v>
      </c>
      <c r="K135" s="1264" t="s">
        <v>22</v>
      </c>
      <c r="L135" s="1128">
        <v>40077</v>
      </c>
      <c r="M135" s="1128">
        <v>41977</v>
      </c>
      <c r="N135" s="1135" t="s">
        <v>22</v>
      </c>
      <c r="O135" s="1149">
        <v>2014</v>
      </c>
      <c r="P135" s="1141">
        <v>616000</v>
      </c>
      <c r="Q135" s="1150">
        <v>8253999978</v>
      </c>
      <c r="R135" s="1150" t="s">
        <v>151</v>
      </c>
      <c r="S135" s="1142">
        <v>1.2167533333333331</v>
      </c>
      <c r="T135" s="1143" t="s">
        <v>140</v>
      </c>
      <c r="U135" s="1144">
        <v>2331.4443333333334</v>
      </c>
      <c r="V135" s="1141">
        <v>8253999978</v>
      </c>
      <c r="W135" s="1145">
        <v>13399</v>
      </c>
      <c r="X135" s="1145">
        <v>3752</v>
      </c>
      <c r="Y135" s="1596" t="s">
        <v>22</v>
      </c>
      <c r="Z135" s="1596" t="s">
        <v>22</v>
      </c>
      <c r="AA135" s="1597" t="s">
        <v>129</v>
      </c>
    </row>
    <row r="136" spans="1:27" s="417" customFormat="1" ht="85.5">
      <c r="A136" s="1226" t="s">
        <v>1263</v>
      </c>
      <c r="B136" s="1133" t="s">
        <v>1273</v>
      </c>
      <c r="C136" s="388" t="s">
        <v>1274</v>
      </c>
      <c r="D136" s="1135" t="s">
        <v>129</v>
      </c>
      <c r="E136" s="1135" t="s">
        <v>22</v>
      </c>
      <c r="F136" s="1135" t="s">
        <v>22</v>
      </c>
      <c r="G136" s="1135" t="s">
        <v>22</v>
      </c>
      <c r="H136" s="992" t="s">
        <v>1573</v>
      </c>
      <c r="I136" s="375" t="s">
        <v>432</v>
      </c>
      <c r="J136" s="1263">
        <v>0.75</v>
      </c>
      <c r="K136" s="1264" t="s">
        <v>22</v>
      </c>
      <c r="L136" s="1128">
        <v>38718</v>
      </c>
      <c r="M136" s="1128">
        <v>42066</v>
      </c>
      <c r="N136" s="1135" t="s">
        <v>22</v>
      </c>
      <c r="O136" s="1149">
        <v>2015</v>
      </c>
      <c r="P136" s="1141">
        <v>644350</v>
      </c>
      <c r="Q136" s="1150">
        <v>8567960679</v>
      </c>
      <c r="R136" s="1150" t="s">
        <v>151</v>
      </c>
      <c r="S136" s="1142">
        <v>1.2167533333333331</v>
      </c>
      <c r="T136" s="1143" t="s">
        <v>140</v>
      </c>
      <c r="U136" s="1144">
        <v>2331.4443333333334</v>
      </c>
      <c r="V136" s="1141">
        <v>8567960679</v>
      </c>
      <c r="W136" s="1145">
        <v>13297</v>
      </c>
      <c r="X136" s="1145">
        <v>9973</v>
      </c>
      <c r="Y136" s="1596"/>
      <c r="Z136" s="1596"/>
      <c r="AA136" s="1597"/>
    </row>
    <row r="137" spans="1:27" s="417" customFormat="1" ht="71.25">
      <c r="A137" s="1226" t="s">
        <v>1263</v>
      </c>
      <c r="B137" s="1133" t="s">
        <v>1264</v>
      </c>
      <c r="C137" s="388" t="s">
        <v>1265</v>
      </c>
      <c r="D137" s="1135" t="s">
        <v>129</v>
      </c>
      <c r="E137" s="1135" t="s">
        <v>22</v>
      </c>
      <c r="F137" s="1135" t="s">
        <v>22</v>
      </c>
      <c r="G137" s="1135" t="s">
        <v>22</v>
      </c>
      <c r="H137" s="992" t="s">
        <v>1266</v>
      </c>
      <c r="I137" s="375" t="s">
        <v>1574</v>
      </c>
      <c r="J137" s="1267">
        <v>0.5</v>
      </c>
      <c r="K137" s="1264" t="s">
        <v>22</v>
      </c>
      <c r="L137" s="1128">
        <v>39173</v>
      </c>
      <c r="M137" s="1128">
        <v>40574</v>
      </c>
      <c r="N137" s="1135" t="s">
        <v>22</v>
      </c>
      <c r="O137" s="1149">
        <v>2011</v>
      </c>
      <c r="P137" s="1141">
        <v>535600</v>
      </c>
      <c r="Q137" s="1141">
        <v>2664656.9300000002</v>
      </c>
      <c r="R137" s="1141" t="s">
        <v>142</v>
      </c>
      <c r="S137" s="1142">
        <v>1.2167533333333331</v>
      </c>
      <c r="T137" s="1143">
        <v>3242230.2017672663</v>
      </c>
      <c r="U137" s="1144">
        <v>2331.4443333333334</v>
      </c>
      <c r="V137" s="1141">
        <v>7559079231.2724829</v>
      </c>
      <c r="W137" s="1145">
        <v>14113</v>
      </c>
      <c r="X137" s="1145">
        <v>7057</v>
      </c>
      <c r="Y137" s="1596"/>
      <c r="Z137" s="1596"/>
      <c r="AA137" s="1597"/>
    </row>
    <row r="138" spans="1:27" s="417" customFormat="1" ht="100.5" thickBot="1">
      <c r="A138" s="1226" t="s">
        <v>1263</v>
      </c>
      <c r="B138" s="1133" t="s">
        <v>1264</v>
      </c>
      <c r="C138" s="388" t="s">
        <v>1265</v>
      </c>
      <c r="D138" s="1135" t="s">
        <v>129</v>
      </c>
      <c r="E138" s="1135" t="s">
        <v>22</v>
      </c>
      <c r="F138" s="1135" t="s">
        <v>22</v>
      </c>
      <c r="G138" s="1135" t="s">
        <v>22</v>
      </c>
      <c r="H138" s="992" t="s">
        <v>1268</v>
      </c>
      <c r="I138" s="375" t="s">
        <v>1269</v>
      </c>
      <c r="J138" s="1263">
        <v>1</v>
      </c>
      <c r="K138" s="1264" t="s">
        <v>22</v>
      </c>
      <c r="L138" s="1128">
        <v>37288</v>
      </c>
      <c r="M138" s="1128">
        <v>38904</v>
      </c>
      <c r="N138" s="1135" t="s">
        <v>22</v>
      </c>
      <c r="O138" s="1149">
        <v>2006</v>
      </c>
      <c r="P138" s="1141">
        <v>408000</v>
      </c>
      <c r="Q138" s="1150">
        <v>2069370.4</v>
      </c>
      <c r="R138" s="1150" t="s">
        <v>142</v>
      </c>
      <c r="S138" s="1142">
        <v>1.2167533333333331</v>
      </c>
      <c r="T138" s="1143">
        <v>2517913.332101333</v>
      </c>
      <c r="U138" s="1144">
        <v>2331.4443333333334</v>
      </c>
      <c r="V138" s="1141">
        <v>5870374769.9521046</v>
      </c>
      <c r="W138" s="1145">
        <v>14388</v>
      </c>
      <c r="X138" s="1145">
        <v>14388</v>
      </c>
      <c r="Y138" s="1596"/>
      <c r="Z138" s="1596"/>
      <c r="AA138" s="1597"/>
    </row>
    <row r="139" spans="1:27" s="417" customFormat="1" ht="57">
      <c r="A139" s="1212" t="s">
        <v>1279</v>
      </c>
      <c r="B139" s="1213" t="s">
        <v>1280</v>
      </c>
      <c r="C139" s="1214" t="s">
        <v>1281</v>
      </c>
      <c r="D139" s="1214" t="s">
        <v>22</v>
      </c>
      <c r="E139" s="1214" t="s">
        <v>22</v>
      </c>
      <c r="F139" s="1214" t="s">
        <v>22</v>
      </c>
      <c r="G139" s="1214" t="s">
        <v>22</v>
      </c>
      <c r="H139" s="1215" t="s">
        <v>155</v>
      </c>
      <c r="I139" s="1216" t="s">
        <v>1575</v>
      </c>
      <c r="J139" s="1269">
        <v>0.25</v>
      </c>
      <c r="K139" s="1270" t="s">
        <v>22</v>
      </c>
      <c r="L139" s="1218">
        <v>40487</v>
      </c>
      <c r="M139" s="1218">
        <v>42046</v>
      </c>
      <c r="N139" s="1214" t="s">
        <v>22</v>
      </c>
      <c r="O139" s="1251">
        <v>2015</v>
      </c>
      <c r="P139" s="1220">
        <v>644350</v>
      </c>
      <c r="Q139" s="1247">
        <v>20299999976</v>
      </c>
      <c r="R139" s="1247" t="s">
        <v>151</v>
      </c>
      <c r="S139" s="1222">
        <v>1.2167533333333331</v>
      </c>
      <c r="T139" s="1223" t="s">
        <v>140</v>
      </c>
      <c r="U139" s="1224">
        <v>2331.4443333333334</v>
      </c>
      <c r="V139" s="1220">
        <v>20299999976</v>
      </c>
      <c r="W139" s="1225">
        <v>31505</v>
      </c>
      <c r="X139" s="1225">
        <v>7876</v>
      </c>
      <c r="Y139" s="1598" t="s">
        <v>22</v>
      </c>
      <c r="Z139" s="1598" t="s">
        <v>22</v>
      </c>
      <c r="AA139" s="1600" t="s">
        <v>129</v>
      </c>
    </row>
    <row r="140" spans="1:27" s="417" customFormat="1" ht="71.25">
      <c r="A140" s="1226" t="s">
        <v>1279</v>
      </c>
      <c r="B140" s="1133" t="s">
        <v>1280</v>
      </c>
      <c r="C140" s="1135" t="s">
        <v>1281</v>
      </c>
      <c r="D140" s="1135" t="s">
        <v>22</v>
      </c>
      <c r="E140" s="1135" t="s">
        <v>22</v>
      </c>
      <c r="F140" s="1135" t="s">
        <v>22</v>
      </c>
      <c r="G140" s="1135" t="s">
        <v>22</v>
      </c>
      <c r="H140" s="992" t="s">
        <v>214</v>
      </c>
      <c r="I140" s="375" t="s">
        <v>1576</v>
      </c>
      <c r="J140" s="1263">
        <v>0.5</v>
      </c>
      <c r="K140" s="1264" t="s">
        <v>22</v>
      </c>
      <c r="L140" s="1128">
        <v>38811</v>
      </c>
      <c r="M140" s="1128">
        <v>39792</v>
      </c>
      <c r="N140" s="1135" t="s">
        <v>22</v>
      </c>
      <c r="O140" s="1149">
        <v>2008</v>
      </c>
      <c r="P140" s="1141">
        <v>461500</v>
      </c>
      <c r="Q140" s="1150">
        <v>1072506.71</v>
      </c>
      <c r="R140" s="1150" t="s">
        <v>142</v>
      </c>
      <c r="S140" s="1142">
        <v>1.2167533333333331</v>
      </c>
      <c r="T140" s="1143">
        <v>1304976.1144148663</v>
      </c>
      <c r="U140" s="1144">
        <v>2331.4443333333334</v>
      </c>
      <c r="V140" s="1141">
        <v>3042479167.0878916</v>
      </c>
      <c r="W140" s="1145">
        <v>6593</v>
      </c>
      <c r="X140" s="1145">
        <v>3297</v>
      </c>
      <c r="Y140" s="1596"/>
      <c r="Z140" s="1596"/>
      <c r="AA140" s="1597"/>
    </row>
    <row r="141" spans="1:27" s="417" customFormat="1" ht="99.75">
      <c r="A141" s="1226" t="s">
        <v>1279</v>
      </c>
      <c r="B141" s="1133" t="s">
        <v>1280</v>
      </c>
      <c r="C141" s="1135" t="s">
        <v>1281</v>
      </c>
      <c r="D141" s="1135" t="s">
        <v>22</v>
      </c>
      <c r="E141" s="1135" t="s">
        <v>22</v>
      </c>
      <c r="F141" s="1135" t="s">
        <v>22</v>
      </c>
      <c r="G141" s="1135" t="s">
        <v>22</v>
      </c>
      <c r="H141" s="992" t="s">
        <v>214</v>
      </c>
      <c r="I141" s="375" t="s">
        <v>1577</v>
      </c>
      <c r="J141" s="1263">
        <v>0.5</v>
      </c>
      <c r="K141" s="1264" t="s">
        <v>22</v>
      </c>
      <c r="L141" s="1128">
        <v>37939</v>
      </c>
      <c r="M141" s="1128">
        <v>39339</v>
      </c>
      <c r="N141" s="1135" t="s">
        <v>22</v>
      </c>
      <c r="O141" s="1149">
        <v>2007</v>
      </c>
      <c r="P141" s="1141">
        <v>433700</v>
      </c>
      <c r="Q141" s="1150">
        <v>2523923.36</v>
      </c>
      <c r="R141" s="1150" t="s">
        <v>142</v>
      </c>
      <c r="S141" s="1142">
        <v>1.2167533333333331</v>
      </c>
      <c r="T141" s="1143">
        <v>3070992.1613578661</v>
      </c>
      <c r="U141" s="1144">
        <v>2331.4443333333334</v>
      </c>
      <c r="V141" s="1141">
        <v>7159847272.3088827</v>
      </c>
      <c r="W141" s="1145">
        <v>16509</v>
      </c>
      <c r="X141" s="1145">
        <v>8255</v>
      </c>
      <c r="Y141" s="1596"/>
      <c r="Z141" s="1596"/>
      <c r="AA141" s="1597"/>
    </row>
    <row r="142" spans="1:27" s="417" customFormat="1" ht="328.5" thickBot="1">
      <c r="A142" s="1228" t="s">
        <v>1279</v>
      </c>
      <c r="B142" s="1229" t="s">
        <v>1284</v>
      </c>
      <c r="C142" s="420" t="s">
        <v>1285</v>
      </c>
      <c r="D142" s="1230" t="s">
        <v>22</v>
      </c>
      <c r="E142" s="1230" t="s">
        <v>22</v>
      </c>
      <c r="F142" s="1230" t="s">
        <v>22</v>
      </c>
      <c r="G142" s="1230" t="s">
        <v>22</v>
      </c>
      <c r="H142" s="1231" t="s">
        <v>517</v>
      </c>
      <c r="I142" s="1232" t="s">
        <v>1578</v>
      </c>
      <c r="J142" s="1268">
        <v>0.45</v>
      </c>
      <c r="K142" s="1260" t="s">
        <v>22</v>
      </c>
      <c r="L142" s="1246">
        <v>40954</v>
      </c>
      <c r="M142" s="1246">
        <v>42219</v>
      </c>
      <c r="N142" s="1230" t="s">
        <v>22</v>
      </c>
      <c r="O142" s="1237">
        <v>2015</v>
      </c>
      <c r="P142" s="1238">
        <v>644350</v>
      </c>
      <c r="Q142" s="1240">
        <v>6057098507</v>
      </c>
      <c r="R142" s="1240" t="s">
        <v>151</v>
      </c>
      <c r="S142" s="1241">
        <v>1.2167533333333331</v>
      </c>
      <c r="T142" s="1242" t="s">
        <v>140</v>
      </c>
      <c r="U142" s="1243">
        <v>2331.4443333333334</v>
      </c>
      <c r="V142" s="1238">
        <v>6057098507</v>
      </c>
      <c r="W142" s="1244">
        <v>9400</v>
      </c>
      <c r="X142" s="1244">
        <v>4230</v>
      </c>
      <c r="Y142" s="1599"/>
      <c r="Z142" s="1599"/>
      <c r="AA142" s="1601"/>
    </row>
    <row r="143" spans="1:27" s="417" customFormat="1" ht="114">
      <c r="A143" s="1226" t="s">
        <v>1288</v>
      </c>
      <c r="B143" s="1133" t="s">
        <v>1289</v>
      </c>
      <c r="C143" s="388" t="s">
        <v>1290</v>
      </c>
      <c r="D143" s="1135" t="s">
        <v>22</v>
      </c>
      <c r="E143" s="1135" t="s">
        <v>22</v>
      </c>
      <c r="F143" s="1135" t="s">
        <v>22</v>
      </c>
      <c r="G143" s="1135" t="s">
        <v>22</v>
      </c>
      <c r="H143" s="992" t="s">
        <v>1579</v>
      </c>
      <c r="I143" s="375" t="s">
        <v>1580</v>
      </c>
      <c r="J143" s="1263">
        <v>1</v>
      </c>
      <c r="K143" s="1264" t="s">
        <v>22</v>
      </c>
      <c r="L143" s="1128">
        <v>40609</v>
      </c>
      <c r="M143" s="1128">
        <v>41441</v>
      </c>
      <c r="N143" s="1135" t="s">
        <v>22</v>
      </c>
      <c r="O143" s="1149">
        <v>2013</v>
      </c>
      <c r="P143" s="1141">
        <v>589500</v>
      </c>
      <c r="Q143" s="1150">
        <v>1749995913</v>
      </c>
      <c r="R143" s="1150" t="s">
        <v>151</v>
      </c>
      <c r="S143" s="1142">
        <v>1.2167533333333331</v>
      </c>
      <c r="T143" s="1143" t="s">
        <v>140</v>
      </c>
      <c r="U143" s="1144">
        <v>2331.4443333333334</v>
      </c>
      <c r="V143" s="1141">
        <v>1749995913</v>
      </c>
      <c r="W143" s="1145">
        <v>2969</v>
      </c>
      <c r="X143" s="1145">
        <v>2969</v>
      </c>
      <c r="Y143" s="1596" t="s">
        <v>22</v>
      </c>
      <c r="Z143" s="1596" t="s">
        <v>22</v>
      </c>
      <c r="AA143" s="1597" t="s">
        <v>129</v>
      </c>
    </row>
    <row r="144" spans="1:27" s="417" customFormat="1" ht="85.5">
      <c r="A144" s="1226" t="s">
        <v>1288</v>
      </c>
      <c r="B144" s="1133" t="s">
        <v>1289</v>
      </c>
      <c r="C144" s="388" t="s">
        <v>1290</v>
      </c>
      <c r="D144" s="1135" t="s">
        <v>22</v>
      </c>
      <c r="E144" s="1135" t="s">
        <v>22</v>
      </c>
      <c r="F144" s="1135" t="s">
        <v>22</v>
      </c>
      <c r="G144" s="1135" t="s">
        <v>22</v>
      </c>
      <c r="H144" s="992" t="s">
        <v>949</v>
      </c>
      <c r="I144" s="375" t="s">
        <v>1291</v>
      </c>
      <c r="J144" s="1263">
        <v>0.5</v>
      </c>
      <c r="K144" s="1264" t="s">
        <v>22</v>
      </c>
      <c r="L144" s="1128">
        <v>38338</v>
      </c>
      <c r="M144" s="1128">
        <v>40296</v>
      </c>
      <c r="N144" s="1135" t="s">
        <v>22</v>
      </c>
      <c r="O144" s="1149">
        <v>2010</v>
      </c>
      <c r="P144" s="1141">
        <v>515000</v>
      </c>
      <c r="Q144" s="1150">
        <v>5611007434</v>
      </c>
      <c r="R144" s="1150" t="s">
        <v>151</v>
      </c>
      <c r="S144" s="1142">
        <v>1.2167533333333331</v>
      </c>
      <c r="T144" s="1143" t="s">
        <v>140</v>
      </c>
      <c r="U144" s="1144">
        <v>2331.4443333333334</v>
      </c>
      <c r="V144" s="1141">
        <v>5611007434</v>
      </c>
      <c r="W144" s="1145">
        <v>10895</v>
      </c>
      <c r="X144" s="1145">
        <v>5448</v>
      </c>
      <c r="Y144" s="1596"/>
      <c r="Z144" s="1596"/>
      <c r="AA144" s="1597"/>
    </row>
    <row r="145" spans="1:28" s="417" customFormat="1" ht="71.25">
      <c r="A145" s="1226" t="s">
        <v>1288</v>
      </c>
      <c r="B145" s="1133" t="s">
        <v>1296</v>
      </c>
      <c r="C145" s="1135" t="s">
        <v>1297</v>
      </c>
      <c r="D145" s="1135" t="s">
        <v>22</v>
      </c>
      <c r="E145" s="1135" t="s">
        <v>22</v>
      </c>
      <c r="F145" s="1135" t="s">
        <v>22</v>
      </c>
      <c r="G145" s="1135" t="s">
        <v>22</v>
      </c>
      <c r="H145" s="992" t="s">
        <v>1141</v>
      </c>
      <c r="I145" s="375" t="s">
        <v>1581</v>
      </c>
      <c r="J145" s="1263">
        <v>1</v>
      </c>
      <c r="K145" s="1264" t="s">
        <v>22</v>
      </c>
      <c r="L145" s="1128">
        <v>40778</v>
      </c>
      <c r="M145" s="1128">
        <v>41225</v>
      </c>
      <c r="N145" s="1135" t="s">
        <v>22</v>
      </c>
      <c r="O145" s="1149">
        <v>2012</v>
      </c>
      <c r="P145" s="1141">
        <v>566700</v>
      </c>
      <c r="Q145" s="1150">
        <v>1568703830</v>
      </c>
      <c r="R145" s="1150" t="s">
        <v>151</v>
      </c>
      <c r="S145" s="1142">
        <v>1.2167533333333331</v>
      </c>
      <c r="T145" s="1143" t="s">
        <v>140</v>
      </c>
      <c r="U145" s="1144">
        <v>2331.4443333333334</v>
      </c>
      <c r="V145" s="1141">
        <v>1568703830</v>
      </c>
      <c r="W145" s="1145">
        <v>2768</v>
      </c>
      <c r="X145" s="1145">
        <v>2768</v>
      </c>
      <c r="Y145" s="1596"/>
      <c r="Z145" s="1596"/>
      <c r="AA145" s="1597"/>
    </row>
    <row r="146" spans="1:28" s="417" customFormat="1" ht="86.25" thickBot="1">
      <c r="A146" s="1226" t="s">
        <v>1288</v>
      </c>
      <c r="B146" s="1133" t="s">
        <v>1296</v>
      </c>
      <c r="C146" s="1135" t="s">
        <v>1297</v>
      </c>
      <c r="D146" s="1135" t="s">
        <v>22</v>
      </c>
      <c r="E146" s="1135" t="s">
        <v>22</v>
      </c>
      <c r="F146" s="1135" t="s">
        <v>22</v>
      </c>
      <c r="G146" s="1135" t="s">
        <v>22</v>
      </c>
      <c r="H146" s="992" t="s">
        <v>1582</v>
      </c>
      <c r="I146" s="375" t="s">
        <v>1583</v>
      </c>
      <c r="J146" s="1263">
        <v>0.5</v>
      </c>
      <c r="K146" s="1264" t="s">
        <v>22</v>
      </c>
      <c r="L146" s="1128">
        <v>37288</v>
      </c>
      <c r="M146" s="1128">
        <v>42136</v>
      </c>
      <c r="N146" s="1135" t="s">
        <v>22</v>
      </c>
      <c r="O146" s="1149">
        <v>2015</v>
      </c>
      <c r="P146" s="1141">
        <v>644350</v>
      </c>
      <c r="Q146" s="1150">
        <v>10251750257</v>
      </c>
      <c r="R146" s="1150" t="s">
        <v>151</v>
      </c>
      <c r="S146" s="1142">
        <v>1.2167533333333331</v>
      </c>
      <c r="T146" s="1143" t="s">
        <v>140</v>
      </c>
      <c r="U146" s="1144">
        <v>2331.4443333333334</v>
      </c>
      <c r="V146" s="1141">
        <v>10251750257</v>
      </c>
      <c r="W146" s="1145">
        <v>15910</v>
      </c>
      <c r="X146" s="1145">
        <v>7955</v>
      </c>
      <c r="Y146" s="1596"/>
      <c r="Z146" s="1596"/>
      <c r="AA146" s="1597"/>
    </row>
    <row r="147" spans="1:28" s="417" customFormat="1" ht="114">
      <c r="A147" s="1282" t="s">
        <v>1301</v>
      </c>
      <c r="B147" s="1216" t="s">
        <v>1302</v>
      </c>
      <c r="C147" s="419" t="s">
        <v>1303</v>
      </c>
      <c r="D147" s="1214" t="s">
        <v>22</v>
      </c>
      <c r="E147" s="1214" t="s">
        <v>22</v>
      </c>
      <c r="F147" s="1214" t="s">
        <v>22</v>
      </c>
      <c r="G147" s="1214" t="s">
        <v>22</v>
      </c>
      <c r="H147" s="1215" t="s">
        <v>1584</v>
      </c>
      <c r="I147" s="1216" t="s">
        <v>511</v>
      </c>
      <c r="J147" s="1265">
        <v>1</v>
      </c>
      <c r="K147" s="1283" t="s">
        <v>22</v>
      </c>
      <c r="L147" s="1218">
        <v>39839</v>
      </c>
      <c r="M147" s="1218">
        <v>40339</v>
      </c>
      <c r="N147" s="1214" t="s">
        <v>22</v>
      </c>
      <c r="O147" s="1219">
        <v>2010</v>
      </c>
      <c r="P147" s="1220">
        <v>515000</v>
      </c>
      <c r="Q147" s="1220">
        <v>864969.84</v>
      </c>
      <c r="R147" s="1220" t="s">
        <v>142</v>
      </c>
      <c r="S147" s="1222">
        <v>1.2167533333333331</v>
      </c>
      <c r="T147" s="1223">
        <v>1052454.9360527997</v>
      </c>
      <c r="U147" s="1224">
        <v>2331.4443333333334</v>
      </c>
      <c r="V147" s="1220">
        <v>2453740096.7489958</v>
      </c>
      <c r="W147" s="1225">
        <v>4765</v>
      </c>
      <c r="X147" s="1225">
        <v>4765</v>
      </c>
      <c r="Y147" s="1598" t="s">
        <v>22</v>
      </c>
      <c r="Z147" s="1598" t="s">
        <v>22</v>
      </c>
      <c r="AA147" s="1600" t="s">
        <v>129</v>
      </c>
    </row>
    <row r="148" spans="1:28" s="417" customFormat="1" ht="142.5">
      <c r="A148" s="1284" t="s">
        <v>1301</v>
      </c>
      <c r="B148" s="375" t="s">
        <v>1302</v>
      </c>
      <c r="C148" s="388" t="s">
        <v>1303</v>
      </c>
      <c r="D148" s="1135" t="s">
        <v>22</v>
      </c>
      <c r="E148" s="1135" t="s">
        <v>22</v>
      </c>
      <c r="F148" s="1135" t="s">
        <v>22</v>
      </c>
      <c r="G148" s="1135" t="s">
        <v>22</v>
      </c>
      <c r="H148" s="992" t="s">
        <v>1584</v>
      </c>
      <c r="I148" s="375" t="s">
        <v>510</v>
      </c>
      <c r="J148" s="1266">
        <v>1</v>
      </c>
      <c r="K148" s="1285" t="s">
        <v>22</v>
      </c>
      <c r="L148" s="1128">
        <v>37572</v>
      </c>
      <c r="M148" s="1128">
        <v>38330</v>
      </c>
      <c r="N148" s="1135" t="s">
        <v>22</v>
      </c>
      <c r="O148" s="1140">
        <v>2004</v>
      </c>
      <c r="P148" s="1141">
        <v>358000</v>
      </c>
      <c r="Q148" s="1141">
        <v>610050.4</v>
      </c>
      <c r="R148" s="1141" t="s">
        <v>142</v>
      </c>
      <c r="S148" s="1142">
        <v>1.2167533333333331</v>
      </c>
      <c r="T148" s="1143">
        <v>742280.85770133324</v>
      </c>
      <c r="U148" s="1144">
        <v>2331.4443333333334</v>
      </c>
      <c r="V148" s="1141">
        <v>1730586499.4295797</v>
      </c>
      <c r="W148" s="1145">
        <v>4834</v>
      </c>
      <c r="X148" s="1145">
        <v>4834</v>
      </c>
      <c r="Y148" s="1596"/>
      <c r="Z148" s="1596"/>
      <c r="AA148" s="1597"/>
    </row>
    <row r="149" spans="1:28" s="417" customFormat="1" ht="85.5">
      <c r="A149" s="1284" t="s">
        <v>1301</v>
      </c>
      <c r="B149" s="375" t="s">
        <v>1309</v>
      </c>
      <c r="C149" s="1135" t="s">
        <v>146</v>
      </c>
      <c r="D149" s="1135" t="s">
        <v>22</v>
      </c>
      <c r="E149" s="1135" t="s">
        <v>22</v>
      </c>
      <c r="F149" s="1135" t="s">
        <v>22</v>
      </c>
      <c r="G149" s="1135" t="s">
        <v>22</v>
      </c>
      <c r="H149" s="1135" t="s">
        <v>207</v>
      </c>
      <c r="I149" s="1135" t="s">
        <v>1585</v>
      </c>
      <c r="J149" s="1255">
        <v>0.55000000000000004</v>
      </c>
      <c r="K149" s="1285" t="s">
        <v>22</v>
      </c>
      <c r="L149" s="1286">
        <v>39860</v>
      </c>
      <c r="M149" s="1286">
        <v>41213</v>
      </c>
      <c r="N149" s="1135" t="s">
        <v>22</v>
      </c>
      <c r="O149" s="1140">
        <v>2012</v>
      </c>
      <c r="P149" s="1141">
        <v>566700</v>
      </c>
      <c r="Q149" s="1287">
        <v>8291206645</v>
      </c>
      <c r="R149" s="1141" t="s">
        <v>151</v>
      </c>
      <c r="S149" s="1142">
        <v>1.2167533333333331</v>
      </c>
      <c r="T149" s="1143" t="s">
        <v>140</v>
      </c>
      <c r="U149" s="1144">
        <v>2331.4443333333334</v>
      </c>
      <c r="V149" s="1141">
        <v>8291206645</v>
      </c>
      <c r="W149" s="1145">
        <v>14631</v>
      </c>
      <c r="X149" s="1145">
        <v>8047</v>
      </c>
      <c r="Y149" s="1596"/>
      <c r="Z149" s="1596"/>
      <c r="AA149" s="1597"/>
    </row>
    <row r="150" spans="1:28" s="417" customFormat="1" ht="157.5" thickBot="1">
      <c r="A150" s="1288" t="s">
        <v>1301</v>
      </c>
      <c r="B150" s="1232" t="s">
        <v>1309</v>
      </c>
      <c r="C150" s="1230" t="s">
        <v>146</v>
      </c>
      <c r="D150" s="1230" t="s">
        <v>22</v>
      </c>
      <c r="E150" s="1230" t="s">
        <v>22</v>
      </c>
      <c r="F150" s="1230" t="s">
        <v>22</v>
      </c>
      <c r="G150" s="1230" t="s">
        <v>22</v>
      </c>
      <c r="H150" s="1231" t="s">
        <v>517</v>
      </c>
      <c r="I150" s="1232" t="s">
        <v>1586</v>
      </c>
      <c r="J150" s="1259">
        <v>0.6</v>
      </c>
      <c r="K150" s="1289" t="s">
        <v>22</v>
      </c>
      <c r="L150" s="1246">
        <v>41649</v>
      </c>
      <c r="M150" s="1246">
        <v>42151</v>
      </c>
      <c r="N150" s="1230" t="s">
        <v>22</v>
      </c>
      <c r="O150" s="1253">
        <v>2015</v>
      </c>
      <c r="P150" s="1238">
        <v>644350</v>
      </c>
      <c r="Q150" s="1238">
        <v>4710651972</v>
      </c>
      <c r="R150" s="1238" t="s">
        <v>151</v>
      </c>
      <c r="S150" s="1241">
        <v>1.2167533333333331</v>
      </c>
      <c r="T150" s="1242" t="s">
        <v>140</v>
      </c>
      <c r="U150" s="1243">
        <v>2331.4443333333334</v>
      </c>
      <c r="V150" s="1238">
        <v>4710651972</v>
      </c>
      <c r="W150" s="1244">
        <v>7311</v>
      </c>
      <c r="X150" s="1244">
        <v>4387</v>
      </c>
      <c r="Y150" s="1599"/>
      <c r="Z150" s="1599"/>
      <c r="AA150" s="1601"/>
    </row>
    <row r="151" spans="1:28" s="417" customFormat="1" ht="114">
      <c r="A151" s="1226" t="s">
        <v>1312</v>
      </c>
      <c r="B151" s="1133" t="s">
        <v>1313</v>
      </c>
      <c r="C151" s="388" t="s">
        <v>1314</v>
      </c>
      <c r="D151" s="1135" t="s">
        <v>22</v>
      </c>
      <c r="E151" s="1135" t="s">
        <v>22</v>
      </c>
      <c r="F151" s="1135" t="s">
        <v>22</v>
      </c>
      <c r="G151" s="1135" t="s">
        <v>22</v>
      </c>
      <c r="H151" s="992" t="s">
        <v>442</v>
      </c>
      <c r="I151" s="375" t="s">
        <v>283</v>
      </c>
      <c r="J151" s="1263">
        <v>0.75</v>
      </c>
      <c r="K151" s="1264" t="s">
        <v>22</v>
      </c>
      <c r="L151" s="1128">
        <v>38374</v>
      </c>
      <c r="M151" s="1128">
        <v>39512</v>
      </c>
      <c r="N151" s="1135" t="s">
        <v>22</v>
      </c>
      <c r="O151" s="1149">
        <v>2008</v>
      </c>
      <c r="P151" s="1141">
        <v>461500</v>
      </c>
      <c r="Q151" s="1150">
        <v>4505935152</v>
      </c>
      <c r="R151" s="1150" t="s">
        <v>151</v>
      </c>
      <c r="S151" s="1142">
        <v>1.2167533333333331</v>
      </c>
      <c r="T151" s="1143" t="s">
        <v>140</v>
      </c>
      <c r="U151" s="1144">
        <v>2331.4443333333334</v>
      </c>
      <c r="V151" s="1141">
        <v>4505935152</v>
      </c>
      <c r="W151" s="1145">
        <v>9764</v>
      </c>
      <c r="X151" s="1145">
        <v>7323</v>
      </c>
      <c r="Y151" s="1596" t="s">
        <v>22</v>
      </c>
      <c r="Z151" s="1596" t="s">
        <v>22</v>
      </c>
      <c r="AA151" s="1597" t="s">
        <v>129</v>
      </c>
    </row>
    <row r="152" spans="1:28" s="417" customFormat="1" ht="85.5">
      <c r="A152" s="1226" t="s">
        <v>1312</v>
      </c>
      <c r="B152" s="1133" t="s">
        <v>1313</v>
      </c>
      <c r="C152" s="388" t="s">
        <v>1314</v>
      </c>
      <c r="D152" s="1135" t="s">
        <v>22</v>
      </c>
      <c r="E152" s="1135" t="s">
        <v>22</v>
      </c>
      <c r="F152" s="1135" t="s">
        <v>22</v>
      </c>
      <c r="G152" s="1135" t="s">
        <v>22</v>
      </c>
      <c r="H152" s="992" t="s">
        <v>448</v>
      </c>
      <c r="I152" s="375" t="s">
        <v>287</v>
      </c>
      <c r="J152" s="1263">
        <v>0.5</v>
      </c>
      <c r="K152" s="1264" t="s">
        <v>22</v>
      </c>
      <c r="L152" s="1128">
        <v>38034</v>
      </c>
      <c r="M152" s="1128">
        <v>40770</v>
      </c>
      <c r="N152" s="1135" t="s">
        <v>22</v>
      </c>
      <c r="O152" s="1149">
        <v>2011</v>
      </c>
      <c r="P152" s="1141">
        <v>535600</v>
      </c>
      <c r="Q152" s="1150">
        <v>9131630030</v>
      </c>
      <c r="R152" s="1150" t="s">
        <v>151</v>
      </c>
      <c r="S152" s="1142">
        <v>1.2167533333333331</v>
      </c>
      <c r="T152" s="1143" t="s">
        <v>140</v>
      </c>
      <c r="U152" s="1144">
        <v>2331.4443333333334</v>
      </c>
      <c r="V152" s="1141">
        <v>9131630030</v>
      </c>
      <c r="W152" s="1145">
        <v>17049</v>
      </c>
      <c r="X152" s="1145">
        <v>8525</v>
      </c>
      <c r="Y152" s="1596"/>
      <c r="Z152" s="1596"/>
      <c r="AA152" s="1597"/>
    </row>
    <row r="153" spans="1:28" s="417" customFormat="1" ht="99.75">
      <c r="A153" s="1226" t="s">
        <v>1312</v>
      </c>
      <c r="B153" s="1133" t="s">
        <v>1313</v>
      </c>
      <c r="C153" s="388" t="s">
        <v>1314</v>
      </c>
      <c r="D153" s="1135" t="s">
        <v>22</v>
      </c>
      <c r="E153" s="1135" t="s">
        <v>22</v>
      </c>
      <c r="F153" s="1135" t="s">
        <v>22</v>
      </c>
      <c r="G153" s="1135" t="s">
        <v>22</v>
      </c>
      <c r="H153" s="992" t="s">
        <v>493</v>
      </c>
      <c r="I153" s="375" t="s">
        <v>1587</v>
      </c>
      <c r="J153" s="1263">
        <v>1</v>
      </c>
      <c r="K153" s="1264" t="s">
        <v>22</v>
      </c>
      <c r="L153" s="1128">
        <v>38337</v>
      </c>
      <c r="M153" s="1128">
        <v>39401</v>
      </c>
      <c r="N153" s="1135" t="s">
        <v>22</v>
      </c>
      <c r="O153" s="1149">
        <v>2007</v>
      </c>
      <c r="P153" s="1141">
        <v>433700</v>
      </c>
      <c r="Q153" s="1150">
        <v>2544987926</v>
      </c>
      <c r="R153" s="1150" t="s">
        <v>151</v>
      </c>
      <c r="S153" s="1142">
        <v>1.2167533333333331</v>
      </c>
      <c r="T153" s="1143" t="s">
        <v>140</v>
      </c>
      <c r="U153" s="1144">
        <v>2331.4443333333334</v>
      </c>
      <c r="V153" s="1141">
        <v>2544987926</v>
      </c>
      <c r="W153" s="1145">
        <v>5868</v>
      </c>
      <c r="X153" s="1145">
        <v>5868</v>
      </c>
      <c r="Y153" s="1596"/>
      <c r="Z153" s="1596"/>
      <c r="AA153" s="1597"/>
    </row>
    <row r="154" spans="1:28" s="417" customFormat="1" ht="114.75" thickBot="1">
      <c r="A154" s="1226" t="s">
        <v>1312</v>
      </c>
      <c r="B154" s="1133" t="s">
        <v>1320</v>
      </c>
      <c r="C154" s="1135" t="s">
        <v>1321</v>
      </c>
      <c r="D154" s="1135" t="s">
        <v>22</v>
      </c>
      <c r="E154" s="1135" t="s">
        <v>22</v>
      </c>
      <c r="F154" s="1135" t="s">
        <v>22</v>
      </c>
      <c r="G154" s="1135" t="s">
        <v>22</v>
      </c>
      <c r="H154" s="992" t="s">
        <v>493</v>
      </c>
      <c r="I154" s="375" t="s">
        <v>1322</v>
      </c>
      <c r="J154" s="1263">
        <v>0.4</v>
      </c>
      <c r="K154" s="1264" t="s">
        <v>22</v>
      </c>
      <c r="L154" s="1128">
        <v>41109</v>
      </c>
      <c r="M154" s="1128">
        <v>42072</v>
      </c>
      <c r="N154" s="1135" t="s">
        <v>22</v>
      </c>
      <c r="O154" s="1149">
        <v>2015</v>
      </c>
      <c r="P154" s="1141">
        <v>644350</v>
      </c>
      <c r="Q154" s="1150">
        <v>5281678857</v>
      </c>
      <c r="R154" s="1150" t="s">
        <v>151</v>
      </c>
      <c r="S154" s="1142">
        <v>1.2167533333333331</v>
      </c>
      <c r="T154" s="1143" t="s">
        <v>140</v>
      </c>
      <c r="U154" s="1144">
        <v>2331.4443333333334</v>
      </c>
      <c r="V154" s="1141">
        <v>5281678857</v>
      </c>
      <c r="W154" s="1145">
        <v>8197</v>
      </c>
      <c r="X154" s="1145">
        <v>3279</v>
      </c>
      <c r="Y154" s="1596"/>
      <c r="Z154" s="1596"/>
      <c r="AA154" s="1597"/>
    </row>
    <row r="155" spans="1:28" s="417" customFormat="1" ht="71.25" customHeight="1">
      <c r="A155" s="1212" t="s">
        <v>1323</v>
      </c>
      <c r="B155" s="1213" t="s">
        <v>1324</v>
      </c>
      <c r="C155" s="419" t="s">
        <v>1325</v>
      </c>
      <c r="D155" s="1214" t="s">
        <v>22</v>
      </c>
      <c r="E155" s="1214" t="s">
        <v>22</v>
      </c>
      <c r="F155" s="1214" t="s">
        <v>22</v>
      </c>
      <c r="G155" s="1214" t="s">
        <v>22</v>
      </c>
      <c r="H155" s="1215" t="s">
        <v>147</v>
      </c>
      <c r="I155" s="1216" t="s">
        <v>1588</v>
      </c>
      <c r="J155" s="1269">
        <v>0.8</v>
      </c>
      <c r="K155" s="1270" t="s">
        <v>22</v>
      </c>
      <c r="L155" s="1218">
        <v>39548</v>
      </c>
      <c r="M155" s="1218">
        <v>40886</v>
      </c>
      <c r="N155" s="1214" t="s">
        <v>22</v>
      </c>
      <c r="O155" s="1251">
        <v>2011</v>
      </c>
      <c r="P155" s="1220">
        <v>535600</v>
      </c>
      <c r="Q155" s="1247">
        <v>1748928355</v>
      </c>
      <c r="R155" s="1247" t="s">
        <v>151</v>
      </c>
      <c r="S155" s="1222">
        <v>1.2167533333333331</v>
      </c>
      <c r="T155" s="1223" t="s">
        <v>140</v>
      </c>
      <c r="U155" s="1224">
        <v>2331.4443333333334</v>
      </c>
      <c r="V155" s="1220">
        <v>1748928355</v>
      </c>
      <c r="W155" s="1225">
        <v>3265</v>
      </c>
      <c r="X155" s="1225">
        <v>2612</v>
      </c>
      <c r="Y155" s="1598" t="s">
        <v>22</v>
      </c>
      <c r="Z155" s="1598" t="s">
        <v>22</v>
      </c>
      <c r="AA155" s="1600" t="s">
        <v>129</v>
      </c>
      <c r="AB155" s="1602" t="s">
        <v>1589</v>
      </c>
    </row>
    <row r="156" spans="1:28" s="417" customFormat="1" ht="57">
      <c r="A156" s="1226" t="s">
        <v>1323</v>
      </c>
      <c r="B156" s="1133" t="s">
        <v>1324</v>
      </c>
      <c r="C156" s="388" t="s">
        <v>1325</v>
      </c>
      <c r="D156" s="1135" t="s">
        <v>22</v>
      </c>
      <c r="E156" s="1135" t="s">
        <v>22</v>
      </c>
      <c r="F156" s="1135" t="s">
        <v>22</v>
      </c>
      <c r="G156" s="1135" t="s">
        <v>22</v>
      </c>
      <c r="H156" s="992" t="s">
        <v>155</v>
      </c>
      <c r="I156" s="375" t="s">
        <v>1590</v>
      </c>
      <c r="J156" s="1263">
        <v>0.8</v>
      </c>
      <c r="K156" s="1264" t="s">
        <v>22</v>
      </c>
      <c r="L156" s="1128">
        <v>41254</v>
      </c>
      <c r="M156" s="1128">
        <v>42035</v>
      </c>
      <c r="N156" s="1135" t="s">
        <v>22</v>
      </c>
      <c r="O156" s="1149">
        <v>2015</v>
      </c>
      <c r="P156" s="1141">
        <v>644350</v>
      </c>
      <c r="Q156" s="1150">
        <v>2160762156</v>
      </c>
      <c r="R156" s="1150" t="s">
        <v>151</v>
      </c>
      <c r="S156" s="1142">
        <v>1.2167533333333331</v>
      </c>
      <c r="T156" s="1143" t="s">
        <v>140</v>
      </c>
      <c r="U156" s="1144">
        <v>2331.4443333333334</v>
      </c>
      <c r="V156" s="1141">
        <v>2160762156</v>
      </c>
      <c r="W156" s="1145">
        <v>3353</v>
      </c>
      <c r="X156" s="1145">
        <v>2682</v>
      </c>
      <c r="Y156" s="1596"/>
      <c r="Z156" s="1596"/>
      <c r="AA156" s="1597"/>
      <c r="AB156" s="1603"/>
    </row>
    <row r="157" spans="1:28" s="417" customFormat="1" ht="42.75">
      <c r="A157" s="1226" t="s">
        <v>1323</v>
      </c>
      <c r="B157" s="1133" t="s">
        <v>1324</v>
      </c>
      <c r="C157" s="388" t="s">
        <v>1325</v>
      </c>
      <c r="D157" s="1135" t="s">
        <v>22</v>
      </c>
      <c r="E157" s="1135" t="s">
        <v>22</v>
      </c>
      <c r="F157" s="1135" t="s">
        <v>22</v>
      </c>
      <c r="G157" s="1135" t="s">
        <v>22</v>
      </c>
      <c r="H157" s="992" t="s">
        <v>1277</v>
      </c>
      <c r="I157" s="375" t="s">
        <v>1591</v>
      </c>
      <c r="J157" s="1263">
        <v>0.5</v>
      </c>
      <c r="K157" s="1264" t="s">
        <v>22</v>
      </c>
      <c r="L157" s="1128">
        <v>40441</v>
      </c>
      <c r="M157" s="1128">
        <v>41475</v>
      </c>
      <c r="N157" s="1135" t="s">
        <v>22</v>
      </c>
      <c r="O157" s="1149">
        <v>2013</v>
      </c>
      <c r="P157" s="1141">
        <v>589500</v>
      </c>
      <c r="Q157" s="1150">
        <v>3128173872</v>
      </c>
      <c r="R157" s="1150" t="s">
        <v>151</v>
      </c>
      <c r="S157" s="1142">
        <v>1.2167533333333331</v>
      </c>
      <c r="T157" s="1143" t="s">
        <v>140</v>
      </c>
      <c r="U157" s="1144">
        <v>2331.4443333333334</v>
      </c>
      <c r="V157" s="1141">
        <v>3128173872</v>
      </c>
      <c r="W157" s="1145">
        <v>5306</v>
      </c>
      <c r="X157" s="1145">
        <v>2653</v>
      </c>
      <c r="Y157" s="1596"/>
      <c r="Z157" s="1596"/>
      <c r="AA157" s="1597"/>
      <c r="AB157" s="1603"/>
    </row>
    <row r="158" spans="1:28" s="417" customFormat="1" ht="86.25" thickBot="1">
      <c r="A158" s="1228" t="s">
        <v>1323</v>
      </c>
      <c r="B158" s="1229" t="s">
        <v>1327</v>
      </c>
      <c r="C158" s="1230" t="s">
        <v>1328</v>
      </c>
      <c r="D158" s="1230" t="s">
        <v>22</v>
      </c>
      <c r="E158" s="1230" t="s">
        <v>22</v>
      </c>
      <c r="F158" s="1230" t="s">
        <v>22</v>
      </c>
      <c r="G158" s="1230" t="s">
        <v>22</v>
      </c>
      <c r="H158" s="1231" t="s">
        <v>1592</v>
      </c>
      <c r="I158" s="1232" t="s">
        <v>1593</v>
      </c>
      <c r="J158" s="1268">
        <v>1</v>
      </c>
      <c r="K158" s="1260" t="s">
        <v>22</v>
      </c>
      <c r="L158" s="1246">
        <v>41686</v>
      </c>
      <c r="M158" s="1246">
        <v>42160</v>
      </c>
      <c r="N158" s="1230" t="s">
        <v>22</v>
      </c>
      <c r="O158" s="1237">
        <v>2015</v>
      </c>
      <c r="P158" s="1238">
        <v>644350</v>
      </c>
      <c r="Q158" s="1240">
        <v>1686799414</v>
      </c>
      <c r="R158" s="1240" t="s">
        <v>151</v>
      </c>
      <c r="S158" s="1241">
        <v>1.2167533333333331</v>
      </c>
      <c r="T158" s="1242" t="s">
        <v>140</v>
      </c>
      <c r="U158" s="1243">
        <v>2331.4443333333334</v>
      </c>
      <c r="V158" s="1238">
        <v>1686799414</v>
      </c>
      <c r="W158" s="1244">
        <v>2618</v>
      </c>
      <c r="X158" s="1244">
        <v>2618</v>
      </c>
      <c r="Y158" s="1599"/>
      <c r="Z158" s="1599"/>
      <c r="AA158" s="1601"/>
      <c r="AB158" s="1603"/>
    </row>
    <row r="159" spans="1:28" s="417" customFormat="1" ht="42.75">
      <c r="A159" s="1226" t="s">
        <v>1336</v>
      </c>
      <c r="B159" s="1133" t="s">
        <v>1343</v>
      </c>
      <c r="C159" s="1135" t="s">
        <v>1344</v>
      </c>
      <c r="D159" s="1135" t="s">
        <v>22</v>
      </c>
      <c r="E159" s="1135" t="s">
        <v>22</v>
      </c>
      <c r="F159" s="1135" t="s">
        <v>22</v>
      </c>
      <c r="G159" s="1135" t="s">
        <v>22</v>
      </c>
      <c r="H159" s="992" t="s">
        <v>1477</v>
      </c>
      <c r="I159" s="375" t="s">
        <v>1594</v>
      </c>
      <c r="J159" s="1263">
        <v>1</v>
      </c>
      <c r="K159" s="1264" t="s">
        <v>22</v>
      </c>
      <c r="L159" s="1128">
        <v>39083</v>
      </c>
      <c r="M159" s="1128">
        <v>40147</v>
      </c>
      <c r="N159" s="1135" t="s">
        <v>22</v>
      </c>
      <c r="O159" s="1149">
        <v>2009</v>
      </c>
      <c r="P159" s="1141">
        <v>496900</v>
      </c>
      <c r="Q159" s="1150">
        <v>2052203069.46</v>
      </c>
      <c r="R159" s="1150" t="s">
        <v>151</v>
      </c>
      <c r="S159" s="1142">
        <v>1.2167533333333331</v>
      </c>
      <c r="T159" s="1143" t="s">
        <v>140</v>
      </c>
      <c r="U159" s="1144">
        <v>2331.4443333333334</v>
      </c>
      <c r="V159" s="1141">
        <v>2052203069.46</v>
      </c>
      <c r="W159" s="1145">
        <v>4130</v>
      </c>
      <c r="X159" s="1145">
        <v>4130</v>
      </c>
      <c r="Y159" s="1596" t="s">
        <v>22</v>
      </c>
      <c r="Z159" s="1596" t="s">
        <v>22</v>
      </c>
      <c r="AA159" s="1597" t="s">
        <v>129</v>
      </c>
    </row>
    <row r="160" spans="1:28" s="417" customFormat="1" ht="57">
      <c r="A160" s="1226" t="s">
        <v>1336</v>
      </c>
      <c r="B160" s="1133" t="s">
        <v>1343</v>
      </c>
      <c r="C160" s="1135" t="s">
        <v>1344</v>
      </c>
      <c r="D160" s="1135" t="s">
        <v>22</v>
      </c>
      <c r="E160" s="1135" t="s">
        <v>22</v>
      </c>
      <c r="F160" s="1135" t="s">
        <v>22</v>
      </c>
      <c r="G160" s="1135" t="s">
        <v>22</v>
      </c>
      <c r="H160" s="992" t="s">
        <v>448</v>
      </c>
      <c r="I160" s="375" t="s">
        <v>1595</v>
      </c>
      <c r="J160" s="1263">
        <v>0.65</v>
      </c>
      <c r="K160" s="1264" t="s">
        <v>22</v>
      </c>
      <c r="L160" s="1128">
        <v>37839</v>
      </c>
      <c r="M160" s="1128">
        <v>38612</v>
      </c>
      <c r="N160" s="1135" t="s">
        <v>22</v>
      </c>
      <c r="O160" s="1149">
        <v>2005</v>
      </c>
      <c r="P160" s="1141">
        <v>381500</v>
      </c>
      <c r="Q160" s="1150">
        <v>6190975758</v>
      </c>
      <c r="R160" s="1150" t="s">
        <v>151</v>
      </c>
      <c r="S160" s="1142">
        <v>1.2167533333333331</v>
      </c>
      <c r="T160" s="1143" t="s">
        <v>140</v>
      </c>
      <c r="U160" s="1144">
        <v>2331.4443333333334</v>
      </c>
      <c r="V160" s="1141">
        <v>6190975758</v>
      </c>
      <c r="W160" s="1145">
        <v>16228</v>
      </c>
      <c r="X160" s="1145">
        <v>10548</v>
      </c>
      <c r="Y160" s="1596"/>
      <c r="Z160" s="1596"/>
      <c r="AA160" s="1597"/>
    </row>
    <row r="161" spans="1:27" s="417" customFormat="1" ht="57">
      <c r="A161" s="1226" t="s">
        <v>1336</v>
      </c>
      <c r="B161" s="1133" t="s">
        <v>1337</v>
      </c>
      <c r="C161" s="1135" t="s">
        <v>1338</v>
      </c>
      <c r="D161" s="1135" t="s">
        <v>22</v>
      </c>
      <c r="E161" s="1135" t="s">
        <v>22</v>
      </c>
      <c r="F161" s="1135" t="s">
        <v>22</v>
      </c>
      <c r="G161" s="1135" t="s">
        <v>22</v>
      </c>
      <c r="H161" s="992" t="s">
        <v>562</v>
      </c>
      <c r="I161" s="375" t="s">
        <v>1596</v>
      </c>
      <c r="J161" s="1263">
        <v>1</v>
      </c>
      <c r="K161" s="1264" t="s">
        <v>22</v>
      </c>
      <c r="L161" s="1128">
        <v>37495</v>
      </c>
      <c r="M161" s="1128">
        <v>37863</v>
      </c>
      <c r="N161" s="1135" t="s">
        <v>22</v>
      </c>
      <c r="O161" s="1149">
        <v>2003</v>
      </c>
      <c r="P161" s="1141">
        <v>332000</v>
      </c>
      <c r="Q161" s="1150">
        <v>23799200.760000002</v>
      </c>
      <c r="R161" s="1150" t="s">
        <v>525</v>
      </c>
      <c r="S161" s="1142">
        <v>1.2167533333333331</v>
      </c>
      <c r="T161" s="1143">
        <v>28957756.855399199</v>
      </c>
      <c r="U161" s="1144">
        <v>2331.4443333333334</v>
      </c>
      <c r="V161" s="1141">
        <v>67513398126.564949</v>
      </c>
      <c r="W161" s="1145">
        <v>203354</v>
      </c>
      <c r="X161" s="1145">
        <v>203354</v>
      </c>
      <c r="Y161" s="1596"/>
      <c r="Z161" s="1596"/>
      <c r="AA161" s="1597"/>
    </row>
    <row r="162" spans="1:27" s="417" customFormat="1" ht="86.25" thickBot="1">
      <c r="A162" s="1226" t="s">
        <v>1336</v>
      </c>
      <c r="B162" s="1133" t="s">
        <v>1337</v>
      </c>
      <c r="C162" s="1135" t="s">
        <v>1338</v>
      </c>
      <c r="D162" s="1135" t="s">
        <v>22</v>
      </c>
      <c r="E162" s="1135" t="s">
        <v>22</v>
      </c>
      <c r="F162" s="1135" t="s">
        <v>22</v>
      </c>
      <c r="G162" s="1135" t="s">
        <v>22</v>
      </c>
      <c r="H162" s="992" t="s">
        <v>562</v>
      </c>
      <c r="I162" s="375" t="s">
        <v>1597</v>
      </c>
      <c r="J162" s="1263">
        <v>1</v>
      </c>
      <c r="K162" s="1264" t="s">
        <v>22</v>
      </c>
      <c r="L162" s="1128">
        <v>38943</v>
      </c>
      <c r="M162" s="1128">
        <v>39478</v>
      </c>
      <c r="N162" s="1135" t="s">
        <v>22</v>
      </c>
      <c r="O162" s="1149">
        <v>2008</v>
      </c>
      <c r="P162" s="1141">
        <v>461500</v>
      </c>
      <c r="Q162" s="1150">
        <v>12952658.289999999</v>
      </c>
      <c r="R162" s="1150" t="s">
        <v>525</v>
      </c>
      <c r="S162" s="1142">
        <v>1.2167533333333331</v>
      </c>
      <c r="T162" s="1143">
        <v>15760190.149885129</v>
      </c>
      <c r="U162" s="1144">
        <v>2331.4443333333334</v>
      </c>
      <c r="V162" s="1141">
        <v>36744006017.205505</v>
      </c>
      <c r="W162" s="1145">
        <v>79619</v>
      </c>
      <c r="X162" s="1145">
        <v>79619</v>
      </c>
      <c r="Y162" s="1596"/>
      <c r="Z162" s="1596"/>
      <c r="AA162" s="1597"/>
    </row>
    <row r="163" spans="1:27" s="417" customFormat="1" ht="42.75">
      <c r="A163" s="1212" t="s">
        <v>1347</v>
      </c>
      <c r="B163" s="1213" t="s">
        <v>1348</v>
      </c>
      <c r="C163" s="1214" t="s">
        <v>1349</v>
      </c>
      <c r="D163" s="1214" t="s">
        <v>22</v>
      </c>
      <c r="E163" s="1214" t="s">
        <v>22</v>
      </c>
      <c r="F163" s="1214" t="s">
        <v>22</v>
      </c>
      <c r="G163" s="1214" t="s">
        <v>22</v>
      </c>
      <c r="H163" s="1215" t="s">
        <v>1477</v>
      </c>
      <c r="I163" s="1216" t="s">
        <v>1598</v>
      </c>
      <c r="J163" s="1269">
        <v>1</v>
      </c>
      <c r="K163" s="1270" t="s">
        <v>22</v>
      </c>
      <c r="L163" s="1218">
        <v>36523</v>
      </c>
      <c r="M163" s="1218">
        <v>37769</v>
      </c>
      <c r="N163" s="1214" t="s">
        <v>22</v>
      </c>
      <c r="O163" s="1251">
        <v>2003</v>
      </c>
      <c r="P163" s="1220">
        <v>332000</v>
      </c>
      <c r="Q163" s="1247">
        <v>3291518374</v>
      </c>
      <c r="R163" s="1247" t="s">
        <v>151</v>
      </c>
      <c r="S163" s="1222">
        <v>1.2167533333333331</v>
      </c>
      <c r="T163" s="1223" t="s">
        <v>140</v>
      </c>
      <c r="U163" s="1224">
        <v>2331.4443333333334</v>
      </c>
      <c r="V163" s="1220">
        <v>3291518374</v>
      </c>
      <c r="W163" s="1225">
        <v>9914</v>
      </c>
      <c r="X163" s="1225">
        <v>9914</v>
      </c>
      <c r="Y163" s="1598" t="s">
        <v>22</v>
      </c>
      <c r="Z163" s="1598" t="s">
        <v>22</v>
      </c>
      <c r="AA163" s="1600" t="s">
        <v>129</v>
      </c>
    </row>
    <row r="164" spans="1:27" s="417" customFormat="1" ht="71.25">
      <c r="A164" s="1226" t="s">
        <v>1347</v>
      </c>
      <c r="B164" s="1133" t="s">
        <v>1348</v>
      </c>
      <c r="C164" s="1135" t="s">
        <v>1349</v>
      </c>
      <c r="D164" s="1135" t="s">
        <v>22</v>
      </c>
      <c r="E164" s="1135" t="s">
        <v>22</v>
      </c>
      <c r="F164" s="1135" t="s">
        <v>22</v>
      </c>
      <c r="G164" s="1135" t="s">
        <v>22</v>
      </c>
      <c r="H164" s="992" t="s">
        <v>448</v>
      </c>
      <c r="I164" s="375" t="s">
        <v>1599</v>
      </c>
      <c r="J164" s="1263">
        <v>0.65</v>
      </c>
      <c r="K164" s="1264" t="s">
        <v>22</v>
      </c>
      <c r="L164" s="1128">
        <v>37986</v>
      </c>
      <c r="M164" s="1128">
        <v>40748</v>
      </c>
      <c r="N164" s="1135" t="s">
        <v>22</v>
      </c>
      <c r="O164" s="1149">
        <v>2011</v>
      </c>
      <c r="P164" s="1141">
        <v>535600</v>
      </c>
      <c r="Q164" s="1150">
        <v>6087540759</v>
      </c>
      <c r="R164" s="1150" t="s">
        <v>151</v>
      </c>
      <c r="S164" s="1142">
        <v>1.2167533333333331</v>
      </c>
      <c r="T164" s="1143" t="s">
        <v>140</v>
      </c>
      <c r="U164" s="1144">
        <v>2331.4443333333334</v>
      </c>
      <c r="V164" s="1141">
        <v>6087540759</v>
      </c>
      <c r="W164" s="1145">
        <v>11366</v>
      </c>
      <c r="X164" s="1145">
        <v>7388</v>
      </c>
      <c r="Y164" s="1596"/>
      <c r="Z164" s="1596"/>
      <c r="AA164" s="1597"/>
    </row>
    <row r="165" spans="1:27" s="417" customFormat="1" ht="99.75">
      <c r="A165" s="1226" t="s">
        <v>1347</v>
      </c>
      <c r="B165" s="1133" t="s">
        <v>1353</v>
      </c>
      <c r="C165" s="388" t="s">
        <v>1354</v>
      </c>
      <c r="D165" s="1135" t="s">
        <v>22</v>
      </c>
      <c r="E165" s="1135" t="s">
        <v>22</v>
      </c>
      <c r="F165" s="1135" t="s">
        <v>22</v>
      </c>
      <c r="G165" s="1135" t="s">
        <v>22</v>
      </c>
      <c r="H165" s="1135" t="s">
        <v>155</v>
      </c>
      <c r="I165" s="1135" t="s">
        <v>1600</v>
      </c>
      <c r="J165" s="1255">
        <v>0.75</v>
      </c>
      <c r="K165" s="1264" t="s">
        <v>22</v>
      </c>
      <c r="L165" s="1271">
        <v>38678</v>
      </c>
      <c r="M165" s="1271">
        <v>39690</v>
      </c>
      <c r="N165" s="1135" t="s">
        <v>22</v>
      </c>
      <c r="O165" s="1149">
        <v>2008</v>
      </c>
      <c r="P165" s="1141">
        <v>461500</v>
      </c>
      <c r="Q165" s="1150">
        <v>1702409736</v>
      </c>
      <c r="R165" s="1149" t="s">
        <v>151</v>
      </c>
      <c r="S165" s="1142">
        <v>1.2167533333333331</v>
      </c>
      <c r="T165" s="1143" t="s">
        <v>140</v>
      </c>
      <c r="U165" s="1144">
        <v>2331.4443333333334</v>
      </c>
      <c r="V165" s="1141">
        <v>1702409736</v>
      </c>
      <c r="W165" s="1145">
        <v>3689</v>
      </c>
      <c r="X165" s="1145">
        <v>2767</v>
      </c>
      <c r="Y165" s="1596"/>
      <c r="Z165" s="1596"/>
      <c r="AA165" s="1597"/>
    </row>
    <row r="166" spans="1:27" s="417" customFormat="1" ht="57.75" thickBot="1">
      <c r="A166" s="1228" t="s">
        <v>1347</v>
      </c>
      <c r="B166" s="1229" t="s">
        <v>1348</v>
      </c>
      <c r="C166" s="1230" t="s">
        <v>1349</v>
      </c>
      <c r="D166" s="1230" t="s">
        <v>22</v>
      </c>
      <c r="E166" s="1230" t="s">
        <v>22</v>
      </c>
      <c r="F166" s="1230" t="s">
        <v>22</v>
      </c>
      <c r="G166" s="1230" t="s">
        <v>22</v>
      </c>
      <c r="H166" s="1231" t="s">
        <v>1477</v>
      </c>
      <c r="I166" s="1232" t="s">
        <v>1601</v>
      </c>
      <c r="J166" s="1268">
        <v>1</v>
      </c>
      <c r="K166" s="1260" t="s">
        <v>22</v>
      </c>
      <c r="L166" s="1246">
        <v>38366</v>
      </c>
      <c r="M166" s="1246">
        <v>39064</v>
      </c>
      <c r="N166" s="1230" t="s">
        <v>22</v>
      </c>
      <c r="O166" s="1237">
        <v>2006</v>
      </c>
      <c r="P166" s="1238">
        <v>408000</v>
      </c>
      <c r="Q166" s="1240">
        <v>1473683024</v>
      </c>
      <c r="R166" s="1240" t="s">
        <v>151</v>
      </c>
      <c r="S166" s="1241">
        <v>1.2167533333333331</v>
      </c>
      <c r="T166" s="1242" t="s">
        <v>140</v>
      </c>
      <c r="U166" s="1243">
        <v>2331.4443333333334</v>
      </c>
      <c r="V166" s="1238">
        <v>1473683024</v>
      </c>
      <c r="W166" s="1244">
        <v>3612</v>
      </c>
      <c r="X166" s="1244">
        <v>3612</v>
      </c>
      <c r="Y166" s="1599"/>
      <c r="Z166" s="1599"/>
      <c r="AA166" s="1601"/>
    </row>
    <row r="167" spans="1:27" s="417" customFormat="1" ht="85.5">
      <c r="A167" s="1226" t="s">
        <v>1359</v>
      </c>
      <c r="B167" s="1133" t="s">
        <v>1360</v>
      </c>
      <c r="C167" s="1135" t="s">
        <v>1361</v>
      </c>
      <c r="D167" s="1135" t="s">
        <v>22</v>
      </c>
      <c r="E167" s="1135" t="s">
        <v>22</v>
      </c>
      <c r="F167" s="1135" t="s">
        <v>22</v>
      </c>
      <c r="G167" s="1135" t="s">
        <v>22</v>
      </c>
      <c r="H167" s="992" t="s">
        <v>1602</v>
      </c>
      <c r="I167" s="375" t="s">
        <v>1603</v>
      </c>
      <c r="J167" s="1263">
        <v>1</v>
      </c>
      <c r="K167" s="1264" t="s">
        <v>22</v>
      </c>
      <c r="L167" s="1128">
        <v>37204</v>
      </c>
      <c r="M167" s="1128">
        <v>38299</v>
      </c>
      <c r="N167" s="1135" t="s">
        <v>22</v>
      </c>
      <c r="O167" s="1149">
        <v>2004</v>
      </c>
      <c r="P167" s="1141">
        <v>358000</v>
      </c>
      <c r="Q167" s="1150">
        <v>1278307099</v>
      </c>
      <c r="R167" s="1150" t="s">
        <v>151</v>
      </c>
      <c r="S167" s="1142">
        <v>1.2167533333333331</v>
      </c>
      <c r="T167" s="1143" t="s">
        <v>140</v>
      </c>
      <c r="U167" s="1144">
        <v>2331.4443333333334</v>
      </c>
      <c r="V167" s="1141">
        <v>1278307099</v>
      </c>
      <c r="W167" s="1145">
        <v>3571</v>
      </c>
      <c r="X167" s="1145">
        <v>3571</v>
      </c>
      <c r="Y167" s="1596" t="s">
        <v>22</v>
      </c>
      <c r="Z167" s="1596" t="s">
        <v>22</v>
      </c>
      <c r="AA167" s="1597" t="s">
        <v>129</v>
      </c>
    </row>
    <row r="168" spans="1:27" s="417" customFormat="1" ht="99.75">
      <c r="A168" s="1226" t="s">
        <v>1359</v>
      </c>
      <c r="B168" s="1133" t="s">
        <v>1360</v>
      </c>
      <c r="C168" s="1135" t="s">
        <v>1361</v>
      </c>
      <c r="D168" s="1135" t="s">
        <v>22</v>
      </c>
      <c r="E168" s="1135" t="s">
        <v>22</v>
      </c>
      <c r="F168" s="1135" t="s">
        <v>22</v>
      </c>
      <c r="G168" s="1135" t="s">
        <v>22</v>
      </c>
      <c r="H168" s="992" t="s">
        <v>1362</v>
      </c>
      <c r="I168" s="375" t="s">
        <v>1368</v>
      </c>
      <c r="J168" s="1263">
        <v>0.5</v>
      </c>
      <c r="K168" s="1264" t="s">
        <v>22</v>
      </c>
      <c r="L168" s="1128">
        <v>36312</v>
      </c>
      <c r="M168" s="1128">
        <v>37833</v>
      </c>
      <c r="N168" s="1135" t="s">
        <v>22</v>
      </c>
      <c r="O168" s="1149">
        <v>2003</v>
      </c>
      <c r="P168" s="1141">
        <v>332000</v>
      </c>
      <c r="Q168" s="1150">
        <v>5331439397</v>
      </c>
      <c r="R168" s="1150" t="s">
        <v>151</v>
      </c>
      <c r="S168" s="1142">
        <v>1.2167533333333331</v>
      </c>
      <c r="T168" s="1143" t="s">
        <v>140</v>
      </c>
      <c r="U168" s="1144">
        <v>2331.4443333333334</v>
      </c>
      <c r="V168" s="1141">
        <v>5331439397</v>
      </c>
      <c r="W168" s="1145">
        <v>16059</v>
      </c>
      <c r="X168" s="1145">
        <v>8030</v>
      </c>
      <c r="Y168" s="1596"/>
      <c r="Z168" s="1596"/>
      <c r="AA168" s="1597"/>
    </row>
    <row r="169" spans="1:27" s="417" customFormat="1" ht="99.75">
      <c r="A169" s="1226" t="s">
        <v>1359</v>
      </c>
      <c r="B169" s="1133" t="s">
        <v>1360</v>
      </c>
      <c r="C169" s="1135" t="s">
        <v>1361</v>
      </c>
      <c r="D169" s="1135" t="s">
        <v>22</v>
      </c>
      <c r="E169" s="1135" t="s">
        <v>22</v>
      </c>
      <c r="F169" s="1135" t="s">
        <v>22</v>
      </c>
      <c r="G169" s="1135" t="s">
        <v>22</v>
      </c>
      <c r="H169" s="992" t="s">
        <v>1362</v>
      </c>
      <c r="I169" s="375" t="s">
        <v>1604</v>
      </c>
      <c r="J169" s="1263">
        <v>1</v>
      </c>
      <c r="K169" s="1264" t="s">
        <v>22</v>
      </c>
      <c r="L169" s="1128">
        <v>38323</v>
      </c>
      <c r="M169" s="1128">
        <v>40694</v>
      </c>
      <c r="N169" s="1135" t="s">
        <v>22</v>
      </c>
      <c r="O169" s="1149">
        <v>2011</v>
      </c>
      <c r="P169" s="1141">
        <v>535600</v>
      </c>
      <c r="Q169" s="1150">
        <v>8415351165</v>
      </c>
      <c r="R169" s="1150" t="s">
        <v>151</v>
      </c>
      <c r="S169" s="1142">
        <v>1.2167533333333331</v>
      </c>
      <c r="T169" s="1143" t="s">
        <v>140</v>
      </c>
      <c r="U169" s="1144">
        <v>2331.4443333333334</v>
      </c>
      <c r="V169" s="1141">
        <v>8415351165</v>
      </c>
      <c r="W169" s="1145">
        <v>15712</v>
      </c>
      <c r="X169" s="1145">
        <v>15712</v>
      </c>
      <c r="Y169" s="1596"/>
      <c r="Z169" s="1596"/>
      <c r="AA169" s="1597"/>
    </row>
    <row r="170" spans="1:27" s="417" customFormat="1" ht="114.75" thickBot="1">
      <c r="A170" s="1226" t="s">
        <v>1359</v>
      </c>
      <c r="B170" s="1133" t="s">
        <v>1360</v>
      </c>
      <c r="C170" s="1135" t="s">
        <v>1361</v>
      </c>
      <c r="D170" s="1135" t="s">
        <v>22</v>
      </c>
      <c r="E170" s="1135" t="s">
        <v>22</v>
      </c>
      <c r="F170" s="1135" t="s">
        <v>22</v>
      </c>
      <c r="G170" s="1135" t="s">
        <v>22</v>
      </c>
      <c r="H170" s="992" t="s">
        <v>1364</v>
      </c>
      <c r="I170" s="375" t="s">
        <v>1365</v>
      </c>
      <c r="J170" s="1263">
        <v>1</v>
      </c>
      <c r="K170" s="1264" t="s">
        <v>22</v>
      </c>
      <c r="L170" s="1128">
        <v>39246</v>
      </c>
      <c r="M170" s="1128">
        <v>40311</v>
      </c>
      <c r="N170" s="1135" t="s">
        <v>22</v>
      </c>
      <c r="O170" s="1149">
        <v>2010</v>
      </c>
      <c r="P170" s="1141">
        <v>515000</v>
      </c>
      <c r="Q170" s="1150">
        <v>4653247176</v>
      </c>
      <c r="R170" s="1150" t="s">
        <v>151</v>
      </c>
      <c r="S170" s="1142">
        <v>1.2167533333333331</v>
      </c>
      <c r="T170" s="1143" t="s">
        <v>140</v>
      </c>
      <c r="U170" s="1144">
        <v>2331.4443333333334</v>
      </c>
      <c r="V170" s="1141">
        <v>4653247176</v>
      </c>
      <c r="W170" s="1145">
        <v>9035</v>
      </c>
      <c r="X170" s="1145">
        <v>9035</v>
      </c>
      <c r="Y170" s="1596"/>
      <c r="Z170" s="1596"/>
      <c r="AA170" s="1597"/>
    </row>
    <row r="171" spans="1:27" s="417" customFormat="1" ht="57">
      <c r="A171" s="1212" t="s">
        <v>1371</v>
      </c>
      <c r="B171" s="1213" t="s">
        <v>1372</v>
      </c>
      <c r="C171" s="1214" t="s">
        <v>1373</v>
      </c>
      <c r="D171" s="1214" t="s">
        <v>22</v>
      </c>
      <c r="E171" s="1214" t="s">
        <v>22</v>
      </c>
      <c r="F171" s="1214" t="s">
        <v>129</v>
      </c>
      <c r="G171" s="1214" t="s">
        <v>129</v>
      </c>
      <c r="H171" s="1215" t="s">
        <v>1375</v>
      </c>
      <c r="I171" s="1216" t="s">
        <v>1605</v>
      </c>
      <c r="J171" s="1269">
        <v>0.45</v>
      </c>
      <c r="K171" s="1270" t="s">
        <v>22</v>
      </c>
      <c r="L171" s="1218">
        <v>39125</v>
      </c>
      <c r="M171" s="1218">
        <v>42012</v>
      </c>
      <c r="N171" s="1214" t="s">
        <v>22</v>
      </c>
      <c r="O171" s="1251">
        <v>2015</v>
      </c>
      <c r="P171" s="1220">
        <v>644350</v>
      </c>
      <c r="Q171" s="1247">
        <v>15319357761</v>
      </c>
      <c r="R171" s="1247" t="s">
        <v>151</v>
      </c>
      <c r="S171" s="1222">
        <v>1.2167533333333331</v>
      </c>
      <c r="T171" s="1223" t="s">
        <v>140</v>
      </c>
      <c r="U171" s="1224">
        <v>2331.4443333333334</v>
      </c>
      <c r="V171" s="1220">
        <v>15319357761</v>
      </c>
      <c r="W171" s="1225">
        <v>23775</v>
      </c>
      <c r="X171" s="1225">
        <v>10699</v>
      </c>
      <c r="Y171" s="1598" t="s">
        <v>22</v>
      </c>
      <c r="Z171" s="1598" t="s">
        <v>22</v>
      </c>
      <c r="AA171" s="1600" t="s">
        <v>129</v>
      </c>
    </row>
    <row r="172" spans="1:27" s="417" customFormat="1" ht="285">
      <c r="A172" s="1226" t="s">
        <v>1371</v>
      </c>
      <c r="B172" s="1133" t="s">
        <v>1377</v>
      </c>
      <c r="C172" s="388" t="s">
        <v>1378</v>
      </c>
      <c r="D172" s="1135" t="s">
        <v>22</v>
      </c>
      <c r="E172" s="1135" t="s">
        <v>22</v>
      </c>
      <c r="F172" s="1135" t="s">
        <v>129</v>
      </c>
      <c r="G172" s="1135" t="s">
        <v>129</v>
      </c>
      <c r="H172" s="992" t="s">
        <v>448</v>
      </c>
      <c r="I172" s="375" t="s">
        <v>1379</v>
      </c>
      <c r="J172" s="1263">
        <v>0.2</v>
      </c>
      <c r="K172" s="1264" t="s">
        <v>22</v>
      </c>
      <c r="L172" s="1128">
        <v>39615</v>
      </c>
      <c r="M172" s="1128">
        <v>41502</v>
      </c>
      <c r="N172" s="1135" t="s">
        <v>22</v>
      </c>
      <c r="O172" s="1149">
        <v>2013</v>
      </c>
      <c r="P172" s="1141">
        <v>589500</v>
      </c>
      <c r="Q172" s="1150">
        <v>28736581560</v>
      </c>
      <c r="R172" s="1150" t="s">
        <v>151</v>
      </c>
      <c r="S172" s="1142">
        <v>1.2167533333333331</v>
      </c>
      <c r="T172" s="1143" t="s">
        <v>140</v>
      </c>
      <c r="U172" s="1144">
        <v>2331.4443333333334</v>
      </c>
      <c r="V172" s="1141">
        <v>28736581560</v>
      </c>
      <c r="W172" s="1145">
        <v>48747</v>
      </c>
      <c r="X172" s="1145">
        <v>9749</v>
      </c>
      <c r="Y172" s="1596"/>
      <c r="Z172" s="1596"/>
      <c r="AA172" s="1597"/>
    </row>
    <row r="173" spans="1:27" s="417" customFormat="1" ht="99.75">
      <c r="A173" s="1226" t="s">
        <v>1371</v>
      </c>
      <c r="B173" s="1133" t="s">
        <v>1372</v>
      </c>
      <c r="C173" s="1135" t="s">
        <v>1373</v>
      </c>
      <c r="D173" s="1135" t="s">
        <v>22</v>
      </c>
      <c r="E173" s="1135" t="s">
        <v>22</v>
      </c>
      <c r="F173" s="1135" t="s">
        <v>129</v>
      </c>
      <c r="G173" s="1135" t="s">
        <v>129</v>
      </c>
      <c r="H173" s="992" t="s">
        <v>155</v>
      </c>
      <c r="I173" s="375" t="s">
        <v>1606</v>
      </c>
      <c r="J173" s="1263">
        <v>0.9</v>
      </c>
      <c r="K173" s="1264" t="s">
        <v>22</v>
      </c>
      <c r="L173" s="1128">
        <v>38341</v>
      </c>
      <c r="M173" s="1128">
        <v>40694</v>
      </c>
      <c r="N173" s="1135" t="s">
        <v>22</v>
      </c>
      <c r="O173" s="1149">
        <v>2011</v>
      </c>
      <c r="P173" s="1141">
        <v>535600</v>
      </c>
      <c r="Q173" s="1150">
        <v>5410438796</v>
      </c>
      <c r="R173" s="1150" t="s">
        <v>151</v>
      </c>
      <c r="S173" s="1142">
        <v>1.2167533333333331</v>
      </c>
      <c r="T173" s="1143" t="s">
        <v>140</v>
      </c>
      <c r="U173" s="1144">
        <v>2331.4443333333334</v>
      </c>
      <c r="V173" s="1141">
        <v>5410438796</v>
      </c>
      <c r="W173" s="1145">
        <v>10102</v>
      </c>
      <c r="X173" s="1145">
        <v>9092</v>
      </c>
      <c r="Y173" s="1596"/>
      <c r="Z173" s="1596"/>
      <c r="AA173" s="1597"/>
    </row>
    <row r="174" spans="1:27" s="417" customFormat="1" ht="57.75" thickBot="1">
      <c r="A174" s="1228" t="s">
        <v>1371</v>
      </c>
      <c r="B174" s="1229" t="s">
        <v>1380</v>
      </c>
      <c r="C174" s="420" t="s">
        <v>1381</v>
      </c>
      <c r="D174" s="1230" t="s">
        <v>22</v>
      </c>
      <c r="E174" s="1230" t="s">
        <v>22</v>
      </c>
      <c r="F174" s="1230" t="s">
        <v>129</v>
      </c>
      <c r="G174" s="1230" t="s">
        <v>129</v>
      </c>
      <c r="H174" s="1231" t="s">
        <v>214</v>
      </c>
      <c r="I174" s="1232" t="s">
        <v>1383</v>
      </c>
      <c r="J174" s="1268">
        <v>1</v>
      </c>
      <c r="K174" s="1260" t="s">
        <v>22</v>
      </c>
      <c r="L174" s="1246">
        <v>36850</v>
      </c>
      <c r="M174" s="1246">
        <v>38291</v>
      </c>
      <c r="N174" s="1230" t="s">
        <v>22</v>
      </c>
      <c r="O174" s="1237">
        <v>2004</v>
      </c>
      <c r="P174" s="1238">
        <v>358000</v>
      </c>
      <c r="Q174" s="1240">
        <v>1526917.675</v>
      </c>
      <c r="R174" s="1240" t="s">
        <v>142</v>
      </c>
      <c r="S174" s="1241">
        <v>1.2167533333333331</v>
      </c>
      <c r="T174" s="1242">
        <v>1857882.1707818331</v>
      </c>
      <c r="U174" s="1243">
        <v>2331.4443333333334</v>
      </c>
      <c r="V174" s="1238">
        <v>4331548859.0703373</v>
      </c>
      <c r="W174" s="1244">
        <v>12099</v>
      </c>
      <c r="X174" s="1244">
        <v>12099</v>
      </c>
      <c r="Y174" s="1599"/>
      <c r="Z174" s="1599"/>
      <c r="AA174" s="1601"/>
    </row>
    <row r="175" spans="1:27" s="417" customFormat="1" ht="47.25">
      <c r="A175" s="1226" t="s">
        <v>1386</v>
      </c>
      <c r="B175" s="1133" t="s">
        <v>1387</v>
      </c>
      <c r="C175" s="388" t="s">
        <v>1388</v>
      </c>
      <c r="D175" s="1135" t="s">
        <v>22</v>
      </c>
      <c r="E175" s="1135" t="s">
        <v>22</v>
      </c>
      <c r="F175" s="1135" t="s">
        <v>22</v>
      </c>
      <c r="G175" s="1135" t="s">
        <v>22</v>
      </c>
      <c r="H175" s="992" t="s">
        <v>1607</v>
      </c>
      <c r="I175" s="375" t="s">
        <v>1608</v>
      </c>
      <c r="J175" s="1263">
        <v>1</v>
      </c>
      <c r="K175" s="1264" t="s">
        <v>22</v>
      </c>
      <c r="L175" s="1128">
        <v>34680</v>
      </c>
      <c r="M175" s="1128">
        <v>35386</v>
      </c>
      <c r="N175" s="1135" t="s">
        <v>22</v>
      </c>
      <c r="O175" s="1149">
        <v>1996</v>
      </c>
      <c r="P175" s="1141">
        <v>142125</v>
      </c>
      <c r="Q175" s="1150">
        <v>707941.4</v>
      </c>
      <c r="R175" s="1150" t="s">
        <v>179</v>
      </c>
      <c r="S175" s="1142">
        <v>1.2167533333333331</v>
      </c>
      <c r="T175" s="1143">
        <v>861390.05825466651</v>
      </c>
      <c r="U175" s="1144">
        <v>2331.4443333333334</v>
      </c>
      <c r="V175" s="1141">
        <v>2008282970.1075122</v>
      </c>
      <c r="W175" s="1145">
        <v>14130</v>
      </c>
      <c r="X175" s="1145">
        <v>14130</v>
      </c>
      <c r="Y175" s="1596" t="s">
        <v>22</v>
      </c>
      <c r="Z175" s="1596" t="s">
        <v>22</v>
      </c>
      <c r="AA175" s="1597" t="s">
        <v>129</v>
      </c>
    </row>
    <row r="176" spans="1:27" s="417" customFormat="1" ht="142.5">
      <c r="A176" s="1226" t="s">
        <v>1386</v>
      </c>
      <c r="B176" s="1133" t="s">
        <v>1387</v>
      </c>
      <c r="C176" s="388" t="s">
        <v>1388</v>
      </c>
      <c r="D176" s="1135" t="s">
        <v>22</v>
      </c>
      <c r="E176" s="1135" t="s">
        <v>22</v>
      </c>
      <c r="F176" s="1135" t="s">
        <v>22</v>
      </c>
      <c r="G176" s="1135" t="s">
        <v>22</v>
      </c>
      <c r="H176" s="992" t="s">
        <v>147</v>
      </c>
      <c r="I176" s="375" t="s">
        <v>1609</v>
      </c>
      <c r="J176" s="1263">
        <v>1</v>
      </c>
      <c r="K176" s="1264" t="s">
        <v>22</v>
      </c>
      <c r="L176" s="1128">
        <v>41185</v>
      </c>
      <c r="M176" s="1128">
        <v>42090</v>
      </c>
      <c r="N176" s="1135" t="s">
        <v>22</v>
      </c>
      <c r="O176" s="1149">
        <v>2015</v>
      </c>
      <c r="P176" s="1141">
        <v>644350</v>
      </c>
      <c r="Q176" s="1168">
        <v>3783362852</v>
      </c>
      <c r="R176" s="1141" t="s">
        <v>151</v>
      </c>
      <c r="S176" s="1142">
        <v>1.2167533333333331</v>
      </c>
      <c r="T176" s="1143" t="s">
        <v>140</v>
      </c>
      <c r="U176" s="1144">
        <v>2331.4443333333334</v>
      </c>
      <c r="V176" s="1141">
        <v>3783362852</v>
      </c>
      <c r="W176" s="1145">
        <v>5872</v>
      </c>
      <c r="X176" s="1145">
        <v>5872</v>
      </c>
      <c r="Y176" s="1596"/>
      <c r="Z176" s="1596"/>
      <c r="AA176" s="1597"/>
    </row>
    <row r="177" spans="1:28" s="417" customFormat="1" ht="99.75">
      <c r="A177" s="1226" t="s">
        <v>1386</v>
      </c>
      <c r="B177" s="1133" t="s">
        <v>1393</v>
      </c>
      <c r="C177" s="1135" t="s">
        <v>1394</v>
      </c>
      <c r="D177" s="1135" t="s">
        <v>22</v>
      </c>
      <c r="E177" s="1135" t="s">
        <v>22</v>
      </c>
      <c r="F177" s="1135" t="s">
        <v>22</v>
      </c>
      <c r="G177" s="1135" t="s">
        <v>22</v>
      </c>
      <c r="H177" s="992" t="s">
        <v>147</v>
      </c>
      <c r="I177" s="375" t="s">
        <v>390</v>
      </c>
      <c r="J177" s="1263">
        <v>0.5</v>
      </c>
      <c r="K177" s="1264" t="s">
        <v>22</v>
      </c>
      <c r="L177" s="1128">
        <v>41059</v>
      </c>
      <c r="M177" s="1128"/>
      <c r="N177" s="1135" t="s">
        <v>22</v>
      </c>
      <c r="O177" s="1149">
        <v>2015</v>
      </c>
      <c r="P177" s="1141">
        <v>644350</v>
      </c>
      <c r="Q177" s="1150">
        <v>7208358320</v>
      </c>
      <c r="R177" s="1150" t="s">
        <v>151</v>
      </c>
      <c r="S177" s="1142">
        <v>1.2167533333333331</v>
      </c>
      <c r="T177" s="1143" t="s">
        <v>140</v>
      </c>
      <c r="U177" s="1144">
        <v>2331.4443333333334</v>
      </c>
      <c r="V177" s="1141">
        <v>7208358320</v>
      </c>
      <c r="W177" s="1145">
        <v>11187</v>
      </c>
      <c r="X177" s="1145">
        <v>5594</v>
      </c>
      <c r="Y177" s="1596"/>
      <c r="Z177" s="1596"/>
      <c r="AA177" s="1597"/>
    </row>
    <row r="178" spans="1:28" s="417" customFormat="1" ht="43.5" thickBot="1">
      <c r="A178" s="1226" t="s">
        <v>1386</v>
      </c>
      <c r="B178" s="1133" t="s">
        <v>1393</v>
      </c>
      <c r="C178" s="1135" t="s">
        <v>1394</v>
      </c>
      <c r="D178" s="1135" t="s">
        <v>22</v>
      </c>
      <c r="E178" s="1135" t="s">
        <v>22</v>
      </c>
      <c r="F178" s="1135" t="s">
        <v>22</v>
      </c>
      <c r="G178" s="1135" t="s">
        <v>22</v>
      </c>
      <c r="H178" s="992" t="s">
        <v>1397</v>
      </c>
      <c r="I178" s="375" t="s">
        <v>1610</v>
      </c>
      <c r="J178" s="1263">
        <v>1</v>
      </c>
      <c r="K178" s="1264" t="s">
        <v>22</v>
      </c>
      <c r="L178" s="1128">
        <v>39078</v>
      </c>
      <c r="M178" s="1128">
        <v>39551</v>
      </c>
      <c r="N178" s="1135" t="s">
        <v>22</v>
      </c>
      <c r="O178" s="1149">
        <v>2008</v>
      </c>
      <c r="P178" s="1141">
        <v>461500</v>
      </c>
      <c r="Q178" s="1150">
        <v>347153848</v>
      </c>
      <c r="R178" s="1150" t="s">
        <v>177</v>
      </c>
      <c r="S178" s="1142">
        <v>1.2167533333333331</v>
      </c>
      <c r="T178" s="1143">
        <v>422400601.73349327</v>
      </c>
      <c r="U178" s="1144">
        <v>2331.4443333333334</v>
      </c>
      <c r="V178" s="1141">
        <v>984803489308.14307</v>
      </c>
      <c r="W178" s="1145">
        <v>2133919</v>
      </c>
      <c r="X178" s="1145">
        <v>2133919</v>
      </c>
      <c r="Y178" s="1596"/>
      <c r="Z178" s="1596"/>
      <c r="AA178" s="1597"/>
    </row>
    <row r="179" spans="1:28" s="417" customFormat="1" ht="43.5" thickBot="1">
      <c r="A179" s="1212" t="s">
        <v>1400</v>
      </c>
      <c r="B179" s="1213" t="s">
        <v>1401</v>
      </c>
      <c r="C179" s="419" t="s">
        <v>1402</v>
      </c>
      <c r="D179" s="1214" t="s">
        <v>22</v>
      </c>
      <c r="E179" s="1214" t="s">
        <v>22</v>
      </c>
      <c r="F179" s="1214" t="s">
        <v>22</v>
      </c>
      <c r="G179" s="1214" t="s">
        <v>22</v>
      </c>
      <c r="H179" s="1215" t="s">
        <v>155</v>
      </c>
      <c r="I179" s="1216" t="s">
        <v>1611</v>
      </c>
      <c r="J179" s="1269">
        <v>1</v>
      </c>
      <c r="K179" s="1270" t="s">
        <v>22</v>
      </c>
      <c r="L179" s="1218">
        <v>34786</v>
      </c>
      <c r="M179" s="1257">
        <v>35657</v>
      </c>
      <c r="N179" s="1214" t="s">
        <v>22</v>
      </c>
      <c r="O179" s="1251">
        <v>1997</v>
      </c>
      <c r="P179" s="1220">
        <v>172005</v>
      </c>
      <c r="Q179" s="1247">
        <v>1026154346</v>
      </c>
      <c r="R179" s="1247" t="s">
        <v>151</v>
      </c>
      <c r="S179" s="1222">
        <v>1.2167533333333331</v>
      </c>
      <c r="T179" s="1223" t="s">
        <v>140</v>
      </c>
      <c r="U179" s="1224">
        <v>2331.4443333333334</v>
      </c>
      <c r="V179" s="1220">
        <v>1026154346</v>
      </c>
      <c r="W179" s="1225">
        <v>5966</v>
      </c>
      <c r="X179" s="1225">
        <v>5966</v>
      </c>
      <c r="Y179" s="1598" t="s">
        <v>22</v>
      </c>
      <c r="Z179" s="1598">
        <v>0</v>
      </c>
      <c r="AA179" s="1600" t="s">
        <v>129</v>
      </c>
    </row>
    <row r="180" spans="1:28" s="417" customFormat="1" ht="263.25" customHeight="1">
      <c r="A180" s="1212" t="s">
        <v>1400</v>
      </c>
      <c r="B180" s="1213" t="s">
        <v>1401</v>
      </c>
      <c r="C180" s="388"/>
      <c r="D180" s="1135"/>
      <c r="E180" s="1135"/>
      <c r="F180" s="1135"/>
      <c r="G180" s="1135"/>
      <c r="H180" s="992"/>
      <c r="I180" s="375"/>
      <c r="J180" s="1263"/>
      <c r="K180" s="1264"/>
      <c r="L180" s="1128"/>
      <c r="M180" s="1139"/>
      <c r="N180" s="1135"/>
      <c r="O180" s="1149"/>
      <c r="P180" s="1141"/>
      <c r="Q180" s="1150"/>
      <c r="R180" s="1150"/>
      <c r="S180" s="1142"/>
      <c r="T180" s="1143"/>
      <c r="U180" s="1144"/>
      <c r="V180" s="1141"/>
      <c r="W180" s="1145"/>
      <c r="X180" s="1145"/>
      <c r="Y180" s="1596"/>
      <c r="Z180" s="1596"/>
      <c r="AA180" s="1597"/>
      <c r="AB180" s="422" t="s">
        <v>1612</v>
      </c>
    </row>
    <row r="181" spans="1:28" s="417" customFormat="1" ht="71.25">
      <c r="A181" s="1226" t="s">
        <v>1400</v>
      </c>
      <c r="B181" s="1133" t="s">
        <v>1406</v>
      </c>
      <c r="C181" s="1135" t="s">
        <v>1407</v>
      </c>
      <c r="D181" s="1135" t="s">
        <v>22</v>
      </c>
      <c r="E181" s="1135" t="s">
        <v>22</v>
      </c>
      <c r="F181" s="1135" t="s">
        <v>22</v>
      </c>
      <c r="G181" s="1135" t="s">
        <v>22</v>
      </c>
      <c r="H181" s="992" t="s">
        <v>214</v>
      </c>
      <c r="I181" s="375" t="s">
        <v>1613</v>
      </c>
      <c r="J181" s="1263">
        <v>1</v>
      </c>
      <c r="K181" s="1264" t="s">
        <v>22</v>
      </c>
      <c r="L181" s="1128">
        <v>37201</v>
      </c>
      <c r="M181" s="1128">
        <v>38173</v>
      </c>
      <c r="N181" s="1135" t="s">
        <v>22</v>
      </c>
      <c r="O181" s="1149">
        <v>2004</v>
      </c>
      <c r="P181" s="1141">
        <v>358000</v>
      </c>
      <c r="Q181" s="1150">
        <v>1561333.21</v>
      </c>
      <c r="R181" s="1150" t="s">
        <v>142</v>
      </c>
      <c r="S181" s="1142">
        <v>1.2167533333333331</v>
      </c>
      <c r="T181" s="1143">
        <v>1899757.3877115329</v>
      </c>
      <c r="U181" s="1144">
        <v>2331.4443333333334</v>
      </c>
      <c r="V181" s="1141">
        <v>4429178596.2881899</v>
      </c>
      <c r="W181" s="1145">
        <v>12372</v>
      </c>
      <c r="X181" s="1145">
        <v>12372</v>
      </c>
      <c r="Y181" s="1596"/>
      <c r="Z181" s="1596"/>
      <c r="AA181" s="1597"/>
    </row>
    <row r="182" spans="1:28" s="417" customFormat="1" ht="268.5" thickBot="1">
      <c r="A182" s="1228" t="s">
        <v>1400</v>
      </c>
      <c r="B182" s="1229" t="s">
        <v>1406</v>
      </c>
      <c r="C182" s="1230" t="s">
        <v>1407</v>
      </c>
      <c r="D182" s="1230" t="s">
        <v>22</v>
      </c>
      <c r="E182" s="1230" t="s">
        <v>22</v>
      </c>
      <c r="F182" s="1230" t="s">
        <v>22</v>
      </c>
      <c r="G182" s="1230" t="s">
        <v>22</v>
      </c>
      <c r="H182" s="1231" t="s">
        <v>147</v>
      </c>
      <c r="I182" s="1232" t="s">
        <v>1614</v>
      </c>
      <c r="J182" s="1268">
        <v>0.49</v>
      </c>
      <c r="K182" s="1260" t="s">
        <v>22</v>
      </c>
      <c r="L182" s="1246">
        <v>41892</v>
      </c>
      <c r="M182" s="1246">
        <v>42296</v>
      </c>
      <c r="N182" s="1230" t="s">
        <v>22</v>
      </c>
      <c r="O182" s="1237">
        <v>2015</v>
      </c>
      <c r="P182" s="1238">
        <v>644350</v>
      </c>
      <c r="Q182" s="1240">
        <v>3390312706</v>
      </c>
      <c r="R182" s="1240" t="s">
        <v>151</v>
      </c>
      <c r="S182" s="1241">
        <v>1.2167533333333331</v>
      </c>
      <c r="T182" s="1242" t="s">
        <v>140</v>
      </c>
      <c r="U182" s="1243">
        <v>2331.4443333333334</v>
      </c>
      <c r="V182" s="1238">
        <v>3390312706</v>
      </c>
      <c r="W182" s="1244">
        <v>5262</v>
      </c>
      <c r="X182" s="1244">
        <v>2578</v>
      </c>
      <c r="Y182" s="1599"/>
      <c r="Z182" s="1599"/>
      <c r="AA182" s="1601"/>
      <c r="AB182" s="422" t="s">
        <v>1615</v>
      </c>
    </row>
    <row r="183" spans="1:28" s="417" customFormat="1" ht="57">
      <c r="A183" s="1226" t="s">
        <v>1410</v>
      </c>
      <c r="B183" s="1133" t="s">
        <v>1411</v>
      </c>
      <c r="C183" s="388" t="s">
        <v>1412</v>
      </c>
      <c r="D183" s="1135" t="s">
        <v>22</v>
      </c>
      <c r="E183" s="1135" t="s">
        <v>22</v>
      </c>
      <c r="F183" s="1135" t="s">
        <v>22</v>
      </c>
      <c r="G183" s="1135" t="s">
        <v>22</v>
      </c>
      <c r="H183" s="992" t="s">
        <v>1477</v>
      </c>
      <c r="I183" s="375" t="s">
        <v>165</v>
      </c>
      <c r="J183" s="1263">
        <v>0.5</v>
      </c>
      <c r="K183" s="1264" t="s">
        <v>22</v>
      </c>
      <c r="L183" s="1128">
        <v>37411</v>
      </c>
      <c r="M183" s="1128">
        <v>38776</v>
      </c>
      <c r="N183" s="1135" t="s">
        <v>22</v>
      </c>
      <c r="O183" s="1149">
        <v>2006</v>
      </c>
      <c r="P183" s="1141">
        <v>408000</v>
      </c>
      <c r="Q183" s="1150">
        <v>3791186167</v>
      </c>
      <c r="R183" s="1150" t="s">
        <v>151</v>
      </c>
      <c r="S183" s="1142">
        <v>1.2167533333333331</v>
      </c>
      <c r="T183" s="1143" t="s">
        <v>140</v>
      </c>
      <c r="U183" s="1144">
        <v>2331.4443333333334</v>
      </c>
      <c r="V183" s="1141">
        <v>3791186167</v>
      </c>
      <c r="W183" s="1145">
        <v>9292</v>
      </c>
      <c r="X183" s="1145">
        <v>4646</v>
      </c>
      <c r="Y183" s="1596" t="s">
        <v>22</v>
      </c>
      <c r="Z183" s="1596" t="s">
        <v>22</v>
      </c>
      <c r="AA183" s="1597" t="s">
        <v>129</v>
      </c>
    </row>
    <row r="184" spans="1:28" s="417" customFormat="1" ht="99.75">
      <c r="A184" s="1226" t="s">
        <v>1410</v>
      </c>
      <c r="B184" s="1133" t="s">
        <v>1411</v>
      </c>
      <c r="C184" s="388" t="s">
        <v>1412</v>
      </c>
      <c r="D184" s="1135" t="s">
        <v>22</v>
      </c>
      <c r="E184" s="1135" t="s">
        <v>22</v>
      </c>
      <c r="F184" s="1135" t="s">
        <v>22</v>
      </c>
      <c r="G184" s="1135" t="s">
        <v>22</v>
      </c>
      <c r="H184" s="992" t="s">
        <v>448</v>
      </c>
      <c r="I184" s="375" t="s">
        <v>1616</v>
      </c>
      <c r="J184" s="1263">
        <v>0.4</v>
      </c>
      <c r="K184" s="1264" t="s">
        <v>22</v>
      </c>
      <c r="L184" s="1128">
        <v>37910</v>
      </c>
      <c r="M184" s="1128">
        <v>40939</v>
      </c>
      <c r="N184" s="1135" t="s">
        <v>22</v>
      </c>
      <c r="O184" s="1149">
        <v>2012</v>
      </c>
      <c r="P184" s="1141">
        <v>566700</v>
      </c>
      <c r="Q184" s="1150">
        <v>11747944351</v>
      </c>
      <c r="R184" s="1150" t="s">
        <v>151</v>
      </c>
      <c r="S184" s="1142">
        <v>1.2167533333333331</v>
      </c>
      <c r="T184" s="1143" t="s">
        <v>140</v>
      </c>
      <c r="U184" s="1144">
        <v>2331.4443333333334</v>
      </c>
      <c r="V184" s="1141">
        <v>11747944351</v>
      </c>
      <c r="W184" s="1145">
        <v>20730</v>
      </c>
      <c r="X184" s="1145">
        <v>8292</v>
      </c>
      <c r="Y184" s="1596"/>
      <c r="Z184" s="1596"/>
      <c r="AA184" s="1597"/>
    </row>
    <row r="185" spans="1:28" s="417" customFormat="1" ht="85.5">
      <c r="A185" s="1226" t="s">
        <v>1410</v>
      </c>
      <c r="B185" s="1133" t="s">
        <v>1415</v>
      </c>
      <c r="C185" s="1135" t="s">
        <v>1416</v>
      </c>
      <c r="D185" s="1135" t="s">
        <v>22</v>
      </c>
      <c r="E185" s="1135" t="s">
        <v>22</v>
      </c>
      <c r="F185" s="1135" t="s">
        <v>22</v>
      </c>
      <c r="G185" s="1135" t="s">
        <v>22</v>
      </c>
      <c r="H185" s="992" t="s">
        <v>168</v>
      </c>
      <c r="I185" s="375" t="s">
        <v>1617</v>
      </c>
      <c r="J185" s="1263">
        <v>0.45</v>
      </c>
      <c r="K185" s="1264" t="s">
        <v>22</v>
      </c>
      <c r="L185" s="1128">
        <v>40805</v>
      </c>
      <c r="M185" s="1128">
        <v>41730</v>
      </c>
      <c r="N185" s="1135" t="s">
        <v>22</v>
      </c>
      <c r="O185" s="1149">
        <v>2014</v>
      </c>
      <c r="P185" s="1141">
        <v>616000</v>
      </c>
      <c r="Q185" s="1150">
        <v>5922134662</v>
      </c>
      <c r="R185" s="1150" t="s">
        <v>151</v>
      </c>
      <c r="S185" s="1142">
        <v>1.2167533333333331</v>
      </c>
      <c r="T185" s="1143" t="s">
        <v>140</v>
      </c>
      <c r="U185" s="1144">
        <v>2331.4443333333334</v>
      </c>
      <c r="V185" s="1141">
        <v>5922134662</v>
      </c>
      <c r="W185" s="1145">
        <v>9614</v>
      </c>
      <c r="X185" s="1145">
        <v>4326</v>
      </c>
      <c r="Y185" s="1596"/>
      <c r="Z185" s="1596"/>
      <c r="AA185" s="1597"/>
    </row>
    <row r="186" spans="1:28" s="417" customFormat="1" ht="100.5" thickBot="1">
      <c r="A186" s="1226" t="s">
        <v>1410</v>
      </c>
      <c r="B186" s="1133" t="s">
        <v>1411</v>
      </c>
      <c r="C186" s="388" t="s">
        <v>1412</v>
      </c>
      <c r="D186" s="1135" t="s">
        <v>22</v>
      </c>
      <c r="E186" s="1135" t="s">
        <v>22</v>
      </c>
      <c r="F186" s="1135" t="s">
        <v>22</v>
      </c>
      <c r="G186" s="1135" t="s">
        <v>22</v>
      </c>
      <c r="H186" s="992" t="s">
        <v>161</v>
      </c>
      <c r="I186" s="375" t="s">
        <v>163</v>
      </c>
      <c r="J186" s="1263">
        <v>1</v>
      </c>
      <c r="K186" s="1264" t="s">
        <v>22</v>
      </c>
      <c r="L186" s="1128">
        <v>39934</v>
      </c>
      <c r="M186" s="1128">
        <v>40724</v>
      </c>
      <c r="N186" s="1135" t="s">
        <v>22</v>
      </c>
      <c r="O186" s="1149">
        <v>2009</v>
      </c>
      <c r="P186" s="1141">
        <v>496900</v>
      </c>
      <c r="Q186" s="1150">
        <v>9389034669</v>
      </c>
      <c r="R186" s="1150" t="s">
        <v>151</v>
      </c>
      <c r="S186" s="1142">
        <v>1.2167533333333331</v>
      </c>
      <c r="T186" s="1143" t="s">
        <v>140</v>
      </c>
      <c r="U186" s="1144">
        <v>2331.4443333333334</v>
      </c>
      <c r="V186" s="1141">
        <v>9389034669</v>
      </c>
      <c r="W186" s="1145">
        <v>18895</v>
      </c>
      <c r="X186" s="1145">
        <v>18895</v>
      </c>
      <c r="Y186" s="1596"/>
      <c r="Z186" s="1596"/>
      <c r="AA186" s="1597"/>
    </row>
    <row r="187" spans="1:28" s="417" customFormat="1" ht="57">
      <c r="A187" s="1212" t="s">
        <v>1419</v>
      </c>
      <c r="B187" s="1213" t="s">
        <v>1420</v>
      </c>
      <c r="C187" s="1214" t="s">
        <v>1421</v>
      </c>
      <c r="D187" s="1214" t="s">
        <v>22</v>
      </c>
      <c r="E187" s="1214" t="s">
        <v>22</v>
      </c>
      <c r="F187" s="1214" t="s">
        <v>22</v>
      </c>
      <c r="G187" s="1214" t="s">
        <v>22</v>
      </c>
      <c r="H187" s="1215" t="s">
        <v>1618</v>
      </c>
      <c r="I187" s="1216" t="s">
        <v>1619</v>
      </c>
      <c r="J187" s="1269">
        <v>1</v>
      </c>
      <c r="K187" s="1270" t="s">
        <v>22</v>
      </c>
      <c r="L187" s="1218">
        <v>35886</v>
      </c>
      <c r="M187" s="1218">
        <v>36953</v>
      </c>
      <c r="N187" s="1214" t="s">
        <v>22</v>
      </c>
      <c r="O187" s="1251">
        <v>2001</v>
      </c>
      <c r="P187" s="1220">
        <v>286000</v>
      </c>
      <c r="Q187" s="1247">
        <v>2216664177</v>
      </c>
      <c r="R187" s="1247" t="s">
        <v>151</v>
      </c>
      <c r="S187" s="1222">
        <v>1.2167533333333331</v>
      </c>
      <c r="T187" s="1223" t="s">
        <v>140</v>
      </c>
      <c r="U187" s="1224">
        <v>2331.4443333333334</v>
      </c>
      <c r="V187" s="1220">
        <v>2216664177</v>
      </c>
      <c r="W187" s="1225">
        <v>7751</v>
      </c>
      <c r="X187" s="1225">
        <v>7751</v>
      </c>
      <c r="Y187" s="1590" t="s">
        <v>22</v>
      </c>
      <c r="Z187" s="1590" t="s">
        <v>22</v>
      </c>
      <c r="AA187" s="1593" t="s">
        <v>129</v>
      </c>
    </row>
    <row r="188" spans="1:28" s="417" customFormat="1" ht="42.75">
      <c r="A188" s="1226" t="s">
        <v>1419</v>
      </c>
      <c r="B188" s="1133" t="s">
        <v>1420</v>
      </c>
      <c r="C188" s="1135" t="s">
        <v>1421</v>
      </c>
      <c r="D188" s="1135" t="s">
        <v>22</v>
      </c>
      <c r="E188" s="1135" t="s">
        <v>22</v>
      </c>
      <c r="F188" s="1135" t="s">
        <v>22</v>
      </c>
      <c r="G188" s="1135" t="s">
        <v>22</v>
      </c>
      <c r="H188" s="992" t="s">
        <v>155</v>
      </c>
      <c r="I188" s="375" t="s">
        <v>1620</v>
      </c>
      <c r="J188" s="1263">
        <v>1</v>
      </c>
      <c r="K188" s="1264" t="s">
        <v>22</v>
      </c>
      <c r="L188" s="1128">
        <v>37792</v>
      </c>
      <c r="M188" s="1128">
        <v>38429</v>
      </c>
      <c r="N188" s="1135" t="s">
        <v>22</v>
      </c>
      <c r="O188" s="1149">
        <v>2005</v>
      </c>
      <c r="P188" s="1141">
        <v>381500</v>
      </c>
      <c r="Q188" s="1150">
        <v>1691644728</v>
      </c>
      <c r="R188" s="1150" t="s">
        <v>151</v>
      </c>
      <c r="S188" s="1142">
        <v>1.2167533333333331</v>
      </c>
      <c r="T188" s="1143" t="s">
        <v>140</v>
      </c>
      <c r="U188" s="1144">
        <v>2331.4443333333334</v>
      </c>
      <c r="V188" s="1141">
        <v>1691644728</v>
      </c>
      <c r="W188" s="1145">
        <v>4434</v>
      </c>
      <c r="X188" s="1145">
        <v>4434</v>
      </c>
      <c r="Y188" s="1591"/>
      <c r="Z188" s="1591"/>
      <c r="AA188" s="1594"/>
    </row>
    <row r="189" spans="1:28" s="417" customFormat="1" ht="99.75">
      <c r="A189" s="1226" t="s">
        <v>1419</v>
      </c>
      <c r="B189" s="1133" t="s">
        <v>1420</v>
      </c>
      <c r="C189" s="1135" t="s">
        <v>1421</v>
      </c>
      <c r="D189" s="1135" t="s">
        <v>22</v>
      </c>
      <c r="E189" s="1135" t="s">
        <v>22</v>
      </c>
      <c r="F189" s="1135" t="s">
        <v>22</v>
      </c>
      <c r="G189" s="1135" t="s">
        <v>22</v>
      </c>
      <c r="H189" s="992" t="s">
        <v>147</v>
      </c>
      <c r="I189" s="375" t="s">
        <v>1621</v>
      </c>
      <c r="J189" s="1263">
        <v>0.6</v>
      </c>
      <c r="K189" s="1264" t="s">
        <v>22</v>
      </c>
      <c r="L189" s="1128">
        <v>41204</v>
      </c>
      <c r="M189" s="1128">
        <v>42215</v>
      </c>
      <c r="N189" s="1135" t="s">
        <v>22</v>
      </c>
      <c r="O189" s="1149">
        <v>2015</v>
      </c>
      <c r="P189" s="1141">
        <v>644350</v>
      </c>
      <c r="Q189" s="1150">
        <v>5638074758</v>
      </c>
      <c r="R189" s="1150" t="s">
        <v>151</v>
      </c>
      <c r="S189" s="1142">
        <v>1.2167533333333331</v>
      </c>
      <c r="T189" s="1143" t="s">
        <v>140</v>
      </c>
      <c r="U189" s="1144">
        <v>2331.4443333333334</v>
      </c>
      <c r="V189" s="1141">
        <v>5638074758</v>
      </c>
      <c r="W189" s="1145">
        <v>8750</v>
      </c>
      <c r="X189" s="1145">
        <v>5250</v>
      </c>
      <c r="Y189" s="1591"/>
      <c r="Z189" s="1591"/>
      <c r="AA189" s="1594"/>
    </row>
    <row r="190" spans="1:28" s="417" customFormat="1" ht="57.75" thickBot="1">
      <c r="A190" s="1228" t="s">
        <v>1419</v>
      </c>
      <c r="B190" s="1229" t="s">
        <v>1420</v>
      </c>
      <c r="C190" s="1230" t="s">
        <v>1421</v>
      </c>
      <c r="D190" s="1230" t="s">
        <v>22</v>
      </c>
      <c r="E190" s="1230" t="s">
        <v>22</v>
      </c>
      <c r="F190" s="1230" t="s">
        <v>22</v>
      </c>
      <c r="G190" s="1230" t="s">
        <v>22</v>
      </c>
      <c r="H190" s="1231" t="s">
        <v>1622</v>
      </c>
      <c r="I190" s="1232" t="s">
        <v>1623</v>
      </c>
      <c r="J190" s="1268">
        <v>1</v>
      </c>
      <c r="K190" s="1260" t="s">
        <v>22</v>
      </c>
      <c r="L190" s="1246">
        <v>35606</v>
      </c>
      <c r="M190" s="1246">
        <v>37312</v>
      </c>
      <c r="N190" s="1230" t="s">
        <v>22</v>
      </c>
      <c r="O190" s="1237">
        <v>2002</v>
      </c>
      <c r="P190" s="1238">
        <v>309000</v>
      </c>
      <c r="Q190" s="1240">
        <v>10175167773</v>
      </c>
      <c r="R190" s="1240" t="s">
        <v>151</v>
      </c>
      <c r="S190" s="1241">
        <v>1.2167533333333331</v>
      </c>
      <c r="T190" s="1242" t="s">
        <v>140</v>
      </c>
      <c r="U190" s="1243">
        <v>2331.4443333333334</v>
      </c>
      <c r="V190" s="1238">
        <v>10175167773</v>
      </c>
      <c r="W190" s="1244">
        <v>32929</v>
      </c>
      <c r="X190" s="1244">
        <v>32929</v>
      </c>
      <c r="Y190" s="1592"/>
      <c r="Z190" s="1592"/>
      <c r="AA190" s="1595"/>
    </row>
    <row r="191" spans="1:28" s="417" customFormat="1" ht="71.25">
      <c r="A191" s="1226" t="s">
        <v>1429</v>
      </c>
      <c r="B191" s="1133" t="s">
        <v>1430</v>
      </c>
      <c r="C191" s="1135" t="s">
        <v>1434</v>
      </c>
      <c r="D191" s="1135" t="s">
        <v>22</v>
      </c>
      <c r="E191" s="1135" t="s">
        <v>22</v>
      </c>
      <c r="F191" s="1135" t="s">
        <v>22</v>
      </c>
      <c r="G191" s="1135" t="s">
        <v>22</v>
      </c>
      <c r="H191" s="992" t="s">
        <v>442</v>
      </c>
      <c r="I191" s="375" t="s">
        <v>1624</v>
      </c>
      <c r="J191" s="1263">
        <v>1</v>
      </c>
      <c r="K191" s="1264" t="s">
        <v>22</v>
      </c>
      <c r="L191" s="1128">
        <v>38279</v>
      </c>
      <c r="M191" s="1128">
        <v>39813</v>
      </c>
      <c r="N191" s="1135" t="s">
        <v>22</v>
      </c>
      <c r="O191" s="1149">
        <v>2008</v>
      </c>
      <c r="P191" s="1141">
        <v>461500</v>
      </c>
      <c r="Q191" s="1150">
        <v>3975262277</v>
      </c>
      <c r="R191" s="1150" t="s">
        <v>151</v>
      </c>
      <c r="S191" s="1142">
        <v>1.2167533333333331</v>
      </c>
      <c r="T191" s="1143" t="s">
        <v>140</v>
      </c>
      <c r="U191" s="1144">
        <v>2331.4443333333334</v>
      </c>
      <c r="V191" s="1141">
        <v>3975262277</v>
      </c>
      <c r="W191" s="1145">
        <v>8614</v>
      </c>
      <c r="X191" s="1145">
        <v>8614</v>
      </c>
      <c r="Y191" s="1591" t="s">
        <v>22</v>
      </c>
      <c r="Z191" s="1591" t="s">
        <v>22</v>
      </c>
      <c r="AA191" s="1594" t="s">
        <v>129</v>
      </c>
    </row>
    <row r="192" spans="1:28" s="417" customFormat="1" ht="85.5">
      <c r="A192" s="1226" t="s">
        <v>1429</v>
      </c>
      <c r="B192" s="1133" t="s">
        <v>1430</v>
      </c>
      <c r="C192" s="1135" t="s">
        <v>1434</v>
      </c>
      <c r="D192" s="1135" t="s">
        <v>22</v>
      </c>
      <c r="E192" s="1135" t="s">
        <v>22</v>
      </c>
      <c r="F192" s="1135" t="s">
        <v>22</v>
      </c>
      <c r="G192" s="1135" t="s">
        <v>22</v>
      </c>
      <c r="H192" s="992" t="s">
        <v>445</v>
      </c>
      <c r="I192" s="375" t="s">
        <v>1625</v>
      </c>
      <c r="J192" s="1263">
        <v>1</v>
      </c>
      <c r="K192" s="1264" t="s">
        <v>22</v>
      </c>
      <c r="L192" s="1128">
        <v>40498</v>
      </c>
      <c r="M192" s="1128">
        <v>40973</v>
      </c>
      <c r="N192" s="1135" t="s">
        <v>22</v>
      </c>
      <c r="O192" s="1149">
        <v>2012</v>
      </c>
      <c r="P192" s="1141">
        <v>566700</v>
      </c>
      <c r="Q192" s="1150">
        <v>2159474666</v>
      </c>
      <c r="R192" s="1150" t="s">
        <v>151</v>
      </c>
      <c r="S192" s="1142">
        <v>1.2167533333333331</v>
      </c>
      <c r="T192" s="1143" t="s">
        <v>140</v>
      </c>
      <c r="U192" s="1144">
        <v>2331.4443333333334</v>
      </c>
      <c r="V192" s="1141">
        <v>2159474666</v>
      </c>
      <c r="W192" s="1145">
        <v>3811</v>
      </c>
      <c r="X192" s="1145">
        <v>3811</v>
      </c>
      <c r="Y192" s="1591"/>
      <c r="Z192" s="1591"/>
      <c r="AA192" s="1594"/>
    </row>
    <row r="193" spans="1:27" s="417" customFormat="1" ht="128.25">
      <c r="A193" s="1226" t="s">
        <v>1429</v>
      </c>
      <c r="B193" s="1133" t="s">
        <v>1430</v>
      </c>
      <c r="C193" s="1135" t="s">
        <v>1434</v>
      </c>
      <c r="D193" s="1135" t="s">
        <v>22</v>
      </c>
      <c r="E193" s="1135" t="s">
        <v>22</v>
      </c>
      <c r="F193" s="1135" t="s">
        <v>22</v>
      </c>
      <c r="G193" s="1135" t="s">
        <v>22</v>
      </c>
      <c r="H193" s="992" t="s">
        <v>448</v>
      </c>
      <c r="I193" s="375" t="s">
        <v>1626</v>
      </c>
      <c r="J193" s="1263">
        <v>0.5</v>
      </c>
      <c r="K193" s="1264" t="s">
        <v>22</v>
      </c>
      <c r="L193" s="1128">
        <v>40137</v>
      </c>
      <c r="M193" s="1128">
        <v>41029</v>
      </c>
      <c r="N193" s="1135" t="s">
        <v>22</v>
      </c>
      <c r="O193" s="1149">
        <v>2012</v>
      </c>
      <c r="P193" s="1141">
        <v>566700</v>
      </c>
      <c r="Q193" s="1150">
        <v>2680870241</v>
      </c>
      <c r="R193" s="1150" t="s">
        <v>151</v>
      </c>
      <c r="S193" s="1142">
        <v>1.2167533333333331</v>
      </c>
      <c r="T193" s="1143" t="s">
        <v>140</v>
      </c>
      <c r="U193" s="1144">
        <v>2331.4443333333334</v>
      </c>
      <c r="V193" s="1141">
        <v>2680870241</v>
      </c>
      <c r="W193" s="1145">
        <v>4731</v>
      </c>
      <c r="X193" s="1145">
        <v>2366</v>
      </c>
      <c r="Y193" s="1591"/>
      <c r="Z193" s="1591"/>
      <c r="AA193" s="1594"/>
    </row>
    <row r="194" spans="1:27" s="417" customFormat="1" ht="57.75" thickBot="1">
      <c r="A194" s="1226" t="s">
        <v>1429</v>
      </c>
      <c r="B194" s="1133" t="s">
        <v>1430</v>
      </c>
      <c r="C194" s="388" t="s">
        <v>1431</v>
      </c>
      <c r="D194" s="1135" t="s">
        <v>22</v>
      </c>
      <c r="E194" s="1135" t="s">
        <v>22</v>
      </c>
      <c r="F194" s="1135" t="s">
        <v>22</v>
      </c>
      <c r="G194" s="1135" t="s">
        <v>22</v>
      </c>
      <c r="H194" s="992" t="s">
        <v>1627</v>
      </c>
      <c r="I194" s="375" t="s">
        <v>1628</v>
      </c>
      <c r="J194" s="1263">
        <v>1</v>
      </c>
      <c r="K194" s="1264" t="s">
        <v>22</v>
      </c>
      <c r="L194" s="1128">
        <v>39568</v>
      </c>
      <c r="M194" s="1128">
        <v>41090</v>
      </c>
      <c r="N194" s="1135" t="s">
        <v>22</v>
      </c>
      <c r="O194" s="1149">
        <v>2012</v>
      </c>
      <c r="P194" s="1141">
        <v>566700</v>
      </c>
      <c r="Q194" s="1150">
        <v>12427664</v>
      </c>
      <c r="R194" s="1150" t="s">
        <v>142</v>
      </c>
      <c r="S194" s="1142">
        <v>1.2167533333333331</v>
      </c>
      <c r="T194" s="1143">
        <v>15121401.597546665</v>
      </c>
      <c r="U194" s="1144">
        <v>2331.4443333333334</v>
      </c>
      <c r="V194" s="1141">
        <v>35254706066.657784</v>
      </c>
      <c r="W194" s="1145">
        <v>62211</v>
      </c>
      <c r="X194" s="1145">
        <v>62211</v>
      </c>
      <c r="Y194" s="1591"/>
      <c r="Z194" s="1591"/>
      <c r="AA194" s="1594"/>
    </row>
    <row r="195" spans="1:27" s="417" customFormat="1" ht="99.75">
      <c r="A195" s="1212" t="s">
        <v>1439</v>
      </c>
      <c r="B195" s="1213" t="s">
        <v>1444</v>
      </c>
      <c r="C195" s="1214" t="s">
        <v>1445</v>
      </c>
      <c r="D195" s="1214" t="s">
        <v>22</v>
      </c>
      <c r="E195" s="1214" t="s">
        <v>22</v>
      </c>
      <c r="F195" s="1214" t="s">
        <v>22</v>
      </c>
      <c r="G195" s="1214" t="s">
        <v>22</v>
      </c>
      <c r="H195" s="1215" t="s">
        <v>155</v>
      </c>
      <c r="I195" s="1216" t="s">
        <v>1629</v>
      </c>
      <c r="J195" s="1269">
        <v>0.5</v>
      </c>
      <c r="K195" s="1270" t="s">
        <v>22</v>
      </c>
      <c r="L195" s="1218">
        <v>35061</v>
      </c>
      <c r="M195" s="1218">
        <v>35881</v>
      </c>
      <c r="N195" s="1214" t="s">
        <v>22</v>
      </c>
      <c r="O195" s="1251">
        <v>1998</v>
      </c>
      <c r="P195" s="1220">
        <v>203826</v>
      </c>
      <c r="Q195" s="1247">
        <v>1603996630</v>
      </c>
      <c r="R195" s="1247" t="s">
        <v>151</v>
      </c>
      <c r="S195" s="1222">
        <v>1.2167533333333331</v>
      </c>
      <c r="T195" s="1223" t="s">
        <v>140</v>
      </c>
      <c r="U195" s="1224">
        <v>2331.4443333333334</v>
      </c>
      <c r="V195" s="1220">
        <v>1603996630</v>
      </c>
      <c r="W195" s="1225">
        <v>7869</v>
      </c>
      <c r="X195" s="1225">
        <v>3935</v>
      </c>
      <c r="Y195" s="1590" t="s">
        <v>22</v>
      </c>
      <c r="Z195" s="1590" t="s">
        <v>22</v>
      </c>
      <c r="AA195" s="1593" t="s">
        <v>129</v>
      </c>
    </row>
    <row r="196" spans="1:27" s="417" customFormat="1" ht="57">
      <c r="A196" s="1226" t="s">
        <v>1439</v>
      </c>
      <c r="B196" s="1133" t="s">
        <v>1444</v>
      </c>
      <c r="C196" s="1135" t="s">
        <v>1445</v>
      </c>
      <c r="D196" s="1135" t="s">
        <v>22</v>
      </c>
      <c r="E196" s="1135" t="s">
        <v>22</v>
      </c>
      <c r="F196" s="1135" t="s">
        <v>22</v>
      </c>
      <c r="G196" s="1135" t="s">
        <v>22</v>
      </c>
      <c r="H196" s="992" t="s">
        <v>155</v>
      </c>
      <c r="I196" s="375" t="s">
        <v>1630</v>
      </c>
      <c r="J196" s="1263">
        <v>0.5</v>
      </c>
      <c r="K196" s="1264" t="s">
        <v>22</v>
      </c>
      <c r="L196" s="1128">
        <v>37271</v>
      </c>
      <c r="M196" s="1128">
        <v>38507</v>
      </c>
      <c r="N196" s="1135" t="s">
        <v>22</v>
      </c>
      <c r="O196" s="1149">
        <v>2005</v>
      </c>
      <c r="P196" s="1141">
        <v>381500</v>
      </c>
      <c r="Q196" s="1150">
        <v>2372844012</v>
      </c>
      <c r="R196" s="1150" t="s">
        <v>151</v>
      </c>
      <c r="S196" s="1142">
        <v>1.2167533333333331</v>
      </c>
      <c r="T196" s="1143" t="s">
        <v>140</v>
      </c>
      <c r="U196" s="1144">
        <v>2331.4443333333334</v>
      </c>
      <c r="V196" s="1141">
        <v>2372844012</v>
      </c>
      <c r="W196" s="1145">
        <v>6220</v>
      </c>
      <c r="X196" s="1145">
        <v>3110</v>
      </c>
      <c r="Y196" s="1591"/>
      <c r="Z196" s="1591"/>
      <c r="AA196" s="1594"/>
    </row>
    <row r="197" spans="1:27" s="417" customFormat="1" ht="57">
      <c r="A197" s="1226" t="s">
        <v>1439</v>
      </c>
      <c r="B197" s="1133" t="s">
        <v>1444</v>
      </c>
      <c r="C197" s="1135" t="s">
        <v>1445</v>
      </c>
      <c r="D197" s="1135" t="s">
        <v>22</v>
      </c>
      <c r="E197" s="1135" t="s">
        <v>22</v>
      </c>
      <c r="F197" s="1135" t="s">
        <v>22</v>
      </c>
      <c r="G197" s="1135" t="s">
        <v>22</v>
      </c>
      <c r="H197" s="992" t="s">
        <v>155</v>
      </c>
      <c r="I197" s="375" t="s">
        <v>1631</v>
      </c>
      <c r="J197" s="1263">
        <v>0.75</v>
      </c>
      <c r="K197" s="1264" t="s">
        <v>22</v>
      </c>
      <c r="L197" s="1128">
        <v>37411</v>
      </c>
      <c r="M197" s="1128">
        <v>38518</v>
      </c>
      <c r="N197" s="1135" t="s">
        <v>22</v>
      </c>
      <c r="O197" s="1149">
        <v>2005</v>
      </c>
      <c r="P197" s="1141">
        <v>381500</v>
      </c>
      <c r="Q197" s="1150">
        <v>2982660825</v>
      </c>
      <c r="R197" s="1150" t="s">
        <v>151</v>
      </c>
      <c r="S197" s="1142">
        <v>1.2167533333333331</v>
      </c>
      <c r="T197" s="1143" t="s">
        <v>140</v>
      </c>
      <c r="U197" s="1144">
        <v>2331.4443333333334</v>
      </c>
      <c r="V197" s="1141">
        <v>2982660825</v>
      </c>
      <c r="W197" s="1145">
        <v>7818</v>
      </c>
      <c r="X197" s="1145">
        <v>5864</v>
      </c>
      <c r="Y197" s="1591"/>
      <c r="Z197" s="1591"/>
      <c r="AA197" s="1594"/>
    </row>
    <row r="198" spans="1:27" s="417" customFormat="1" ht="100.5" thickBot="1">
      <c r="A198" s="1228" t="s">
        <v>1439</v>
      </c>
      <c r="B198" s="1229" t="s">
        <v>1444</v>
      </c>
      <c r="C198" s="1230" t="s">
        <v>1445</v>
      </c>
      <c r="D198" s="1230" t="s">
        <v>22</v>
      </c>
      <c r="E198" s="1230" t="s">
        <v>22</v>
      </c>
      <c r="F198" s="1230" t="s">
        <v>22</v>
      </c>
      <c r="G198" s="1230" t="s">
        <v>22</v>
      </c>
      <c r="H198" s="1231" t="s">
        <v>155</v>
      </c>
      <c r="I198" s="1232" t="s">
        <v>1632</v>
      </c>
      <c r="J198" s="1268">
        <v>1</v>
      </c>
      <c r="K198" s="1260" t="s">
        <v>22</v>
      </c>
      <c r="L198" s="1290">
        <v>32965</v>
      </c>
      <c r="M198" s="1236">
        <v>35064</v>
      </c>
      <c r="N198" s="1230" t="s">
        <v>22</v>
      </c>
      <c r="O198" s="1237">
        <v>1995</v>
      </c>
      <c r="P198" s="1238">
        <v>118933.5</v>
      </c>
      <c r="Q198" s="1240">
        <v>824463304</v>
      </c>
      <c r="R198" s="1240" t="s">
        <v>151</v>
      </c>
      <c r="S198" s="1241">
        <v>1.2167533333333331</v>
      </c>
      <c r="T198" s="1242" t="s">
        <v>140</v>
      </c>
      <c r="U198" s="1243">
        <v>2331.4443333333334</v>
      </c>
      <c r="V198" s="1238">
        <v>824463304</v>
      </c>
      <c r="W198" s="1244">
        <v>6932</v>
      </c>
      <c r="X198" s="1244">
        <v>6932</v>
      </c>
      <c r="Y198" s="1592"/>
      <c r="Z198" s="1592"/>
      <c r="AA198" s="1595"/>
    </row>
    <row r="199" spans="1:27" s="417" customFormat="1" ht="85.5">
      <c r="A199" s="1226" t="s">
        <v>1450</v>
      </c>
      <c r="B199" s="1133" t="s">
        <v>1455</v>
      </c>
      <c r="C199" s="388" t="s">
        <v>1456</v>
      </c>
      <c r="D199" s="1135" t="s">
        <v>129</v>
      </c>
      <c r="E199" s="1135" t="s">
        <v>129</v>
      </c>
      <c r="F199" s="1135" t="s">
        <v>22</v>
      </c>
      <c r="G199" s="1135" t="s">
        <v>22</v>
      </c>
      <c r="H199" s="992" t="s">
        <v>155</v>
      </c>
      <c r="I199" s="375" t="s">
        <v>237</v>
      </c>
      <c r="J199" s="1263">
        <v>1</v>
      </c>
      <c r="K199" s="1264" t="s">
        <v>22</v>
      </c>
      <c r="L199" s="1128">
        <v>41123</v>
      </c>
      <c r="M199" s="1128">
        <v>41779</v>
      </c>
      <c r="N199" s="1135" t="s">
        <v>22</v>
      </c>
      <c r="O199" s="1149">
        <v>2014</v>
      </c>
      <c r="P199" s="1141">
        <v>616000</v>
      </c>
      <c r="Q199" s="1150">
        <v>1605385195.3199999</v>
      </c>
      <c r="R199" s="1150" t="s">
        <v>151</v>
      </c>
      <c r="S199" s="1142">
        <v>1.2167533333333331</v>
      </c>
      <c r="T199" s="1143" t="s">
        <v>140</v>
      </c>
      <c r="U199" s="1144">
        <v>2331.4443333333334</v>
      </c>
      <c r="V199" s="1141">
        <v>1605385195.3199999</v>
      </c>
      <c r="W199" s="1145">
        <v>2606</v>
      </c>
      <c r="X199" s="1145">
        <v>2606</v>
      </c>
      <c r="Y199" s="1591" t="s">
        <v>22</v>
      </c>
      <c r="Z199" s="1591" t="s">
        <v>22</v>
      </c>
      <c r="AA199" s="1594" t="s">
        <v>129</v>
      </c>
    </row>
    <row r="200" spans="1:27" s="417" customFormat="1" ht="99.75">
      <c r="A200" s="1226" t="s">
        <v>1450</v>
      </c>
      <c r="B200" s="1133" t="s">
        <v>1451</v>
      </c>
      <c r="C200" s="388" t="s">
        <v>1452</v>
      </c>
      <c r="D200" s="1135" t="s">
        <v>129</v>
      </c>
      <c r="E200" s="1135" t="s">
        <v>129</v>
      </c>
      <c r="F200" s="1135" t="s">
        <v>22</v>
      </c>
      <c r="G200" s="1135" t="s">
        <v>22</v>
      </c>
      <c r="H200" s="992" t="s">
        <v>155</v>
      </c>
      <c r="I200" s="375" t="s">
        <v>1453</v>
      </c>
      <c r="J200" s="1263">
        <v>1</v>
      </c>
      <c r="K200" s="1264" t="s">
        <v>22</v>
      </c>
      <c r="L200" s="1128">
        <v>38331</v>
      </c>
      <c r="M200" s="1128">
        <v>40329</v>
      </c>
      <c r="N200" s="1135" t="s">
        <v>22</v>
      </c>
      <c r="O200" s="1149">
        <v>2010</v>
      </c>
      <c r="P200" s="1141">
        <v>515000</v>
      </c>
      <c r="Q200" s="1150">
        <v>4862659078</v>
      </c>
      <c r="R200" s="1150" t="s">
        <v>151</v>
      </c>
      <c r="S200" s="1142">
        <v>1.2167533333333331</v>
      </c>
      <c r="T200" s="1143" t="s">
        <v>140</v>
      </c>
      <c r="U200" s="1144">
        <v>2331.4443333333334</v>
      </c>
      <c r="V200" s="1141">
        <v>4862659078</v>
      </c>
      <c r="W200" s="1145">
        <v>9442</v>
      </c>
      <c r="X200" s="1145">
        <v>9442</v>
      </c>
      <c r="Y200" s="1591"/>
      <c r="Z200" s="1591"/>
      <c r="AA200" s="1594"/>
    </row>
    <row r="201" spans="1:27" s="417" customFormat="1" ht="57">
      <c r="A201" s="1226" t="s">
        <v>1450</v>
      </c>
      <c r="B201" s="1133" t="s">
        <v>1460</v>
      </c>
      <c r="C201" s="1135" t="s">
        <v>1461</v>
      </c>
      <c r="D201" s="1135" t="s">
        <v>129</v>
      </c>
      <c r="E201" s="1135" t="s">
        <v>129</v>
      </c>
      <c r="F201" s="1135" t="s">
        <v>22</v>
      </c>
      <c r="G201" s="1135" t="s">
        <v>22</v>
      </c>
      <c r="H201" s="992" t="s">
        <v>155</v>
      </c>
      <c r="I201" s="375" t="s">
        <v>232</v>
      </c>
      <c r="J201" s="1263">
        <v>1</v>
      </c>
      <c r="K201" s="1264" t="s">
        <v>22</v>
      </c>
      <c r="L201" s="1128">
        <v>36992</v>
      </c>
      <c r="M201" s="1128">
        <v>37636</v>
      </c>
      <c r="N201" s="1135" t="s">
        <v>22</v>
      </c>
      <c r="O201" s="1149">
        <v>2003</v>
      </c>
      <c r="P201" s="1141">
        <v>332000</v>
      </c>
      <c r="Q201" s="1150">
        <v>1135751411</v>
      </c>
      <c r="R201" s="1150" t="s">
        <v>151</v>
      </c>
      <c r="S201" s="1142">
        <v>1.2167533333333331</v>
      </c>
      <c r="T201" s="1143" t="s">
        <v>140</v>
      </c>
      <c r="U201" s="1144">
        <v>2331.4443333333334</v>
      </c>
      <c r="V201" s="1141">
        <v>1135751411</v>
      </c>
      <c r="W201" s="1145">
        <v>3421</v>
      </c>
      <c r="X201" s="1145">
        <v>3421</v>
      </c>
      <c r="Y201" s="1591"/>
      <c r="Z201" s="1591"/>
      <c r="AA201" s="1594"/>
    </row>
    <row r="202" spans="1:27" s="417" customFormat="1" ht="100.5" thickBot="1">
      <c r="A202" s="1226" t="s">
        <v>1450</v>
      </c>
      <c r="B202" s="1133" t="s">
        <v>1460</v>
      </c>
      <c r="C202" s="1135" t="s">
        <v>1461</v>
      </c>
      <c r="D202" s="1135" t="s">
        <v>129</v>
      </c>
      <c r="E202" s="1135" t="s">
        <v>129</v>
      </c>
      <c r="F202" s="1135" t="s">
        <v>22</v>
      </c>
      <c r="G202" s="1135" t="s">
        <v>22</v>
      </c>
      <c r="H202" s="992" t="s">
        <v>147</v>
      </c>
      <c r="I202" s="375" t="s">
        <v>228</v>
      </c>
      <c r="J202" s="1263">
        <v>0.6</v>
      </c>
      <c r="K202" s="1264" t="s">
        <v>22</v>
      </c>
      <c r="L202" s="1128">
        <v>41198</v>
      </c>
      <c r="M202" s="1128">
        <v>41699</v>
      </c>
      <c r="N202" s="1135" t="s">
        <v>22</v>
      </c>
      <c r="O202" s="1149">
        <v>2014</v>
      </c>
      <c r="P202" s="1141">
        <v>616000</v>
      </c>
      <c r="Q202" s="1150">
        <v>2668542300</v>
      </c>
      <c r="R202" s="1150" t="s">
        <v>151</v>
      </c>
      <c r="S202" s="1142">
        <v>1.2167533333333331</v>
      </c>
      <c r="T202" s="1143" t="s">
        <v>140</v>
      </c>
      <c r="U202" s="1144">
        <v>2331.4443333333334</v>
      </c>
      <c r="V202" s="1141">
        <v>2668542300</v>
      </c>
      <c r="W202" s="1145">
        <v>4332</v>
      </c>
      <c r="X202" s="1145">
        <v>2599</v>
      </c>
      <c r="Y202" s="1591"/>
      <c r="Z202" s="1591"/>
      <c r="AA202" s="1594"/>
    </row>
    <row r="203" spans="1:27" s="417" customFormat="1" ht="57">
      <c r="A203" s="1212" t="s">
        <v>1462</v>
      </c>
      <c r="B203" s="1213" t="s">
        <v>1633</v>
      </c>
      <c r="C203" s="1214" t="s">
        <v>1373</v>
      </c>
      <c r="D203" s="1214" t="s">
        <v>129</v>
      </c>
      <c r="E203" s="1214" t="s">
        <v>129</v>
      </c>
      <c r="F203" s="1214" t="s">
        <v>22</v>
      </c>
      <c r="G203" s="1214" t="s">
        <v>129</v>
      </c>
      <c r="H203" s="1215" t="s">
        <v>1375</v>
      </c>
      <c r="I203" s="1216" t="s">
        <v>1605</v>
      </c>
      <c r="J203" s="1269">
        <v>0.45</v>
      </c>
      <c r="K203" s="1270" t="s">
        <v>22</v>
      </c>
      <c r="L203" s="1218">
        <v>39125</v>
      </c>
      <c r="M203" s="1218">
        <v>42012</v>
      </c>
      <c r="N203" s="1214" t="s">
        <v>22</v>
      </c>
      <c r="O203" s="1251">
        <v>2015</v>
      </c>
      <c r="P203" s="1220">
        <v>644350</v>
      </c>
      <c r="Q203" s="1247">
        <v>15319357761</v>
      </c>
      <c r="R203" s="1247" t="s">
        <v>151</v>
      </c>
      <c r="S203" s="1222">
        <v>1.2167533333333331</v>
      </c>
      <c r="T203" s="1223" t="s">
        <v>140</v>
      </c>
      <c r="U203" s="1224">
        <v>2331.4443333333334</v>
      </c>
      <c r="V203" s="1220">
        <v>15319357761</v>
      </c>
      <c r="W203" s="1225">
        <v>23775</v>
      </c>
      <c r="X203" s="1225">
        <v>10699</v>
      </c>
      <c r="Y203" s="1590" t="s">
        <v>22</v>
      </c>
      <c r="Z203" s="1590" t="s">
        <v>22</v>
      </c>
      <c r="AA203" s="1593" t="s">
        <v>129</v>
      </c>
    </row>
    <row r="204" spans="1:27" s="417" customFormat="1" ht="285">
      <c r="A204" s="1226" t="s">
        <v>1462</v>
      </c>
      <c r="B204" s="1133" t="s">
        <v>1634</v>
      </c>
      <c r="C204" s="388" t="s">
        <v>1378</v>
      </c>
      <c r="D204" s="1135" t="s">
        <v>129</v>
      </c>
      <c r="E204" s="1135" t="s">
        <v>129</v>
      </c>
      <c r="F204" s="1135" t="s">
        <v>22</v>
      </c>
      <c r="G204" s="1135" t="s">
        <v>129</v>
      </c>
      <c r="H204" s="992" t="s">
        <v>448</v>
      </c>
      <c r="I204" s="375" t="s">
        <v>1379</v>
      </c>
      <c r="J204" s="1263">
        <v>0.2</v>
      </c>
      <c r="K204" s="1264" t="s">
        <v>22</v>
      </c>
      <c r="L204" s="1128">
        <v>39645</v>
      </c>
      <c r="M204" s="1128">
        <v>41502</v>
      </c>
      <c r="N204" s="1135" t="s">
        <v>22</v>
      </c>
      <c r="O204" s="1149">
        <v>2013</v>
      </c>
      <c r="P204" s="1141">
        <v>589500</v>
      </c>
      <c r="Q204" s="1150">
        <v>28736581560</v>
      </c>
      <c r="R204" s="1150" t="s">
        <v>151</v>
      </c>
      <c r="S204" s="1142">
        <v>1.2167533333333331</v>
      </c>
      <c r="T204" s="1143" t="s">
        <v>140</v>
      </c>
      <c r="U204" s="1144">
        <v>2331.4443333333334</v>
      </c>
      <c r="V204" s="1141">
        <v>28736581560</v>
      </c>
      <c r="W204" s="1145">
        <v>48747</v>
      </c>
      <c r="X204" s="1145">
        <v>9749</v>
      </c>
      <c r="Y204" s="1591"/>
      <c r="Z204" s="1591"/>
      <c r="AA204" s="1594"/>
    </row>
    <row r="205" spans="1:27" s="417" customFormat="1" ht="57">
      <c r="A205" s="1226" t="s">
        <v>1462</v>
      </c>
      <c r="B205" s="1133" t="s">
        <v>1635</v>
      </c>
      <c r="C205" s="388" t="s">
        <v>1381</v>
      </c>
      <c r="D205" s="1135" t="s">
        <v>129</v>
      </c>
      <c r="E205" s="1135" t="s">
        <v>129</v>
      </c>
      <c r="F205" s="1135" t="s">
        <v>22</v>
      </c>
      <c r="G205" s="1135" t="s">
        <v>129</v>
      </c>
      <c r="H205" s="992" t="s">
        <v>214</v>
      </c>
      <c r="I205" s="375" t="s">
        <v>1382</v>
      </c>
      <c r="J205" s="1263">
        <v>1</v>
      </c>
      <c r="K205" s="1264" t="s">
        <v>22</v>
      </c>
      <c r="L205" s="1128">
        <v>38681</v>
      </c>
      <c r="M205" s="1128">
        <v>39994</v>
      </c>
      <c r="N205" s="1135" t="s">
        <v>22</v>
      </c>
      <c r="O205" s="1149">
        <v>2009</v>
      </c>
      <c r="P205" s="1141">
        <v>496900</v>
      </c>
      <c r="Q205" s="1150">
        <v>1194924.49</v>
      </c>
      <c r="R205" s="1150" t="s">
        <v>142</v>
      </c>
      <c r="S205" s="1142">
        <v>1.2167533333333331</v>
      </c>
      <c r="T205" s="1143">
        <v>1453928.3562891332</v>
      </c>
      <c r="U205" s="1144">
        <v>2331.4443333333334</v>
      </c>
      <c r="V205" s="1141">
        <v>3389753027.3429475</v>
      </c>
      <c r="W205" s="1145">
        <v>6822</v>
      </c>
      <c r="X205" s="1145">
        <v>6822</v>
      </c>
      <c r="Y205" s="1591"/>
      <c r="Z205" s="1591"/>
      <c r="AA205" s="1594"/>
    </row>
    <row r="206" spans="1:27" s="417" customFormat="1" ht="57.75" thickBot="1">
      <c r="A206" s="1228" t="s">
        <v>1462</v>
      </c>
      <c r="B206" s="1229" t="s">
        <v>1635</v>
      </c>
      <c r="C206" s="420" t="s">
        <v>1381</v>
      </c>
      <c r="D206" s="1230" t="s">
        <v>129</v>
      </c>
      <c r="E206" s="1230" t="s">
        <v>129</v>
      </c>
      <c r="F206" s="1230" t="s">
        <v>22</v>
      </c>
      <c r="G206" s="1230" t="s">
        <v>129</v>
      </c>
      <c r="H206" s="1231" t="s">
        <v>214</v>
      </c>
      <c r="I206" s="1232" t="s">
        <v>1383</v>
      </c>
      <c r="J206" s="1268">
        <v>1</v>
      </c>
      <c r="K206" s="1260" t="s">
        <v>22</v>
      </c>
      <c r="L206" s="1246">
        <v>36850</v>
      </c>
      <c r="M206" s="1246">
        <v>38291</v>
      </c>
      <c r="N206" s="1230" t="s">
        <v>22</v>
      </c>
      <c r="O206" s="1237">
        <v>2004</v>
      </c>
      <c r="P206" s="1238">
        <v>358000</v>
      </c>
      <c r="Q206" s="1240">
        <v>1526917.675</v>
      </c>
      <c r="R206" s="1240" t="s">
        <v>142</v>
      </c>
      <c r="S206" s="1241">
        <v>1.2167533333333331</v>
      </c>
      <c r="T206" s="1242">
        <v>1857882.1707818331</v>
      </c>
      <c r="U206" s="1243">
        <v>2331.4443333333334</v>
      </c>
      <c r="V206" s="1238">
        <v>4331548859.0703373</v>
      </c>
      <c r="W206" s="1244">
        <v>12099</v>
      </c>
      <c r="X206" s="1244">
        <v>12099</v>
      </c>
      <c r="Y206" s="1592"/>
      <c r="Z206" s="1592"/>
      <c r="AA206" s="1595"/>
    </row>
    <row r="207" spans="1:27" s="417" customFormat="1" ht="57">
      <c r="A207" s="1226" t="s">
        <v>1466</v>
      </c>
      <c r="B207" s="1133" t="s">
        <v>1636</v>
      </c>
      <c r="C207" s="1135" t="s">
        <v>1373</v>
      </c>
      <c r="D207" s="1135" t="s">
        <v>129</v>
      </c>
      <c r="E207" s="1135" t="s">
        <v>129</v>
      </c>
      <c r="F207" s="1135" t="s">
        <v>129</v>
      </c>
      <c r="G207" s="1135" t="s">
        <v>22</v>
      </c>
      <c r="H207" s="992" t="s">
        <v>1375</v>
      </c>
      <c r="I207" s="375" t="s">
        <v>1605</v>
      </c>
      <c r="J207" s="1263">
        <v>0.45</v>
      </c>
      <c r="K207" s="1264" t="s">
        <v>22</v>
      </c>
      <c r="L207" s="1128">
        <v>39125</v>
      </c>
      <c r="M207" s="1128">
        <v>42012</v>
      </c>
      <c r="N207" s="1135" t="s">
        <v>22</v>
      </c>
      <c r="O207" s="1149">
        <v>2015</v>
      </c>
      <c r="P207" s="1141">
        <v>644350</v>
      </c>
      <c r="Q207" s="1150">
        <v>15319357761</v>
      </c>
      <c r="R207" s="1150" t="s">
        <v>151</v>
      </c>
      <c r="S207" s="1142">
        <v>1.2167533333333331</v>
      </c>
      <c r="T207" s="1143" t="s">
        <v>140</v>
      </c>
      <c r="U207" s="1144">
        <v>2331.4443333333334</v>
      </c>
      <c r="V207" s="1141">
        <v>15319357761</v>
      </c>
      <c r="W207" s="1145">
        <v>23775</v>
      </c>
      <c r="X207" s="1145">
        <v>10699</v>
      </c>
      <c r="Y207" s="1591" t="s">
        <v>22</v>
      </c>
      <c r="Z207" s="1591" t="s">
        <v>22</v>
      </c>
      <c r="AA207" s="1594" t="s">
        <v>129</v>
      </c>
    </row>
    <row r="208" spans="1:27" s="417" customFormat="1" ht="285">
      <c r="A208" s="1226" t="s">
        <v>1466</v>
      </c>
      <c r="B208" s="1133" t="s">
        <v>1637</v>
      </c>
      <c r="C208" s="388" t="s">
        <v>1378</v>
      </c>
      <c r="D208" s="1135" t="s">
        <v>129</v>
      </c>
      <c r="E208" s="1135" t="s">
        <v>129</v>
      </c>
      <c r="F208" s="1135" t="s">
        <v>129</v>
      </c>
      <c r="G208" s="1135" t="s">
        <v>22</v>
      </c>
      <c r="H208" s="992" t="s">
        <v>448</v>
      </c>
      <c r="I208" s="375" t="s">
        <v>1379</v>
      </c>
      <c r="J208" s="1263">
        <v>0.2</v>
      </c>
      <c r="K208" s="1264" t="s">
        <v>22</v>
      </c>
      <c r="L208" s="1128">
        <v>39645</v>
      </c>
      <c r="M208" s="1128">
        <v>41502</v>
      </c>
      <c r="N208" s="1135" t="s">
        <v>22</v>
      </c>
      <c r="O208" s="1149">
        <v>2013</v>
      </c>
      <c r="P208" s="1141">
        <v>589500</v>
      </c>
      <c r="Q208" s="1150">
        <v>28736581560</v>
      </c>
      <c r="R208" s="1150" t="s">
        <v>151</v>
      </c>
      <c r="S208" s="1142">
        <v>1.2167533333333331</v>
      </c>
      <c r="T208" s="1143" t="s">
        <v>140</v>
      </c>
      <c r="U208" s="1144">
        <v>2331.4443333333334</v>
      </c>
      <c r="V208" s="1141">
        <v>28736581560</v>
      </c>
      <c r="W208" s="1145">
        <v>48747</v>
      </c>
      <c r="X208" s="1145">
        <v>9749</v>
      </c>
      <c r="Y208" s="1591"/>
      <c r="Z208" s="1591"/>
      <c r="AA208" s="1594"/>
    </row>
    <row r="209" spans="1:27" s="417" customFormat="1" ht="57">
      <c r="A209" s="1226" t="s">
        <v>1466</v>
      </c>
      <c r="B209" s="1133" t="s">
        <v>1638</v>
      </c>
      <c r="C209" s="388" t="s">
        <v>1381</v>
      </c>
      <c r="D209" s="1135" t="s">
        <v>129</v>
      </c>
      <c r="E209" s="1135" t="s">
        <v>129</v>
      </c>
      <c r="F209" s="1135" t="s">
        <v>129</v>
      </c>
      <c r="G209" s="1135" t="s">
        <v>22</v>
      </c>
      <c r="H209" s="992" t="s">
        <v>214</v>
      </c>
      <c r="I209" s="375" t="s">
        <v>1382</v>
      </c>
      <c r="J209" s="1263">
        <v>1</v>
      </c>
      <c r="K209" s="1264" t="s">
        <v>22</v>
      </c>
      <c r="L209" s="1128">
        <v>38681</v>
      </c>
      <c r="M209" s="1128">
        <v>39994</v>
      </c>
      <c r="N209" s="1135" t="s">
        <v>22</v>
      </c>
      <c r="O209" s="1149">
        <v>2009</v>
      </c>
      <c r="P209" s="1141">
        <v>496900</v>
      </c>
      <c r="Q209" s="1150">
        <v>1194924.49</v>
      </c>
      <c r="R209" s="1150" t="s">
        <v>142</v>
      </c>
      <c r="S209" s="1142">
        <v>1.2167533333333331</v>
      </c>
      <c r="T209" s="1143">
        <v>1453928.3562891332</v>
      </c>
      <c r="U209" s="1144">
        <v>2331.4443333333334</v>
      </c>
      <c r="V209" s="1141">
        <v>3389753027.3429475</v>
      </c>
      <c r="W209" s="1145">
        <v>6822</v>
      </c>
      <c r="X209" s="1145">
        <v>6822</v>
      </c>
      <c r="Y209" s="1591"/>
      <c r="Z209" s="1591"/>
      <c r="AA209" s="1594"/>
    </row>
    <row r="210" spans="1:27" s="417" customFormat="1" ht="57.75" thickBot="1">
      <c r="A210" s="1228" t="s">
        <v>1466</v>
      </c>
      <c r="B210" s="1229" t="s">
        <v>1638</v>
      </c>
      <c r="C210" s="420" t="s">
        <v>1381</v>
      </c>
      <c r="D210" s="1230" t="s">
        <v>129</v>
      </c>
      <c r="E210" s="1230" t="s">
        <v>129</v>
      </c>
      <c r="F210" s="1230" t="s">
        <v>129</v>
      </c>
      <c r="G210" s="1230" t="s">
        <v>22</v>
      </c>
      <c r="H210" s="1231" t="s">
        <v>214</v>
      </c>
      <c r="I210" s="1232" t="s">
        <v>1383</v>
      </c>
      <c r="J210" s="1268">
        <v>1</v>
      </c>
      <c r="K210" s="1260" t="s">
        <v>22</v>
      </c>
      <c r="L210" s="1246">
        <v>36850</v>
      </c>
      <c r="M210" s="1246">
        <v>38291</v>
      </c>
      <c r="N210" s="1230" t="s">
        <v>22</v>
      </c>
      <c r="O210" s="1237">
        <v>2004</v>
      </c>
      <c r="P210" s="1238">
        <v>358000</v>
      </c>
      <c r="Q210" s="1240">
        <v>1526917.675</v>
      </c>
      <c r="R210" s="1240" t="s">
        <v>142</v>
      </c>
      <c r="S210" s="1241">
        <v>1.2167533333333331</v>
      </c>
      <c r="T210" s="1242">
        <v>1857882.1707818331</v>
      </c>
      <c r="U210" s="1243">
        <v>2331.4443333333334</v>
      </c>
      <c r="V210" s="1238">
        <v>4331548859.0703373</v>
      </c>
      <c r="W210" s="1244">
        <v>12099</v>
      </c>
      <c r="X210" s="1244">
        <v>12099</v>
      </c>
      <c r="Y210" s="1592"/>
      <c r="Z210" s="1592"/>
      <c r="AA210" s="1595"/>
    </row>
  </sheetData>
  <autoFilter ref="A1:AA210"/>
  <mergeCells count="185">
    <mergeCell ref="A1:A2"/>
    <mergeCell ref="B1:B2"/>
    <mergeCell ref="C1:C2"/>
    <mergeCell ref="D1:D2"/>
    <mergeCell ref="E1:E2"/>
    <mergeCell ref="F1:F2"/>
    <mergeCell ref="P1:P2"/>
    <mergeCell ref="Q1:Q2"/>
    <mergeCell ref="R1:R2"/>
    <mergeCell ref="G1:G2"/>
    <mergeCell ref="H1:H2"/>
    <mergeCell ref="I1:I2"/>
    <mergeCell ref="J1:J2"/>
    <mergeCell ref="K1:K2"/>
    <mergeCell ref="L1:L2"/>
    <mergeCell ref="M1:M2"/>
    <mergeCell ref="N1:N2"/>
    <mergeCell ref="O1:O2"/>
    <mergeCell ref="S1:S2"/>
    <mergeCell ref="T1:T2"/>
    <mergeCell ref="U1:U2"/>
    <mergeCell ref="V1:V2"/>
    <mergeCell ref="W1:W2"/>
    <mergeCell ref="X1:X2"/>
    <mergeCell ref="Y1:Y2"/>
    <mergeCell ref="Z1:Z2"/>
    <mergeCell ref="AA1:AA2"/>
    <mergeCell ref="AB1:AB2"/>
    <mergeCell ref="Y3:Y6"/>
    <mergeCell ref="Z3:Z6"/>
    <mergeCell ref="AA3:AA6"/>
    <mergeCell ref="Y7:Y10"/>
    <mergeCell ref="Z7:Z10"/>
    <mergeCell ref="AA7:AA10"/>
    <mergeCell ref="Y11:Y14"/>
    <mergeCell ref="Z11:Z14"/>
    <mergeCell ref="AA11:AA14"/>
    <mergeCell ref="Y15:Y18"/>
    <mergeCell ref="Z15:Z18"/>
    <mergeCell ref="AA15:AA18"/>
    <mergeCell ref="Y19:Y22"/>
    <mergeCell ref="Z19:Z22"/>
    <mergeCell ref="AA19:AA22"/>
    <mergeCell ref="Y23:Y26"/>
    <mergeCell ref="Z23:Z26"/>
    <mergeCell ref="AA23:AA26"/>
    <mergeCell ref="Y27:Y30"/>
    <mergeCell ref="Z27:Z30"/>
    <mergeCell ref="AA27:AA30"/>
    <mergeCell ref="Y31:Y34"/>
    <mergeCell ref="Z31:Z34"/>
    <mergeCell ref="AA31:AA34"/>
    <mergeCell ref="Y35:Y38"/>
    <mergeCell ref="Z35:Z38"/>
    <mergeCell ref="AA35:AA38"/>
    <mergeCell ref="Y39:Y42"/>
    <mergeCell ref="Z39:Z42"/>
    <mergeCell ref="AA39:AA42"/>
    <mergeCell ref="Y43:Y46"/>
    <mergeCell ref="Z43:Z46"/>
    <mergeCell ref="AA43:AA46"/>
    <mergeCell ref="Y47:Y50"/>
    <mergeCell ref="Z47:Z50"/>
    <mergeCell ref="AA47:AA50"/>
    <mergeCell ref="Y51:Y54"/>
    <mergeCell ref="Z51:Z54"/>
    <mergeCell ref="AA51:AA54"/>
    <mergeCell ref="Y55:Y58"/>
    <mergeCell ref="Z55:Z58"/>
    <mergeCell ref="AA55:AA58"/>
    <mergeCell ref="Y59:Y62"/>
    <mergeCell ref="Z59:Z62"/>
    <mergeCell ref="AA59:AA62"/>
    <mergeCell ref="Y63:Y66"/>
    <mergeCell ref="Z63:Z66"/>
    <mergeCell ref="AA63:AA66"/>
    <mergeCell ref="Y67:Y70"/>
    <mergeCell ref="Z67:Z70"/>
    <mergeCell ref="AA67:AA70"/>
    <mergeCell ref="Y71:Y74"/>
    <mergeCell ref="Z71:Z74"/>
    <mergeCell ref="AA71:AA74"/>
    <mergeCell ref="Y75:Y78"/>
    <mergeCell ref="Z75:Z78"/>
    <mergeCell ref="AA75:AA78"/>
    <mergeCell ref="Y79:Y82"/>
    <mergeCell ref="Z79:Z82"/>
    <mergeCell ref="AA79:AA82"/>
    <mergeCell ref="Y83:Y86"/>
    <mergeCell ref="Z83:Z86"/>
    <mergeCell ref="AA83:AA86"/>
    <mergeCell ref="Y87:Y90"/>
    <mergeCell ref="Z87:Z90"/>
    <mergeCell ref="AA87:AA90"/>
    <mergeCell ref="Y91:Y94"/>
    <mergeCell ref="Z91:Z94"/>
    <mergeCell ref="AA91:AA94"/>
    <mergeCell ref="Y95:Y98"/>
    <mergeCell ref="Z95:Z98"/>
    <mergeCell ref="AA95:AA98"/>
    <mergeCell ref="Y99:Y102"/>
    <mergeCell ref="Z99:Z102"/>
    <mergeCell ref="AA99:AA102"/>
    <mergeCell ref="Y103:Y106"/>
    <mergeCell ref="Z103:Z106"/>
    <mergeCell ref="AA103:AA106"/>
    <mergeCell ref="Y107:Y110"/>
    <mergeCell ref="Z107:Z110"/>
    <mergeCell ref="AA107:AA110"/>
    <mergeCell ref="Y111:Y114"/>
    <mergeCell ref="Z111:Z114"/>
    <mergeCell ref="AA111:AA114"/>
    <mergeCell ref="Y115:Y118"/>
    <mergeCell ref="Z115:Z118"/>
    <mergeCell ref="AA115:AA118"/>
    <mergeCell ref="Y119:Y122"/>
    <mergeCell ref="Z119:Z122"/>
    <mergeCell ref="AA119:AA122"/>
    <mergeCell ref="Y123:Y126"/>
    <mergeCell ref="Z123:Z126"/>
    <mergeCell ref="AA123:AA126"/>
    <mergeCell ref="Y127:Y130"/>
    <mergeCell ref="Z127:Z130"/>
    <mergeCell ref="AA127:AA130"/>
    <mergeCell ref="Y131:Y134"/>
    <mergeCell ref="Z131:Z134"/>
    <mergeCell ref="AA131:AA134"/>
    <mergeCell ref="Y135:Y138"/>
    <mergeCell ref="Z135:Z138"/>
    <mergeCell ref="AA135:AA138"/>
    <mergeCell ref="Y139:Y142"/>
    <mergeCell ref="Z139:Z142"/>
    <mergeCell ref="AA139:AA142"/>
    <mergeCell ref="Y143:Y146"/>
    <mergeCell ref="Z143:Z146"/>
    <mergeCell ref="AA143:AA146"/>
    <mergeCell ref="Y147:Y150"/>
    <mergeCell ref="Z147:Z150"/>
    <mergeCell ref="AA147:AA150"/>
    <mergeCell ref="Y151:Y154"/>
    <mergeCell ref="Z151:Z154"/>
    <mergeCell ref="AA151:AA154"/>
    <mergeCell ref="Y155:Y158"/>
    <mergeCell ref="Z155:Z158"/>
    <mergeCell ref="AA155:AA158"/>
    <mergeCell ref="AB155:AB158"/>
    <mergeCell ref="Y159:Y162"/>
    <mergeCell ref="Z159:Z162"/>
    <mergeCell ref="AA159:AA162"/>
    <mergeCell ref="Y163:Y166"/>
    <mergeCell ref="Z163:Z166"/>
    <mergeCell ref="AA163:AA166"/>
    <mergeCell ref="Y167:Y170"/>
    <mergeCell ref="Z167:Z170"/>
    <mergeCell ref="AA167:AA170"/>
    <mergeCell ref="Y171:Y174"/>
    <mergeCell ref="Z171:Z174"/>
    <mergeCell ref="AA171:AA174"/>
    <mergeCell ref="Y175:Y178"/>
    <mergeCell ref="Z175:Z178"/>
    <mergeCell ref="AA175:AA178"/>
    <mergeCell ref="Y179:Y182"/>
    <mergeCell ref="Z179:Z182"/>
    <mergeCell ref="AA179:AA182"/>
    <mergeCell ref="Y183:Y186"/>
    <mergeCell ref="Z183:Z186"/>
    <mergeCell ref="AA183:AA186"/>
    <mergeCell ref="Y187:Y190"/>
    <mergeCell ref="Z187:Z190"/>
    <mergeCell ref="AA187:AA190"/>
    <mergeCell ref="Y191:Y194"/>
    <mergeCell ref="Z191:Z194"/>
    <mergeCell ref="AA191:AA194"/>
    <mergeCell ref="Y195:Y198"/>
    <mergeCell ref="Z195:Z198"/>
    <mergeCell ref="AA195:AA198"/>
    <mergeCell ref="Y207:Y210"/>
    <mergeCell ref="Z207:Z210"/>
    <mergeCell ref="AA207:AA210"/>
    <mergeCell ref="Y199:Y202"/>
    <mergeCell ref="Z199:Z202"/>
    <mergeCell ref="AA199:AA202"/>
    <mergeCell ref="Y203:Y206"/>
    <mergeCell ref="Z203:Z206"/>
    <mergeCell ref="AA203:AA206"/>
  </mergeCells>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FF00"/>
  </sheetPr>
  <dimension ref="A1:AN445"/>
  <sheetViews>
    <sheetView topLeftCell="C1" zoomScale="60" zoomScaleNormal="60" zoomScalePageLayoutView="75" workbookViewId="0">
      <pane ySplit="2" topLeftCell="A290" activePane="bottomLeft" state="frozen"/>
      <selection activeCell="M112" sqref="M112"/>
      <selection pane="bottomLeft" activeCell="M112" sqref="M112"/>
    </sheetView>
  </sheetViews>
  <sheetFormatPr baseColWidth="10" defaultColWidth="10.875" defaultRowHeight="15.75"/>
  <cols>
    <col min="1" max="1" width="12.625" style="66" customWidth="1"/>
    <col min="2" max="2" width="14.25" style="50" customWidth="1"/>
    <col min="3" max="3" width="8.875" style="50" customWidth="1"/>
    <col min="4" max="4" width="10.75" style="181" customWidth="1"/>
    <col min="5" max="5" width="15.25" style="52" customWidth="1"/>
    <col min="6" max="6" width="17.5" style="52" customWidth="1"/>
    <col min="7" max="7" width="66.125" style="59" customWidth="1"/>
    <col min="8" max="8" width="18.5" style="59" customWidth="1"/>
    <col min="9" max="9" width="12.5" style="59" customWidth="1"/>
    <col min="10" max="10" width="13.625" style="60" customWidth="1"/>
    <col min="11" max="11" width="10.625" style="61" customWidth="1"/>
    <col min="12" max="12" width="11" style="62" customWidth="1"/>
    <col min="13" max="13" width="11" style="63" customWidth="1"/>
    <col min="14" max="14" width="11" style="29" customWidth="1"/>
    <col min="15" max="15" width="18.5" style="64" customWidth="1"/>
    <col min="16" max="16" width="8.75" style="64" customWidth="1"/>
    <col min="17" max="17" width="9.5" style="29" bestFit="1" customWidth="1"/>
    <col min="18" max="18" width="12.5" style="29" customWidth="1"/>
    <col min="19" max="19" width="9.625" style="29" bestFit="1" customWidth="1"/>
    <col min="20" max="21" width="15.5" style="29" customWidth="1"/>
    <col min="22" max="22" width="18.375" style="42" customWidth="1"/>
    <col min="23" max="23" width="16.5" style="42" customWidth="1"/>
    <col min="24" max="24" width="11.625" style="50" customWidth="1"/>
    <col min="25" max="25" width="7.875" style="65" customWidth="1"/>
    <col min="26" max="26" width="8.875" style="65" customWidth="1"/>
    <col min="27" max="27" width="11" style="50" customWidth="1"/>
    <col min="28" max="28" width="7.875" style="65" customWidth="1"/>
    <col min="29" max="29" width="8.875" style="65" customWidth="1"/>
    <col min="30" max="30" width="11.125" style="65" customWidth="1"/>
    <col min="31" max="31" width="7.375" style="65" bestFit="1" customWidth="1"/>
    <col min="32" max="32" width="6.375" style="65" customWidth="1"/>
    <col min="33" max="36" width="19.5" style="19" customWidth="1"/>
    <col min="37" max="37" width="59.125" style="52" customWidth="1"/>
    <col min="38" max="40" width="10.875" style="66"/>
    <col min="41" max="42" width="15.125" style="66" bestFit="1" customWidth="1"/>
    <col min="43" max="16384" width="10.875" style="66"/>
  </cols>
  <sheetData>
    <row r="1" spans="1:40" s="17" customFormat="1" ht="15" customHeight="1">
      <c r="A1" s="1516" t="s">
        <v>1639</v>
      </c>
      <c r="B1" s="1516" t="s">
        <v>96</v>
      </c>
      <c r="C1" s="1516" t="s">
        <v>97</v>
      </c>
      <c r="D1" s="1617" t="s">
        <v>98</v>
      </c>
      <c r="E1" s="1516" t="s">
        <v>99</v>
      </c>
      <c r="F1" s="1516" t="s">
        <v>100</v>
      </c>
      <c r="G1" s="1516" t="s">
        <v>103</v>
      </c>
      <c r="H1" s="1519" t="s">
        <v>104</v>
      </c>
      <c r="I1" s="1519" t="s">
        <v>105</v>
      </c>
      <c r="J1" s="1521" t="s">
        <v>106</v>
      </c>
      <c r="K1" s="1523" t="s">
        <v>107</v>
      </c>
      <c r="L1" s="1523" t="s">
        <v>1640</v>
      </c>
      <c r="M1" s="1525" t="s">
        <v>109</v>
      </c>
      <c r="N1" s="1516" t="s">
        <v>110</v>
      </c>
      <c r="O1" s="1516" t="s">
        <v>111</v>
      </c>
      <c r="P1" s="1516" t="s">
        <v>112</v>
      </c>
      <c r="Q1" s="1519" t="s">
        <v>113</v>
      </c>
      <c r="R1" s="1519" t="s">
        <v>114</v>
      </c>
      <c r="S1" s="1519" t="s">
        <v>115</v>
      </c>
      <c r="T1" s="1519" t="s">
        <v>116</v>
      </c>
      <c r="U1" s="1516" t="s">
        <v>117</v>
      </c>
      <c r="V1" s="1519" t="s">
        <v>1641</v>
      </c>
      <c r="W1" s="1531" t="s">
        <v>122</v>
      </c>
      <c r="X1" s="1516" t="s">
        <v>123</v>
      </c>
      <c r="Y1" s="1516"/>
      <c r="Z1" s="1516"/>
      <c r="AA1" s="1516" t="s">
        <v>124</v>
      </c>
      <c r="AB1" s="1516"/>
      <c r="AC1" s="1516"/>
      <c r="AD1" s="1516" t="s">
        <v>125</v>
      </c>
      <c r="AE1" s="1516"/>
      <c r="AF1" s="1516"/>
      <c r="AG1" s="1519" t="s">
        <v>126</v>
      </c>
      <c r="AH1" s="1533" t="s">
        <v>1642</v>
      </c>
      <c r="AI1" s="1534" t="s">
        <v>1643</v>
      </c>
      <c r="AJ1" s="1533" t="s">
        <v>1644</v>
      </c>
      <c r="AK1" s="1529" t="s">
        <v>128</v>
      </c>
      <c r="AM1" s="18" t="s">
        <v>22</v>
      </c>
      <c r="AN1" s="18" t="s">
        <v>129</v>
      </c>
    </row>
    <row r="2" spans="1:40" s="145" customFormat="1" ht="62.25" customHeight="1" thickBot="1">
      <c r="A2" s="1517"/>
      <c r="B2" s="1517"/>
      <c r="C2" s="1517"/>
      <c r="D2" s="1618"/>
      <c r="E2" s="1517"/>
      <c r="F2" s="1517"/>
      <c r="G2" s="1517"/>
      <c r="H2" s="1520"/>
      <c r="I2" s="1520"/>
      <c r="J2" s="1522"/>
      <c r="K2" s="1524"/>
      <c r="L2" s="1524"/>
      <c r="M2" s="1526"/>
      <c r="N2" s="1517"/>
      <c r="O2" s="1517"/>
      <c r="P2" s="1517"/>
      <c r="Q2" s="1520"/>
      <c r="R2" s="1520"/>
      <c r="S2" s="1520"/>
      <c r="T2" s="1520"/>
      <c r="U2" s="1517"/>
      <c r="V2" s="1520"/>
      <c r="W2" s="1532"/>
      <c r="X2" s="1387" t="s">
        <v>130</v>
      </c>
      <c r="Y2" s="1387" t="s">
        <v>131</v>
      </c>
      <c r="Z2" s="1387" t="s">
        <v>132</v>
      </c>
      <c r="AA2" s="1387" t="s">
        <v>133</v>
      </c>
      <c r="AB2" s="1387" t="s">
        <v>131</v>
      </c>
      <c r="AC2" s="1387" t="s">
        <v>134</v>
      </c>
      <c r="AD2" s="1387" t="s">
        <v>133</v>
      </c>
      <c r="AE2" s="1387" t="s">
        <v>131</v>
      </c>
      <c r="AF2" s="1387" t="s">
        <v>135</v>
      </c>
      <c r="AG2" s="1520"/>
      <c r="AH2" s="1534"/>
      <c r="AI2" s="1610"/>
      <c r="AJ2" s="1534"/>
      <c r="AK2" s="1530"/>
    </row>
    <row r="3" spans="1:40" s="148" customFormat="1" ht="99.75">
      <c r="A3" s="1611" t="s">
        <v>1645</v>
      </c>
      <c r="B3" s="1509" t="s">
        <v>1646</v>
      </c>
      <c r="C3" s="81" t="s">
        <v>136</v>
      </c>
      <c r="D3" s="82">
        <v>218</v>
      </c>
      <c r="E3" s="83" t="str">
        <f>+IFERROR(INDEX([4]CONSOLIDADO!$D$4:$D$108,MATCH('Concur - Exp. General'!C3,[4]CONSOLIDADO!$C$4:$C$108,0)),"")</f>
        <v>LKS COLOMBIA S.A.S.</v>
      </c>
      <c r="F3" s="84" t="s">
        <v>1647</v>
      </c>
      <c r="G3" s="85" t="s">
        <v>1648</v>
      </c>
      <c r="H3" s="1393" t="s">
        <v>22</v>
      </c>
      <c r="I3" s="1393" t="s">
        <v>22</v>
      </c>
      <c r="J3" s="86">
        <v>0.5</v>
      </c>
      <c r="K3" s="87">
        <v>39173</v>
      </c>
      <c r="L3" s="87">
        <v>40574</v>
      </c>
      <c r="M3" s="88">
        <f>IF(L3="","",YEAR(L3))</f>
        <v>2011</v>
      </c>
      <c r="N3" s="89">
        <f>+IFERROR(INDEX([4]PARÁMETROS!$B$11:$B$37,MATCH(M3,[4]PARÁMETROS!$A$11:$A$37,0)),"")</f>
        <v>535600</v>
      </c>
      <c r="O3" s="90">
        <v>2664656.9300000002</v>
      </c>
      <c r="P3" s="146" t="s">
        <v>142</v>
      </c>
      <c r="Q3" s="81">
        <v>1.3603400000000001</v>
      </c>
      <c r="R3" s="147">
        <f>+Q3*O3</f>
        <v>3624839.4081562003</v>
      </c>
      <c r="S3" s="93">
        <v>1857.98</v>
      </c>
      <c r="T3" s="89">
        <f>+S3*R3</f>
        <v>6734879123.5660572</v>
      </c>
      <c r="U3" s="94">
        <f>+IFERROR(T3/N3,"")</f>
        <v>12574.456914798464</v>
      </c>
      <c r="V3" s="94">
        <f>IFERROR(U3*J3,"")</f>
        <v>6287.228457399232</v>
      </c>
      <c r="W3" s="95">
        <v>67</v>
      </c>
      <c r="X3" s="1484" t="s">
        <v>22</v>
      </c>
      <c r="Y3" s="1484"/>
      <c r="Z3" s="1484"/>
      <c r="AA3" s="1484" t="s">
        <v>22</v>
      </c>
      <c r="AB3" s="1484"/>
      <c r="AC3" s="1484"/>
      <c r="AD3" s="1484" t="s">
        <v>22</v>
      </c>
      <c r="AE3" s="1484"/>
      <c r="AF3" s="1484"/>
      <c r="AG3" s="1393" t="s">
        <v>22</v>
      </c>
      <c r="AH3" s="1484" t="str">
        <f>IF(V3="","",IF(SUM(V3:V7)&gt;=[4]PARÁMETROS!$H$5,"CUMPLE","NO CUMPLE"))</f>
        <v>CUMPLE</v>
      </c>
      <c r="AI3" s="1484" t="str">
        <f>IF(V3="","",IF((V3+V4)&gt;=[4]PARÁMETROS!$F$5,"CUMPLE","NO CUMPLE"))</f>
        <v>CUMPLE</v>
      </c>
      <c r="AJ3" s="1393" t="str">
        <f>+IF(V3="","",IF(V3&gt;=[4]PARÁMETROS!$D$5,"CUMPLE","NO CUMPLE"))</f>
        <v>CUMPLE</v>
      </c>
      <c r="AK3" s="84"/>
    </row>
    <row r="4" spans="1:40" s="33" customFormat="1" ht="71.25">
      <c r="A4" s="1612"/>
      <c r="B4" s="1510"/>
      <c r="C4" s="19" t="s">
        <v>136</v>
      </c>
      <c r="D4" s="20">
        <v>221</v>
      </c>
      <c r="E4" s="21" t="str">
        <f>+IFERROR(INDEX([4]CONSOLIDADO!$D$4:$D$108,MATCH('Concur - Exp. General'!C4,[4]CONSOLIDADO!$C$4:$C$108,0)),"")</f>
        <v>LKS COLOMBIA S.A.S.</v>
      </c>
      <c r="F4" s="22" t="s">
        <v>1649</v>
      </c>
      <c r="G4" s="22" t="s">
        <v>1650</v>
      </c>
      <c r="H4" s="1388" t="s">
        <v>22</v>
      </c>
      <c r="I4" s="1388" t="s">
        <v>22</v>
      </c>
      <c r="J4" s="34">
        <v>1</v>
      </c>
      <c r="K4" s="25">
        <v>37288</v>
      </c>
      <c r="L4" s="25">
        <v>38904</v>
      </c>
      <c r="M4" s="26">
        <f t="shared" ref="M4:M43" si="0">IF(L4="","",YEAR(L4))</f>
        <v>2006</v>
      </c>
      <c r="N4" s="27">
        <f>+IFERROR(INDEX([4]PARÁMETROS!$B$11:$B$37,MATCH(M4,[4]PARÁMETROS!$A$11:$A$37,0)),"")</f>
        <v>408000</v>
      </c>
      <c r="O4" s="35">
        <v>2069370.4</v>
      </c>
      <c r="P4" s="149" t="s">
        <v>142</v>
      </c>
      <c r="Q4" s="19">
        <v>1.2766299999999999</v>
      </c>
      <c r="R4" s="30">
        <f>+O4*Q4</f>
        <v>2641820.3337519998</v>
      </c>
      <c r="S4" s="31">
        <v>2574.7399999999998</v>
      </c>
      <c r="T4" s="27">
        <f>+R4*S4</f>
        <v>6802000486.1246233</v>
      </c>
      <c r="U4" s="16">
        <f t="shared" ref="U4:U43" si="1">+IFERROR(T4/N4,"")</f>
        <v>16671.569818932901</v>
      </c>
      <c r="V4" s="16">
        <f t="shared" ref="V4:V43" si="2">IFERROR(U4*J4,"")</f>
        <v>16671.569818932901</v>
      </c>
      <c r="W4" s="32">
        <v>58</v>
      </c>
      <c r="X4" s="1485" t="s">
        <v>22</v>
      </c>
      <c r="Y4" s="1485"/>
      <c r="Z4" s="1485"/>
      <c r="AA4" s="1485" t="s">
        <v>22</v>
      </c>
      <c r="AB4" s="1485"/>
      <c r="AC4" s="1485"/>
      <c r="AD4" s="1485" t="s">
        <v>22</v>
      </c>
      <c r="AE4" s="1485"/>
      <c r="AF4" s="1485"/>
      <c r="AG4" s="1388" t="s">
        <v>22</v>
      </c>
      <c r="AH4" s="1485"/>
      <c r="AI4" s="1485"/>
      <c r="AJ4" s="1388" t="str">
        <f>+IF(V4="","",IF(V4&gt;=[4]PARÁMETROS!$D$5,"CUMPLE","NO CUMPLE"))</f>
        <v>CUMPLE</v>
      </c>
      <c r="AK4" s="22"/>
    </row>
    <row r="5" spans="1:40" s="33" customFormat="1" ht="42.75">
      <c r="A5" s="1612"/>
      <c r="B5" s="1510"/>
      <c r="C5" s="19" t="s">
        <v>145</v>
      </c>
      <c r="D5" s="20">
        <v>225</v>
      </c>
      <c r="E5" s="21" t="str">
        <f>+IFERROR(INDEX([4]CONSOLIDADO!$D$4:$D$108,MATCH('Concur - Exp. General'!C5,[4]CONSOLIDADO!$C$4:$C$108,0)),"")</f>
        <v>CGR S.A.S.</v>
      </c>
      <c r="F5" s="22" t="s">
        <v>949</v>
      </c>
      <c r="G5" s="23" t="s">
        <v>1651</v>
      </c>
      <c r="H5" s="1388" t="s">
        <v>22</v>
      </c>
      <c r="I5" s="1388" t="s">
        <v>22</v>
      </c>
      <c r="J5" s="24">
        <v>0.28000000000000003</v>
      </c>
      <c r="K5" s="25">
        <v>40077</v>
      </c>
      <c r="L5" s="25">
        <v>41977</v>
      </c>
      <c r="M5" s="26">
        <f t="shared" si="0"/>
        <v>2014</v>
      </c>
      <c r="N5" s="27">
        <f>+IFERROR(INDEX([4]PARÁMETROS!$B$11:$B$37,MATCH(M5,[4]PARÁMETROS!$A$11:$A$37,0)),"")</f>
        <v>616000</v>
      </c>
      <c r="O5" s="28">
        <v>8396906456</v>
      </c>
      <c r="P5" s="29" t="s">
        <v>151</v>
      </c>
      <c r="Q5" s="19" t="s">
        <v>140</v>
      </c>
      <c r="R5" s="30" t="s">
        <v>140</v>
      </c>
      <c r="S5" s="31">
        <v>1</v>
      </c>
      <c r="T5" s="27">
        <f t="shared" ref="T5:T43" si="3">IF(S5&lt;&gt;"",O5*S5,"")</f>
        <v>8396906456</v>
      </c>
      <c r="U5" s="16">
        <f>+IFERROR(T5/N5,"")</f>
        <v>13631.34164935065</v>
      </c>
      <c r="V5" s="16">
        <f>IFERROR(U5*J5,"")</f>
        <v>3816.7756618181825</v>
      </c>
      <c r="W5" s="32">
        <v>63</v>
      </c>
      <c r="X5" s="1485" t="s">
        <v>22</v>
      </c>
      <c r="Y5" s="1485"/>
      <c r="Z5" s="1485"/>
      <c r="AA5" s="1485" t="s">
        <v>22</v>
      </c>
      <c r="AB5" s="1485"/>
      <c r="AC5" s="1485"/>
      <c r="AD5" s="1485" t="s">
        <v>22</v>
      </c>
      <c r="AE5" s="1485"/>
      <c r="AF5" s="1485"/>
      <c r="AG5" s="1388" t="s">
        <v>22</v>
      </c>
      <c r="AH5" s="1485"/>
      <c r="AI5" s="1485"/>
      <c r="AJ5" s="1388" t="str">
        <f>+IF(V5="","",IF(V5&gt;=[4]PARÁMETROS!$D$5,"CUMPLE","NO CUMPLE"))</f>
        <v>CUMPLE</v>
      </c>
      <c r="AK5" s="150"/>
    </row>
    <row r="6" spans="1:40" s="33" customFormat="1" ht="71.25">
      <c r="A6" s="1612"/>
      <c r="B6" s="1510"/>
      <c r="C6" s="19" t="s">
        <v>153</v>
      </c>
      <c r="D6" s="20">
        <v>335</v>
      </c>
      <c r="E6" s="21" t="str">
        <f>+IFERROR(INDEX([4]CONSOLIDADO!$D$4:$D$108,MATCH('Concur - Exp. General'!C6,[4]CONSOLIDADO!$C$4:$C$108,0)),"")</f>
        <v>NOGALL S.A.</v>
      </c>
      <c r="F6" s="22" t="s">
        <v>1652</v>
      </c>
      <c r="G6" s="23" t="s">
        <v>1653</v>
      </c>
      <c r="H6" s="1388" t="s">
        <v>22</v>
      </c>
      <c r="I6" s="1388" t="s">
        <v>22</v>
      </c>
      <c r="J6" s="24">
        <v>0.75</v>
      </c>
      <c r="K6" s="25">
        <v>38718</v>
      </c>
      <c r="L6" s="25"/>
      <c r="M6" s="26">
        <v>2014</v>
      </c>
      <c r="N6" s="27">
        <f>+IFERROR(INDEX([4]PARÁMETROS!$B$11:$B$37,MATCH(M6,[4]PARÁMETROS!$A$11:$A$37,0)),"")</f>
        <v>616000</v>
      </c>
      <c r="O6" s="28">
        <v>8567960679</v>
      </c>
      <c r="P6" s="29" t="s">
        <v>151</v>
      </c>
      <c r="Q6" s="19" t="s">
        <v>140</v>
      </c>
      <c r="R6" s="30" t="s">
        <v>140</v>
      </c>
      <c r="S6" s="31">
        <v>1</v>
      </c>
      <c r="T6" s="27">
        <f t="shared" si="3"/>
        <v>8567960679</v>
      </c>
      <c r="U6" s="16">
        <f>+IFERROR(T6/N6,"")</f>
        <v>13909.027076298702</v>
      </c>
      <c r="V6" s="16">
        <f>IFERROR(U6*J6,"")</f>
        <v>10431.770307224026</v>
      </c>
      <c r="W6" s="32" t="s">
        <v>152</v>
      </c>
      <c r="X6" s="1485"/>
      <c r="Y6" s="1485"/>
      <c r="Z6" s="1485"/>
      <c r="AA6" s="1485"/>
      <c r="AB6" s="1485"/>
      <c r="AC6" s="1485"/>
      <c r="AD6" s="1485"/>
      <c r="AE6" s="1485"/>
      <c r="AF6" s="1485"/>
      <c r="AG6" s="1388"/>
      <c r="AH6" s="1485"/>
      <c r="AI6" s="1485"/>
      <c r="AJ6" s="1388" t="str">
        <f>+IF(V6="","",IF(V6&gt;=[4]PARÁMETROS!$D$5,"CUMPLE","NO CUMPLE"))</f>
        <v>CUMPLE</v>
      </c>
      <c r="AK6" s="150"/>
    </row>
    <row r="7" spans="1:40" s="168" customFormat="1" ht="72" thickBot="1">
      <c r="A7" s="1612"/>
      <c r="B7" s="1511"/>
      <c r="C7" s="151" t="s">
        <v>153</v>
      </c>
      <c r="D7" s="152">
        <v>340</v>
      </c>
      <c r="E7" s="153" t="str">
        <f>+IFERROR(INDEX([4]CONSOLIDADO!$D$4:$D$108,MATCH('Concur - Exp. General'!C7,[4]CONSOLIDADO!$C$4:$C$108,0)),"")</f>
        <v>NOGALL S.A.</v>
      </c>
      <c r="F7" s="154" t="s">
        <v>1277</v>
      </c>
      <c r="G7" s="155" t="s">
        <v>1654</v>
      </c>
      <c r="H7" s="1419" t="s">
        <v>22</v>
      </c>
      <c r="I7" s="1419" t="s">
        <v>22</v>
      </c>
      <c r="J7" s="156">
        <v>1</v>
      </c>
      <c r="K7" s="157">
        <v>41379</v>
      </c>
      <c r="L7" s="157">
        <v>42232</v>
      </c>
      <c r="M7" s="158">
        <f t="shared" si="0"/>
        <v>2015</v>
      </c>
      <c r="N7" s="159">
        <f>+IFERROR(INDEX([4]PARÁMETROS!$B$11:$B$37,MATCH(M7,[4]PARÁMETROS!$A$11:$A$37,0)),"")</f>
        <v>644350</v>
      </c>
      <c r="O7" s="160"/>
      <c r="P7" s="161" t="s">
        <v>151</v>
      </c>
      <c r="Q7" s="151" t="s">
        <v>140</v>
      </c>
      <c r="R7" s="162" t="s">
        <v>140</v>
      </c>
      <c r="S7" s="163"/>
      <c r="T7" s="159"/>
      <c r="U7" s="164"/>
      <c r="V7" s="165"/>
      <c r="W7" s="166"/>
      <c r="X7" s="1606"/>
      <c r="Y7" s="1606"/>
      <c r="Z7" s="1606"/>
      <c r="AA7" s="1606"/>
      <c r="AB7" s="1606"/>
      <c r="AC7" s="1606"/>
      <c r="AD7" s="1606"/>
      <c r="AE7" s="1606"/>
      <c r="AF7" s="1606"/>
      <c r="AG7" s="1419"/>
      <c r="AH7" s="1486"/>
      <c r="AI7" s="1486"/>
      <c r="AJ7" s="1419" t="str">
        <f>+IF(V7="","",IF(V7&gt;=[4]PARÁMETROS!$D$5,"CUMPLE","NO CUMPLE"))</f>
        <v/>
      </c>
      <c r="AK7" s="167" t="s">
        <v>1655</v>
      </c>
    </row>
    <row r="8" spans="1:40" s="148" customFormat="1" ht="99.75">
      <c r="A8" s="1612"/>
      <c r="B8" s="1509" t="s">
        <v>1656</v>
      </c>
      <c r="C8" s="81" t="s">
        <v>159</v>
      </c>
      <c r="D8" s="169">
        <v>125</v>
      </c>
      <c r="E8" s="83" t="str">
        <f>+IFERROR(INDEX([4]CONSOLIDADO!$D$4:$D$108,MATCH('Concur - Exp. General'!C8,[4]CONSOLIDADO!$C$4:$C$108,0)),"")</f>
        <v xml:space="preserve">AFA CONSULTORES Y CONSTRUCTORES S.A  E.S.P. </v>
      </c>
      <c r="F8" s="84" t="s">
        <v>1657</v>
      </c>
      <c r="G8" s="85" t="s">
        <v>1658</v>
      </c>
      <c r="H8" s="1393" t="s">
        <v>22</v>
      </c>
      <c r="I8" s="1393" t="s">
        <v>22</v>
      </c>
      <c r="J8" s="86">
        <v>0.45</v>
      </c>
      <c r="K8" s="87">
        <v>34338</v>
      </c>
      <c r="L8" s="87">
        <v>36305</v>
      </c>
      <c r="M8" s="88">
        <f t="shared" si="0"/>
        <v>1999</v>
      </c>
      <c r="N8" s="89">
        <f>+IFERROR(INDEX([4]PARÁMETROS!$B$11:$B$37,MATCH(M8,[4]PARÁMETROS!$A$11:$A$37,0)),"")</f>
        <v>236460</v>
      </c>
      <c r="O8" s="90">
        <v>4491569047</v>
      </c>
      <c r="P8" s="91" t="s">
        <v>151</v>
      </c>
      <c r="Q8" s="81" t="s">
        <v>140</v>
      </c>
      <c r="R8" s="92" t="s">
        <v>140</v>
      </c>
      <c r="S8" s="93">
        <v>1</v>
      </c>
      <c r="T8" s="89">
        <f t="shared" si="3"/>
        <v>4491569047</v>
      </c>
      <c r="U8" s="94">
        <f t="shared" si="1"/>
        <v>18995.04798697454</v>
      </c>
      <c r="V8" s="94">
        <f t="shared" si="2"/>
        <v>8547.7715941385432</v>
      </c>
      <c r="W8" s="94">
        <v>10</v>
      </c>
      <c r="X8" s="1484"/>
      <c r="Y8" s="1484"/>
      <c r="Z8" s="1484"/>
      <c r="AA8" s="1484" t="s">
        <v>22</v>
      </c>
      <c r="AB8" s="1484"/>
      <c r="AC8" s="1484"/>
      <c r="AD8" s="1484" t="s">
        <v>22</v>
      </c>
      <c r="AE8" s="1484"/>
      <c r="AF8" s="1484"/>
      <c r="AG8" s="1393" t="s">
        <v>22</v>
      </c>
      <c r="AH8" s="1484" t="str">
        <f>IF(V8="","",IF(SUM(V8:V10)&gt;=[4]PARÁMETROS!$H$5,"CUMPLE","NO CUMPLE"))</f>
        <v>CUMPLE</v>
      </c>
      <c r="AI8" s="1484" t="str">
        <f>IF(V8="","",IF((V8+V9+V10)&gt;=[4]PARÁMETROS!$F$5,"CUMPLE","NO CUMPLE"))</f>
        <v>CUMPLE</v>
      </c>
      <c r="AJ8" s="1393" t="str">
        <f>+IF(V8="","",IF(V8&gt;=[4]PARÁMETROS!$D$5,"CUMPLE","NO CUMPLE"))</f>
        <v>CUMPLE</v>
      </c>
      <c r="AK8" s="84"/>
    </row>
    <row r="9" spans="1:40" s="33" customFormat="1" ht="63">
      <c r="A9" s="1612"/>
      <c r="B9" s="1510"/>
      <c r="C9" s="19" t="s">
        <v>159</v>
      </c>
      <c r="D9" s="170">
        <v>128</v>
      </c>
      <c r="E9" s="21" t="str">
        <f>+IFERROR(INDEX([4]CONSOLIDADO!$D$4:$D$108,MATCH('Concur - Exp. General'!C9,[4]CONSOLIDADO!$C$4:$C$108,0)),"")</f>
        <v xml:space="preserve">AFA CONSULTORES Y CONSTRUCTORES S.A  E.S.P. </v>
      </c>
      <c r="F9" s="22" t="s">
        <v>1659</v>
      </c>
      <c r="G9" s="23" t="s">
        <v>1660</v>
      </c>
      <c r="H9" s="1388" t="s">
        <v>22</v>
      </c>
      <c r="I9" s="1388" t="s">
        <v>22</v>
      </c>
      <c r="J9" s="24">
        <v>1</v>
      </c>
      <c r="K9" s="25">
        <v>39142</v>
      </c>
      <c r="L9" s="25">
        <v>40920</v>
      </c>
      <c r="M9" s="26">
        <f t="shared" si="0"/>
        <v>2012</v>
      </c>
      <c r="N9" s="27">
        <f>+IFERROR(INDEX([4]PARÁMETROS!$B$11:$B$37,MATCH(M9,[4]PARÁMETROS!$A$11:$A$37,0)),"")</f>
        <v>566700</v>
      </c>
      <c r="O9" s="28">
        <v>3161732843</v>
      </c>
      <c r="P9" s="29" t="s">
        <v>151</v>
      </c>
      <c r="Q9" s="19" t="s">
        <v>140</v>
      </c>
      <c r="R9" s="30" t="s">
        <v>140</v>
      </c>
      <c r="S9" s="31">
        <v>1</v>
      </c>
      <c r="T9" s="27">
        <f t="shared" si="3"/>
        <v>3161732843</v>
      </c>
      <c r="U9" s="16">
        <f t="shared" si="1"/>
        <v>5579.2003582142224</v>
      </c>
      <c r="V9" s="16">
        <f t="shared" si="2"/>
        <v>5579.2003582142224</v>
      </c>
      <c r="W9" s="16">
        <v>5</v>
      </c>
      <c r="X9" s="1485" t="s">
        <v>129</v>
      </c>
      <c r="Y9" s="1485"/>
      <c r="Z9" s="1485"/>
      <c r="AA9" s="1485" t="s">
        <v>129</v>
      </c>
      <c r="AB9" s="1485"/>
      <c r="AC9" s="1485"/>
      <c r="AD9" s="1485" t="s">
        <v>22</v>
      </c>
      <c r="AE9" s="1485"/>
      <c r="AF9" s="1485"/>
      <c r="AG9" s="1388" t="s">
        <v>22</v>
      </c>
      <c r="AH9" s="1485"/>
      <c r="AI9" s="1485"/>
      <c r="AJ9" s="1388" t="str">
        <f>+IF(V9="","",IF(V9&gt;=[4]PARÁMETROS!$D$5,"CUMPLE","NO CUMPLE"))</f>
        <v>CUMPLE</v>
      </c>
      <c r="AK9" s="22"/>
    </row>
    <row r="10" spans="1:40" s="33" customFormat="1" ht="256.5">
      <c r="A10" s="1612"/>
      <c r="B10" s="1510"/>
      <c r="C10" s="19" t="s">
        <v>159</v>
      </c>
      <c r="D10" s="170">
        <v>141</v>
      </c>
      <c r="E10" s="21" t="str">
        <f>+IFERROR(INDEX([4]CONSOLIDADO!$D$4:$D$108,MATCH('Concur - Exp. General'!C10,[4]CONSOLIDADO!$C$4:$C$108,0)),"")</f>
        <v xml:space="preserve">AFA CONSULTORES Y CONSTRUCTORES S.A  E.S.P. </v>
      </c>
      <c r="F10" s="22" t="s">
        <v>1661</v>
      </c>
      <c r="G10" s="23" t="s">
        <v>1662</v>
      </c>
      <c r="H10" s="1388" t="s">
        <v>22</v>
      </c>
      <c r="I10" s="1388" t="s">
        <v>22</v>
      </c>
      <c r="J10" s="24">
        <v>0.5</v>
      </c>
      <c r="K10" s="25">
        <v>39125</v>
      </c>
      <c r="L10" s="25">
        <v>42012</v>
      </c>
      <c r="M10" s="26">
        <v>2015</v>
      </c>
      <c r="N10" s="27">
        <f>+IFERROR(INDEX([4]PARÁMETROS!$B$11:$B$37,MATCH(M10,[4]PARÁMETROS!$A$11:$A$37,0)),"")</f>
        <v>644350</v>
      </c>
      <c r="O10" s="28">
        <v>15319357761</v>
      </c>
      <c r="P10" s="29" t="s">
        <v>151</v>
      </c>
      <c r="Q10" s="19" t="s">
        <v>140</v>
      </c>
      <c r="R10" s="30" t="s">
        <v>140</v>
      </c>
      <c r="S10" s="31">
        <v>1</v>
      </c>
      <c r="T10" s="27">
        <f t="shared" si="3"/>
        <v>15319357761</v>
      </c>
      <c r="U10" s="16">
        <f t="shared" si="1"/>
        <v>23774.901468146192</v>
      </c>
      <c r="V10" s="16">
        <f t="shared" si="2"/>
        <v>11887.450734073096</v>
      </c>
      <c r="W10" s="16" t="s">
        <v>152</v>
      </c>
      <c r="X10" s="1485"/>
      <c r="Y10" s="1485"/>
      <c r="Z10" s="1485"/>
      <c r="AA10" s="1485"/>
      <c r="AB10" s="1485"/>
      <c r="AC10" s="1485"/>
      <c r="AD10" s="1485"/>
      <c r="AE10" s="1485"/>
      <c r="AF10" s="1485"/>
      <c r="AG10" s="1388"/>
      <c r="AH10" s="1485"/>
      <c r="AI10" s="1485"/>
      <c r="AJ10" s="1388" t="str">
        <f>+IF(V10="","",IF(V10&gt;=[4]PARÁMETROS!$D$5,"CUMPLE","NO CUMPLE"))</f>
        <v>CUMPLE</v>
      </c>
      <c r="AK10" s="22"/>
    </row>
    <row r="11" spans="1:40" s="33" customFormat="1" ht="114">
      <c r="A11" s="1612"/>
      <c r="B11" s="1510"/>
      <c r="C11" s="19" t="s">
        <v>166</v>
      </c>
      <c r="D11" s="170">
        <v>167</v>
      </c>
      <c r="E11" s="21" t="str">
        <f>+IFERROR(INDEX([4]CONSOLIDADO!$D$4:$D$108,MATCH('Concur - Exp. General'!C11,[4]CONSOLIDADO!$C$4:$C$108,0)),"")</f>
        <v xml:space="preserve">INCGROUP S.A.S </v>
      </c>
      <c r="F11" s="22" t="s">
        <v>207</v>
      </c>
      <c r="G11" s="23" t="s">
        <v>1663</v>
      </c>
      <c r="H11" s="1388" t="s">
        <v>22</v>
      </c>
      <c r="I11" s="1388" t="s">
        <v>22</v>
      </c>
      <c r="J11" s="24">
        <v>0.65</v>
      </c>
      <c r="K11" s="25">
        <v>39615</v>
      </c>
      <c r="L11" s="25">
        <v>41152</v>
      </c>
      <c r="M11" s="26">
        <f t="shared" si="0"/>
        <v>2012</v>
      </c>
      <c r="N11" s="27">
        <f>+IFERROR(INDEX([4]PARÁMETROS!$B$11:$B$37,MATCH(M11,[4]PARÁMETROS!$A$11:$A$37,0)),"")</f>
        <v>566700</v>
      </c>
      <c r="O11" s="28">
        <v>19146251489</v>
      </c>
      <c r="P11" s="29" t="s">
        <v>151</v>
      </c>
      <c r="Q11" s="19" t="s">
        <v>140</v>
      </c>
      <c r="R11" s="30" t="s">
        <v>140</v>
      </c>
      <c r="S11" s="31">
        <v>1</v>
      </c>
      <c r="T11" s="27">
        <f t="shared" si="3"/>
        <v>19146251489</v>
      </c>
      <c r="U11" s="16">
        <f t="shared" si="1"/>
        <v>33785.515244397386</v>
      </c>
      <c r="V11" s="16">
        <f t="shared" si="2"/>
        <v>21960.584908858302</v>
      </c>
      <c r="W11" s="16" t="s">
        <v>152</v>
      </c>
      <c r="X11" s="1485"/>
      <c r="Y11" s="1485"/>
      <c r="Z11" s="1485"/>
      <c r="AA11" s="1485"/>
      <c r="AB11" s="1485"/>
      <c r="AC11" s="1485"/>
      <c r="AD11" s="1485"/>
      <c r="AE11" s="1485"/>
      <c r="AF11" s="1485"/>
      <c r="AG11" s="1388"/>
      <c r="AH11" s="1485"/>
      <c r="AI11" s="1485"/>
      <c r="AJ11" s="1388" t="str">
        <f>+IF(V11="","",IF(V11&gt;=[4]PARÁMETROS!$D$5,"CUMPLE","NO CUMPLE"))</f>
        <v>CUMPLE</v>
      </c>
      <c r="AK11" s="171"/>
    </row>
    <row r="12" spans="1:40" s="168" customFormat="1" ht="72" thickBot="1">
      <c r="A12" s="1612"/>
      <c r="B12" s="1511"/>
      <c r="C12" s="151" t="s">
        <v>166</v>
      </c>
      <c r="D12" s="172">
        <v>196</v>
      </c>
      <c r="E12" s="153" t="str">
        <f>+IFERROR(INDEX([4]CONSOLIDADO!$D$4:$D$108,MATCH('Concur - Exp. General'!C12,[4]CONSOLIDADO!$C$4:$C$108,0)),"")</f>
        <v xml:space="preserve">INCGROUP S.A.S </v>
      </c>
      <c r="F12" s="154" t="s">
        <v>1664</v>
      </c>
      <c r="G12" s="155" t="s">
        <v>1665</v>
      </c>
      <c r="H12" s="1419" t="s">
        <v>22</v>
      </c>
      <c r="I12" s="1419" t="s">
        <v>22</v>
      </c>
      <c r="J12" s="156">
        <v>1</v>
      </c>
      <c r="K12" s="157">
        <v>39434</v>
      </c>
      <c r="L12" s="157">
        <v>40895</v>
      </c>
      <c r="M12" s="158">
        <f t="shared" si="0"/>
        <v>2011</v>
      </c>
      <c r="N12" s="159">
        <f>+IFERROR(INDEX([4]PARÁMETROS!$B$11:$B$37,MATCH(M12,[4]PARÁMETROS!$A$11:$A$37,0)),"")</f>
        <v>535600</v>
      </c>
      <c r="O12" s="160">
        <f>10377.67+498128.39+505492.28+248827.03+249301.3+480386.84+100018.21</f>
        <v>2092531.7200000002</v>
      </c>
      <c r="P12" s="173" t="s">
        <v>142</v>
      </c>
      <c r="Q12" s="151">
        <v>1.30382</v>
      </c>
      <c r="R12" s="162">
        <f>+O12*Q12</f>
        <v>2728284.7071704003</v>
      </c>
      <c r="S12" s="163">
        <v>1935.64</v>
      </c>
      <c r="T12" s="159">
        <f>+R12*S12</f>
        <v>5280977010.5873137</v>
      </c>
      <c r="U12" s="164">
        <f t="shared" si="1"/>
        <v>9859.9272042332213</v>
      </c>
      <c r="V12" s="164">
        <f t="shared" si="2"/>
        <v>9859.9272042332213</v>
      </c>
      <c r="W12" s="16" t="s">
        <v>152</v>
      </c>
      <c r="X12" s="1606"/>
      <c r="Y12" s="1606"/>
      <c r="Z12" s="1606"/>
      <c r="AA12" s="1606"/>
      <c r="AB12" s="1606"/>
      <c r="AC12" s="1606"/>
      <c r="AD12" s="1606"/>
      <c r="AE12" s="1606"/>
      <c r="AF12" s="1606"/>
      <c r="AG12" s="1419"/>
      <c r="AH12" s="1486"/>
      <c r="AI12" s="1486"/>
      <c r="AJ12" s="1419" t="str">
        <f>+IF(V12="","",IF(V12&gt;=[4]PARÁMETROS!$D$5,"CUMPLE","NO CUMPLE"))</f>
        <v>CUMPLE</v>
      </c>
      <c r="AK12" s="174"/>
    </row>
    <row r="13" spans="1:40" s="148" customFormat="1" ht="63">
      <c r="A13" s="1612"/>
      <c r="B13" s="1509" t="s">
        <v>1666</v>
      </c>
      <c r="C13" s="81" t="s">
        <v>171</v>
      </c>
      <c r="D13" s="169">
        <v>258</v>
      </c>
      <c r="E13" s="83" t="str">
        <f>+IFERROR(INDEX([4]CONSOLIDADO!$D$4:$D$108,MATCH('Concur - Exp. General'!C13,[4]CONSOLIDADO!$C$4:$C$108,0)),"")</f>
        <v>INGENIEROS CIVILES ESPECIALISTAS LTDA</v>
      </c>
      <c r="F13" s="84" t="s">
        <v>1667</v>
      </c>
      <c r="G13" s="85" t="s">
        <v>1668</v>
      </c>
      <c r="H13" s="1393" t="s">
        <v>22</v>
      </c>
      <c r="I13" s="1393" t="s">
        <v>22</v>
      </c>
      <c r="J13" s="86">
        <v>0.5</v>
      </c>
      <c r="K13" s="87">
        <v>37288</v>
      </c>
      <c r="L13" s="87">
        <v>42368</v>
      </c>
      <c r="M13" s="88">
        <f t="shared" si="0"/>
        <v>2015</v>
      </c>
      <c r="N13" s="89">
        <f>+IFERROR(INDEX([4]PARÁMETROS!$B$11:$B$37,MATCH(M13,[4]PARÁMETROS!$A$11:$A$37,0)),"")</f>
        <v>644350</v>
      </c>
      <c r="O13" s="90"/>
      <c r="P13" s="91" t="s">
        <v>151</v>
      </c>
      <c r="Q13" s="81" t="s">
        <v>140</v>
      </c>
      <c r="R13" s="92" t="s">
        <v>140</v>
      </c>
      <c r="S13" s="93">
        <v>1</v>
      </c>
      <c r="T13" s="89">
        <f>IF(S13&lt;&gt;"",O13*S13,"")</f>
        <v>0</v>
      </c>
      <c r="U13" s="94">
        <v>16317.48</v>
      </c>
      <c r="V13" s="94">
        <f t="shared" si="2"/>
        <v>8158.74</v>
      </c>
      <c r="W13" s="94" t="s">
        <v>152</v>
      </c>
      <c r="X13" s="1484"/>
      <c r="Y13" s="1484"/>
      <c r="Z13" s="1484"/>
      <c r="AA13" s="1484"/>
      <c r="AB13" s="1484"/>
      <c r="AC13" s="1484"/>
      <c r="AD13" s="1484"/>
      <c r="AE13" s="1484"/>
      <c r="AF13" s="1484"/>
      <c r="AG13" s="1393"/>
      <c r="AH13" s="1484" t="str">
        <f>IF(V13="","",IF(SUM(V13:V17)&gt;=[4]PARÁMETROS!$H$5,"CUMPLE","NO CUMPLE"))</f>
        <v>CUMPLE</v>
      </c>
      <c r="AI13" s="1484" t="str">
        <f>IF(V13="","",IF((V13+V14)&gt;=[4]PARÁMETROS!$F$5,"CUMPLE","NO CUMPLE"))</f>
        <v>CUMPLE</v>
      </c>
      <c r="AJ13" s="1393" t="str">
        <f>+IF(V13="","",IF(V13&gt;=[4]PARÁMETROS!$D$5,"CUMPLE","NO CUMPLE"))</f>
        <v>CUMPLE</v>
      </c>
      <c r="AK13" s="84" t="s">
        <v>1669</v>
      </c>
    </row>
    <row r="14" spans="1:40" s="33" customFormat="1" ht="63">
      <c r="A14" s="1612"/>
      <c r="B14" s="1510"/>
      <c r="C14" s="19" t="s">
        <v>171</v>
      </c>
      <c r="D14" s="170">
        <v>288</v>
      </c>
      <c r="E14" s="21" t="str">
        <f>+IFERROR(INDEX([4]CONSOLIDADO!$D$4:$D$108,MATCH('Concur - Exp. General'!C14,[4]CONSOLIDADO!$C$4:$C$108,0)),"")</f>
        <v>INGENIEROS CIVILES ESPECIALISTAS LTDA</v>
      </c>
      <c r="F14" s="22" t="s">
        <v>1670</v>
      </c>
      <c r="G14" s="22" t="s">
        <v>1671</v>
      </c>
      <c r="H14" s="1388" t="s">
        <v>22</v>
      </c>
      <c r="I14" s="1388" t="s">
        <v>22</v>
      </c>
      <c r="J14" s="34">
        <v>1</v>
      </c>
      <c r="K14" s="25">
        <v>40778</v>
      </c>
      <c r="L14" s="25">
        <v>41225</v>
      </c>
      <c r="M14" s="26">
        <f t="shared" si="0"/>
        <v>2012</v>
      </c>
      <c r="N14" s="27">
        <f>+IFERROR(INDEX([4]PARÁMETROS!$B$11:$B$37,MATCH(M14,[4]PARÁMETROS!$A$11:$A$37,0)),"")</f>
        <v>566700</v>
      </c>
      <c r="O14" s="35">
        <v>1568703830</v>
      </c>
      <c r="P14" s="27" t="s">
        <v>151</v>
      </c>
      <c r="Q14" s="19" t="s">
        <v>140</v>
      </c>
      <c r="R14" s="30" t="s">
        <v>140</v>
      </c>
      <c r="S14" s="31">
        <v>1</v>
      </c>
      <c r="T14" s="27">
        <f t="shared" si="3"/>
        <v>1568703830</v>
      </c>
      <c r="U14" s="16">
        <f t="shared" si="1"/>
        <v>2768.1380448208929</v>
      </c>
      <c r="V14" s="16">
        <f t="shared" si="2"/>
        <v>2768.1380448208929</v>
      </c>
      <c r="W14" s="16">
        <v>3</v>
      </c>
      <c r="X14" s="1485" t="s">
        <v>22</v>
      </c>
      <c r="Y14" s="1485"/>
      <c r="Z14" s="1485"/>
      <c r="AA14" s="1485" t="s">
        <v>22</v>
      </c>
      <c r="AB14" s="1485"/>
      <c r="AC14" s="1485"/>
      <c r="AD14" s="1485" t="s">
        <v>22</v>
      </c>
      <c r="AE14" s="1485"/>
      <c r="AF14" s="1485"/>
      <c r="AG14" s="1388" t="s">
        <v>22</v>
      </c>
      <c r="AH14" s="1485"/>
      <c r="AI14" s="1485"/>
      <c r="AJ14" s="1388" t="str">
        <f>+IF(V14="","",IF(V14&gt;=[4]PARÁMETROS!$D$5,"CUMPLE","NO CUMPLE"))</f>
        <v>CUMPLE</v>
      </c>
      <c r="AK14" s="22"/>
    </row>
    <row r="15" spans="1:40" s="33" customFormat="1" ht="71.25">
      <c r="A15" s="1612"/>
      <c r="B15" s="1510"/>
      <c r="C15" s="19" t="s">
        <v>180</v>
      </c>
      <c r="D15" s="170">
        <v>310</v>
      </c>
      <c r="E15" s="21" t="str">
        <f>+IFERROR(INDEX([4]CONSOLIDADO!$D$4:$D$108,MATCH('Concur - Exp. General'!C15,[4]CONSOLIDADO!$C$4:$C$108,0)),"")</f>
        <v>INGENIERIA DE PROYECTOS S.A.S.</v>
      </c>
      <c r="F15" s="22" t="s">
        <v>1122</v>
      </c>
      <c r="G15" s="23" t="s">
        <v>1672</v>
      </c>
      <c r="H15" s="1388" t="s">
        <v>22</v>
      </c>
      <c r="I15" s="1388" t="s">
        <v>22</v>
      </c>
      <c r="J15" s="24">
        <v>0.5</v>
      </c>
      <c r="K15" s="25">
        <v>38338</v>
      </c>
      <c r="L15" s="25">
        <v>40296</v>
      </c>
      <c r="M15" s="26">
        <f t="shared" si="0"/>
        <v>2010</v>
      </c>
      <c r="N15" s="27">
        <f>+IFERROR(INDEX([4]PARÁMETROS!$B$11:$B$37,MATCH(M15,[4]PARÁMETROS!$A$11:$A$37,0)),"")</f>
        <v>515000</v>
      </c>
      <c r="O15" s="28">
        <v>5611007439</v>
      </c>
      <c r="P15" s="29" t="s">
        <v>151</v>
      </c>
      <c r="Q15" s="19" t="s">
        <v>140</v>
      </c>
      <c r="R15" s="30" t="s">
        <v>140</v>
      </c>
      <c r="S15" s="31">
        <v>1</v>
      </c>
      <c r="T15" s="27">
        <f t="shared" si="3"/>
        <v>5611007439</v>
      </c>
      <c r="U15" s="16">
        <f t="shared" si="1"/>
        <v>10895.160075728156</v>
      </c>
      <c r="V15" s="16">
        <f t="shared" si="2"/>
        <v>5447.5800378640779</v>
      </c>
      <c r="W15" s="16">
        <v>109</v>
      </c>
      <c r="X15" s="1485" t="s">
        <v>22</v>
      </c>
      <c r="Y15" s="1485"/>
      <c r="Z15" s="1485"/>
      <c r="AA15" s="1485" t="s">
        <v>22</v>
      </c>
      <c r="AB15" s="1485"/>
      <c r="AC15" s="1485"/>
      <c r="AD15" s="1485" t="s">
        <v>22</v>
      </c>
      <c r="AE15" s="1485"/>
      <c r="AF15" s="1485"/>
      <c r="AG15" s="1388" t="s">
        <v>22</v>
      </c>
      <c r="AH15" s="1485"/>
      <c r="AI15" s="1485"/>
      <c r="AJ15" s="1388" t="str">
        <f>+IF(V15="","",IF(V15&gt;=[4]PARÁMETROS!$D$5,"CUMPLE","NO CUMPLE"))</f>
        <v>CUMPLE</v>
      </c>
      <c r="AK15" s="22"/>
    </row>
    <row r="16" spans="1:40" s="33" customFormat="1" ht="78.75">
      <c r="A16" s="1612"/>
      <c r="B16" s="1510"/>
      <c r="C16" s="19" t="s">
        <v>180</v>
      </c>
      <c r="D16" s="170">
        <v>338</v>
      </c>
      <c r="E16" s="21" t="str">
        <f>+IFERROR(INDEX([4]CONSOLIDADO!$D$4:$D$108,MATCH('Concur - Exp. General'!C16,[4]CONSOLIDADO!$C$4:$C$108,0)),"")</f>
        <v>INGENIERIA DE PROYECTOS S.A.S.</v>
      </c>
      <c r="F16" s="22" t="s">
        <v>207</v>
      </c>
      <c r="G16" s="37" t="s">
        <v>1673</v>
      </c>
      <c r="H16" s="1388" t="s">
        <v>22</v>
      </c>
      <c r="I16" s="1388" t="s">
        <v>22</v>
      </c>
      <c r="J16" s="24">
        <v>1</v>
      </c>
      <c r="K16" s="25">
        <v>39181</v>
      </c>
      <c r="L16" s="25">
        <v>39950</v>
      </c>
      <c r="M16" s="26">
        <f t="shared" si="0"/>
        <v>2009</v>
      </c>
      <c r="N16" s="27">
        <f>+IFERROR(INDEX([4]PARÁMETROS!$B$11:$B$37,MATCH(M16,[4]PARÁMETROS!$A$11:$A$37,0)),"")</f>
        <v>496900</v>
      </c>
      <c r="O16" s="28">
        <v>1219868640</v>
      </c>
      <c r="P16" s="29" t="s">
        <v>151</v>
      </c>
      <c r="Q16" s="19" t="s">
        <v>140</v>
      </c>
      <c r="R16" s="30" t="s">
        <v>140</v>
      </c>
      <c r="S16" s="31">
        <v>1</v>
      </c>
      <c r="T16" s="27">
        <f t="shared" si="3"/>
        <v>1219868640</v>
      </c>
      <c r="U16" s="16">
        <f t="shared" si="1"/>
        <v>2454.9580197222781</v>
      </c>
      <c r="V16" s="16">
        <f t="shared" si="2"/>
        <v>2454.9580197222781</v>
      </c>
      <c r="W16" s="16">
        <v>180</v>
      </c>
      <c r="X16" s="1485" t="s">
        <v>22</v>
      </c>
      <c r="Y16" s="1485"/>
      <c r="Z16" s="1485"/>
      <c r="AA16" s="1485" t="s">
        <v>22</v>
      </c>
      <c r="AB16" s="1485"/>
      <c r="AC16" s="1485"/>
      <c r="AD16" s="1485" t="s">
        <v>22</v>
      </c>
      <c r="AE16" s="1485"/>
      <c r="AF16" s="1485"/>
      <c r="AG16" s="1388" t="s">
        <v>22</v>
      </c>
      <c r="AH16" s="1485"/>
      <c r="AI16" s="1485"/>
      <c r="AJ16" s="1388" t="str">
        <f>+IF(V16="","",IF(V16&gt;=[4]PARÁMETROS!$D$5,"CUMPLE","NO CUMPLE"))</f>
        <v>CUMPLE</v>
      </c>
      <c r="AK16" s="22"/>
    </row>
    <row r="17" spans="1:37" s="168" customFormat="1" ht="86.25" thickBot="1">
      <c r="A17" s="1612"/>
      <c r="B17" s="1511"/>
      <c r="C17" s="151" t="s">
        <v>180</v>
      </c>
      <c r="D17" s="172">
        <v>376</v>
      </c>
      <c r="E17" s="153" t="str">
        <f>+IFERROR(INDEX([4]CONSOLIDADO!$D$4:$D$108,MATCH('Concur - Exp. General'!C17,[4]CONSOLIDADO!$C$4:$C$108,0)),"")</f>
        <v>INGENIERIA DE PROYECTOS S.A.S.</v>
      </c>
      <c r="F17" s="154" t="s">
        <v>1674</v>
      </c>
      <c r="G17" s="155" t="s">
        <v>1675</v>
      </c>
      <c r="H17" s="1419" t="s">
        <v>22</v>
      </c>
      <c r="I17" s="1419" t="s">
        <v>22</v>
      </c>
      <c r="J17" s="156">
        <v>1</v>
      </c>
      <c r="K17" s="157">
        <v>40609</v>
      </c>
      <c r="L17" s="157">
        <v>41441</v>
      </c>
      <c r="M17" s="158">
        <f t="shared" si="0"/>
        <v>2013</v>
      </c>
      <c r="N17" s="159">
        <f>+IFERROR(INDEX([4]PARÁMETROS!$B$11:$B$37,MATCH(M17,[4]PARÁMETROS!$A$11:$A$37,0)),"")</f>
        <v>589500</v>
      </c>
      <c r="O17" s="160">
        <v>1749995913</v>
      </c>
      <c r="P17" s="161" t="s">
        <v>151</v>
      </c>
      <c r="Q17" s="151" t="s">
        <v>140</v>
      </c>
      <c r="R17" s="162" t="s">
        <v>140</v>
      </c>
      <c r="S17" s="163">
        <v>1</v>
      </c>
      <c r="T17" s="159">
        <f t="shared" si="3"/>
        <v>1749995913</v>
      </c>
      <c r="U17" s="164">
        <f t="shared" si="1"/>
        <v>2968.6105394402034</v>
      </c>
      <c r="V17" s="164">
        <f t="shared" si="2"/>
        <v>2968.6105394402034</v>
      </c>
      <c r="W17" s="164">
        <v>38</v>
      </c>
      <c r="X17" s="1606" t="s">
        <v>22</v>
      </c>
      <c r="Y17" s="1606"/>
      <c r="Z17" s="1606"/>
      <c r="AA17" s="1606" t="s">
        <v>22</v>
      </c>
      <c r="AB17" s="1606"/>
      <c r="AC17" s="1606"/>
      <c r="AD17" s="1606" t="s">
        <v>22</v>
      </c>
      <c r="AE17" s="1606"/>
      <c r="AF17" s="1606"/>
      <c r="AG17" s="1419" t="s">
        <v>22</v>
      </c>
      <c r="AH17" s="1486"/>
      <c r="AI17" s="1486"/>
      <c r="AJ17" s="1419" t="str">
        <f>+IF(V17="","",IF(V17&gt;=[4]PARÁMETROS!$D$5,"CUMPLE","NO CUMPLE"))</f>
        <v>CUMPLE</v>
      </c>
      <c r="AK17" s="154"/>
    </row>
    <row r="18" spans="1:37" s="148" customFormat="1" ht="47.25">
      <c r="A18" s="1612"/>
      <c r="B18" s="1509" t="s">
        <v>1676</v>
      </c>
      <c r="C18" s="81" t="s">
        <v>190</v>
      </c>
      <c r="D18" s="169">
        <v>141</v>
      </c>
      <c r="E18" s="83" t="str">
        <f>+IFERROR(INDEX([4]CONSOLIDADO!$D$4:$D$108,MATCH('Concur - Exp. General'!C18,[4]CONSOLIDADO!$C$4:$C$108,0)),"")</f>
        <v>GOMEZ CAJIAO Y ASOCIADOS S.A.</v>
      </c>
      <c r="F18" s="84" t="s">
        <v>1677</v>
      </c>
      <c r="G18" s="85" t="s">
        <v>1678</v>
      </c>
      <c r="H18" s="1393" t="s">
        <v>22</v>
      </c>
      <c r="I18" s="1393" t="s">
        <v>22</v>
      </c>
      <c r="J18" s="86">
        <v>0.33</v>
      </c>
      <c r="K18" s="87">
        <v>39792</v>
      </c>
      <c r="L18" s="87">
        <v>40977</v>
      </c>
      <c r="M18" s="88">
        <f t="shared" si="0"/>
        <v>2012</v>
      </c>
      <c r="N18" s="89">
        <f>+IFERROR(INDEX([4]PARÁMETROS!$B$11:$B$37,MATCH(M18,[4]PARÁMETROS!$A$11:$A$37,0)),"")</f>
        <v>566700</v>
      </c>
      <c r="O18" s="90">
        <v>4939884563</v>
      </c>
      <c r="P18" s="91" t="s">
        <v>151</v>
      </c>
      <c r="Q18" s="81" t="s">
        <v>140</v>
      </c>
      <c r="R18" s="92" t="s">
        <v>140</v>
      </c>
      <c r="S18" s="93">
        <v>1</v>
      </c>
      <c r="T18" s="89">
        <f t="shared" si="3"/>
        <v>4939884563</v>
      </c>
      <c r="U18" s="94">
        <f t="shared" si="1"/>
        <v>8716.9305858478911</v>
      </c>
      <c r="V18" s="94">
        <f t="shared" si="2"/>
        <v>2876.5870933298042</v>
      </c>
      <c r="W18" s="94">
        <v>170</v>
      </c>
      <c r="X18" s="1484" t="s">
        <v>22</v>
      </c>
      <c r="Y18" s="1484"/>
      <c r="Z18" s="1484"/>
      <c r="AA18" s="1484" t="s">
        <v>22</v>
      </c>
      <c r="AB18" s="1484"/>
      <c r="AC18" s="1484"/>
      <c r="AD18" s="1484" t="s">
        <v>22</v>
      </c>
      <c r="AE18" s="1484"/>
      <c r="AF18" s="1484"/>
      <c r="AG18" s="1393" t="s">
        <v>22</v>
      </c>
      <c r="AH18" s="1484" t="str">
        <f>IF(V18="","",IF(SUM(V18:V23)&gt;=[4]PARÁMETROS!$H$5,"CUMPLE","NO CUMPLE"))</f>
        <v>CUMPLE</v>
      </c>
      <c r="AI18" s="1484" t="str">
        <f>IF(V18="","",IF((V18+V19+V20+V21)&gt;=[4]PARÁMETROS!$F$5,"CUMPLE","NO CUMPLE"))</f>
        <v>CUMPLE</v>
      </c>
      <c r="AJ18" s="1393" t="str">
        <f>+IF(V18="","",IF(V18&gt;=[4]PARÁMETROS!$D$5,"CUMPLE","NO CUMPLE"))</f>
        <v>CUMPLE</v>
      </c>
      <c r="AK18" s="84"/>
    </row>
    <row r="19" spans="1:37" s="33" customFormat="1" ht="47.25">
      <c r="A19" s="1612"/>
      <c r="B19" s="1510"/>
      <c r="C19" s="19" t="s">
        <v>190</v>
      </c>
      <c r="D19" s="170">
        <v>151</v>
      </c>
      <c r="E19" s="21" t="str">
        <f>+IFERROR(INDEX([4]CONSOLIDADO!$D$4:$D$108,MATCH('Concur - Exp. General'!C19,[4]CONSOLIDADO!$C$4:$C$108,0)),"")</f>
        <v>GOMEZ CAJIAO Y ASOCIADOS S.A.</v>
      </c>
      <c r="F19" s="22" t="s">
        <v>1122</v>
      </c>
      <c r="G19" s="23" t="s">
        <v>1679</v>
      </c>
      <c r="H19" s="1388" t="s">
        <v>22</v>
      </c>
      <c r="I19" s="1388" t="s">
        <v>22</v>
      </c>
      <c r="J19" s="24">
        <v>1</v>
      </c>
      <c r="K19" s="25">
        <v>38366</v>
      </c>
      <c r="L19" s="25">
        <v>39071</v>
      </c>
      <c r="M19" s="26">
        <f t="shared" si="0"/>
        <v>2006</v>
      </c>
      <c r="N19" s="27">
        <f>+IFERROR(INDEX([4]PARÁMETROS!$B$11:$B$37,MATCH(M19,[4]PARÁMETROS!$A$11:$A$37,0)),"")</f>
        <v>408000</v>
      </c>
      <c r="O19" s="28">
        <v>1534302721</v>
      </c>
      <c r="P19" s="29" t="s">
        <v>151</v>
      </c>
      <c r="Q19" s="19" t="s">
        <v>140</v>
      </c>
      <c r="R19" s="30" t="s">
        <v>140</v>
      </c>
      <c r="S19" s="31">
        <v>1</v>
      </c>
      <c r="T19" s="27">
        <f t="shared" si="3"/>
        <v>1534302721</v>
      </c>
      <c r="U19" s="16">
        <f t="shared" si="1"/>
        <v>3760.5458848039216</v>
      </c>
      <c r="V19" s="16">
        <f t="shared" si="2"/>
        <v>3760.5458848039216</v>
      </c>
      <c r="W19" s="16">
        <v>10</v>
      </c>
      <c r="X19" s="1485" t="s">
        <v>129</v>
      </c>
      <c r="Y19" s="1485"/>
      <c r="Z19" s="1485"/>
      <c r="AA19" s="1485" t="s">
        <v>129</v>
      </c>
      <c r="AB19" s="1485"/>
      <c r="AC19" s="1485"/>
      <c r="AD19" s="1485" t="s">
        <v>22</v>
      </c>
      <c r="AE19" s="1485"/>
      <c r="AF19" s="1485"/>
      <c r="AG19" s="1388" t="s">
        <v>22</v>
      </c>
      <c r="AH19" s="1485"/>
      <c r="AI19" s="1485"/>
      <c r="AJ19" s="1388" t="str">
        <f>+IF(V19="","",IF(V19&gt;=[4]PARÁMETROS!$D$5,"CUMPLE","NO CUMPLE"))</f>
        <v>CUMPLE</v>
      </c>
      <c r="AK19" s="22"/>
    </row>
    <row r="20" spans="1:37" s="33" customFormat="1" ht="47.25">
      <c r="A20" s="1612"/>
      <c r="B20" s="1510"/>
      <c r="C20" s="19" t="s">
        <v>190</v>
      </c>
      <c r="D20" s="170">
        <v>156</v>
      </c>
      <c r="E20" s="21" t="str">
        <f>+IFERROR(INDEX([4]CONSOLIDADO!$D$4:$D$108,MATCH('Concur - Exp. General'!C20,[4]CONSOLIDADO!$C$4:$C$108,0)),"")</f>
        <v>GOMEZ CAJIAO Y ASOCIADOS S.A.</v>
      </c>
      <c r="F20" s="22" t="s">
        <v>1122</v>
      </c>
      <c r="G20" s="23" t="s">
        <v>1680</v>
      </c>
      <c r="H20" s="1388" t="s">
        <v>22</v>
      </c>
      <c r="I20" s="1388" t="s">
        <v>22</v>
      </c>
      <c r="J20" s="24">
        <v>1</v>
      </c>
      <c r="K20" s="25">
        <v>35409</v>
      </c>
      <c r="L20" s="25">
        <v>35864</v>
      </c>
      <c r="M20" s="26">
        <f t="shared" si="0"/>
        <v>1998</v>
      </c>
      <c r="N20" s="27">
        <f>+IFERROR(INDEX([4]PARÁMETROS!$B$11:$B$37,MATCH(M20,[4]PARÁMETROS!$A$11:$A$37,0)),"")</f>
        <v>203826</v>
      </c>
      <c r="O20" s="28">
        <v>749999988</v>
      </c>
      <c r="P20" s="29" t="s">
        <v>151</v>
      </c>
      <c r="Q20" s="19" t="s">
        <v>140</v>
      </c>
      <c r="R20" s="30" t="s">
        <v>140</v>
      </c>
      <c r="S20" s="31">
        <v>1</v>
      </c>
      <c r="T20" s="27">
        <f t="shared" si="3"/>
        <v>749999988</v>
      </c>
      <c r="U20" s="16">
        <f t="shared" si="1"/>
        <v>3679.6090194577728</v>
      </c>
      <c r="V20" s="16">
        <f t="shared" si="2"/>
        <v>3679.6090194577728</v>
      </c>
      <c r="W20" s="16">
        <v>96</v>
      </c>
      <c r="X20" s="1485" t="s">
        <v>22</v>
      </c>
      <c r="Y20" s="1485"/>
      <c r="Z20" s="1485"/>
      <c r="AA20" s="1485" t="s">
        <v>22</v>
      </c>
      <c r="AB20" s="1485"/>
      <c r="AC20" s="1485"/>
      <c r="AD20" s="1485" t="s">
        <v>22</v>
      </c>
      <c r="AE20" s="1485"/>
      <c r="AF20" s="1485"/>
      <c r="AG20" s="1388" t="s">
        <v>22</v>
      </c>
      <c r="AH20" s="1485"/>
      <c r="AI20" s="1485"/>
      <c r="AJ20" s="1388" t="str">
        <f>+IF(V20="","",IF(V20&gt;=[4]PARÁMETROS!$D$5,"CUMPLE","NO CUMPLE"))</f>
        <v>CUMPLE</v>
      </c>
      <c r="AK20" s="22"/>
    </row>
    <row r="21" spans="1:37" s="33" customFormat="1" ht="99.75">
      <c r="A21" s="1612"/>
      <c r="B21" s="1510"/>
      <c r="C21" s="19" t="s">
        <v>190</v>
      </c>
      <c r="D21" s="170">
        <v>162</v>
      </c>
      <c r="E21" s="21" t="str">
        <f>+IFERROR(INDEX([4]CONSOLIDADO!$D$4:$D$108,MATCH('Concur - Exp. General'!C21,[4]CONSOLIDADO!$C$4:$C$108,0)),"")</f>
        <v>GOMEZ CAJIAO Y ASOCIADOS S.A.</v>
      </c>
      <c r="F21" s="22" t="s">
        <v>207</v>
      </c>
      <c r="G21" s="23" t="s">
        <v>1681</v>
      </c>
      <c r="H21" s="1388" t="s">
        <v>22</v>
      </c>
      <c r="I21" s="1388" t="s">
        <v>22</v>
      </c>
      <c r="J21" s="24">
        <v>0.5</v>
      </c>
      <c r="K21" s="25">
        <v>38034</v>
      </c>
      <c r="L21" s="25">
        <v>40770</v>
      </c>
      <c r="M21" s="26">
        <f t="shared" si="0"/>
        <v>2011</v>
      </c>
      <c r="N21" s="27">
        <f>+IFERROR(INDEX([4]PARÁMETROS!$B$11:$B$37,MATCH(M21,[4]PARÁMETROS!$A$11:$A$37,0)),"")</f>
        <v>535600</v>
      </c>
      <c r="O21" s="28">
        <v>9131630030</v>
      </c>
      <c r="P21" s="29" t="s">
        <v>151</v>
      </c>
      <c r="Q21" s="19" t="s">
        <v>140</v>
      </c>
      <c r="R21" s="30" t="s">
        <v>140</v>
      </c>
      <c r="S21" s="31">
        <v>1</v>
      </c>
      <c r="T21" s="27">
        <f t="shared" si="3"/>
        <v>9131630030</v>
      </c>
      <c r="U21" s="16">
        <f t="shared" si="1"/>
        <v>17049.346583271097</v>
      </c>
      <c r="V21" s="16">
        <f t="shared" si="2"/>
        <v>8524.6732916355486</v>
      </c>
      <c r="W21" s="16">
        <v>21</v>
      </c>
      <c r="X21" s="1485" t="s">
        <v>22</v>
      </c>
      <c r="Y21" s="1485"/>
      <c r="Z21" s="1485"/>
      <c r="AA21" s="1485" t="s">
        <v>22</v>
      </c>
      <c r="AB21" s="1485"/>
      <c r="AC21" s="1485"/>
      <c r="AD21" s="1485" t="s">
        <v>22</v>
      </c>
      <c r="AE21" s="1485"/>
      <c r="AF21" s="1485"/>
      <c r="AG21" s="1388" t="s">
        <v>22</v>
      </c>
      <c r="AH21" s="1485"/>
      <c r="AI21" s="1485"/>
      <c r="AJ21" s="1388" t="str">
        <f>+IF(V21="","",IF(V21&gt;=[4]PARÁMETROS!$D$5,"CUMPLE","NO CUMPLE"))</f>
        <v>CUMPLE</v>
      </c>
      <c r="AK21" s="22"/>
    </row>
    <row r="22" spans="1:37" s="33" customFormat="1" ht="78.75">
      <c r="A22" s="1612"/>
      <c r="B22" s="1510"/>
      <c r="C22" s="19" t="s">
        <v>200</v>
      </c>
      <c r="D22" s="170">
        <v>177</v>
      </c>
      <c r="E22" s="21" t="str">
        <f>+IFERROR(INDEX([4]CONSOLIDADO!$D$4:$D$108,MATCH('Concur - Exp. General'!C22,[4]CONSOLIDADO!$C$4:$C$108,0)),"")</f>
        <v>CONSULTORIA INTOK DE COLOMBIA Y ASOCIADOS S.A.S.</v>
      </c>
      <c r="F22" s="22" t="s">
        <v>1682</v>
      </c>
      <c r="G22" s="23" t="s">
        <v>1683</v>
      </c>
      <c r="H22" s="1388" t="s">
        <v>22</v>
      </c>
      <c r="I22" s="1388" t="s">
        <v>22</v>
      </c>
      <c r="J22" s="24">
        <v>1</v>
      </c>
      <c r="K22" s="25">
        <v>38562</v>
      </c>
      <c r="L22" s="25">
        <v>39521</v>
      </c>
      <c r="M22" s="26">
        <f t="shared" si="0"/>
        <v>2008</v>
      </c>
      <c r="N22" s="27">
        <f>+IFERROR(INDEX([4]PARÁMETROS!$B$11:$B$37,MATCH(M22,[4]PARÁMETROS!$A$11:$A$37,0)),"")</f>
        <v>461500</v>
      </c>
      <c r="O22" s="28">
        <f>441844+1494126.4+841754+51741.8+8763.8</f>
        <v>2838229.9999999995</v>
      </c>
      <c r="P22" s="29" t="s">
        <v>142</v>
      </c>
      <c r="Q22" s="19">
        <v>1.5567</v>
      </c>
      <c r="R22" s="30">
        <f>+O22*Q22</f>
        <v>4418272.6409999989</v>
      </c>
      <c r="S22" s="31">
        <v>1856.01</v>
      </c>
      <c r="T22" s="27">
        <f>+S22*R22</f>
        <v>8200358204.4224081</v>
      </c>
      <c r="U22" s="16">
        <f t="shared" si="1"/>
        <v>17768.923519875207</v>
      </c>
      <c r="V22" s="16">
        <f t="shared" si="2"/>
        <v>17768.923519875207</v>
      </c>
      <c r="W22" s="16">
        <v>28</v>
      </c>
      <c r="X22" s="1485" t="s">
        <v>22</v>
      </c>
      <c r="Y22" s="1485"/>
      <c r="Z22" s="1485"/>
      <c r="AA22" s="1485" t="s">
        <v>22</v>
      </c>
      <c r="AB22" s="1485"/>
      <c r="AC22" s="1485"/>
      <c r="AD22" s="1485" t="s">
        <v>129</v>
      </c>
      <c r="AE22" s="1485"/>
      <c r="AF22" s="1485"/>
      <c r="AG22" s="1388" t="s">
        <v>22</v>
      </c>
      <c r="AH22" s="1485"/>
      <c r="AI22" s="1485"/>
      <c r="AJ22" s="1388" t="str">
        <f>+IF(V22="","",IF(V22&gt;=[4]PARÁMETROS!$D$5,"CUMPLE","NO CUMPLE"))</f>
        <v>CUMPLE</v>
      </c>
      <c r="AK22" s="22"/>
    </row>
    <row r="23" spans="1:37" s="168" customFormat="1" ht="79.5" thickBot="1">
      <c r="A23" s="1612"/>
      <c r="B23" s="1511"/>
      <c r="C23" s="151" t="s">
        <v>200</v>
      </c>
      <c r="D23" s="172">
        <v>186</v>
      </c>
      <c r="E23" s="153" t="str">
        <f>+IFERROR(INDEX([4]CONSOLIDADO!$D$4:$D$108,MATCH('Concur - Exp. General'!C23,[4]CONSOLIDADO!$C$4:$C$108,0)),"")</f>
        <v>CONSULTORIA INTOK DE COLOMBIA Y ASOCIADOS S.A.S.</v>
      </c>
      <c r="F23" s="154" t="s">
        <v>1684</v>
      </c>
      <c r="G23" s="155" t="s">
        <v>1685</v>
      </c>
      <c r="H23" s="1419" t="s">
        <v>22</v>
      </c>
      <c r="I23" s="1419" t="s">
        <v>22</v>
      </c>
      <c r="J23" s="156">
        <v>1</v>
      </c>
      <c r="K23" s="157">
        <v>38701</v>
      </c>
      <c r="L23" s="157">
        <v>40085</v>
      </c>
      <c r="M23" s="158">
        <f t="shared" si="0"/>
        <v>2009</v>
      </c>
      <c r="N23" s="159">
        <f>+IFERROR(INDEX([4]PARÁMETROS!$B$11:$B$37,MATCH(M23,[4]PARÁMETROS!$A$11:$A$37,0)),"")</f>
        <v>496900</v>
      </c>
      <c r="O23" s="160">
        <v>1020058.28</v>
      </c>
      <c r="P23" s="161" t="s">
        <v>142</v>
      </c>
      <c r="Q23" s="151">
        <v>1.46326</v>
      </c>
      <c r="R23" s="162">
        <f>+O23*Q23</f>
        <v>1492610.4787928001</v>
      </c>
      <c r="S23" s="163">
        <v>1921.64</v>
      </c>
      <c r="T23" s="159">
        <f>+S23*R23</f>
        <v>2868260000.4673967</v>
      </c>
      <c r="U23" s="164">
        <f t="shared" si="1"/>
        <v>5772.3083124721206</v>
      </c>
      <c r="V23" s="164">
        <f t="shared" si="2"/>
        <v>5772.3083124721206</v>
      </c>
      <c r="W23" s="164">
        <v>60</v>
      </c>
      <c r="X23" s="1606" t="s">
        <v>22</v>
      </c>
      <c r="Y23" s="1606"/>
      <c r="Z23" s="1606"/>
      <c r="AA23" s="1606" t="s">
        <v>22</v>
      </c>
      <c r="AB23" s="1606"/>
      <c r="AC23" s="1606"/>
      <c r="AD23" s="1606" t="s">
        <v>22</v>
      </c>
      <c r="AE23" s="1606"/>
      <c r="AF23" s="1606"/>
      <c r="AG23" s="1419" t="s">
        <v>22</v>
      </c>
      <c r="AH23" s="1486"/>
      <c r="AI23" s="1486"/>
      <c r="AJ23" s="1419" t="str">
        <f>+IF(V23="","",IF(V23&gt;=[4]PARÁMETROS!$D$5,"CUMPLE","NO CUMPLE"))</f>
        <v>CUMPLE</v>
      </c>
      <c r="AK23" s="154"/>
    </row>
    <row r="24" spans="1:37" s="148" customFormat="1" ht="47.25">
      <c r="A24" s="1612"/>
      <c r="B24" s="1509" t="s">
        <v>1686</v>
      </c>
      <c r="C24" s="81" t="s">
        <v>212</v>
      </c>
      <c r="D24" s="169">
        <v>238</v>
      </c>
      <c r="E24" s="83" t="str">
        <f>+IFERROR(INDEX([4]CONSOLIDADO!$D$4:$D$108,MATCH('Concur - Exp. General'!C24,[4]CONSOLIDADO!$C$4:$C$108,0)),"")</f>
        <v>GEOTECNIA Y CIMIENTOS INGEOCIM S.A.S.</v>
      </c>
      <c r="F24" s="84" t="s">
        <v>930</v>
      </c>
      <c r="G24" s="85" t="s">
        <v>1687</v>
      </c>
      <c r="H24" s="1393" t="s">
        <v>22</v>
      </c>
      <c r="I24" s="1393" t="s">
        <v>22</v>
      </c>
      <c r="J24" s="86">
        <v>0.9</v>
      </c>
      <c r="K24" s="87">
        <v>35730</v>
      </c>
      <c r="L24" s="87">
        <v>36459</v>
      </c>
      <c r="M24" s="88">
        <f t="shared" si="0"/>
        <v>1999</v>
      </c>
      <c r="N24" s="89">
        <f>+IFERROR(INDEX([4]PARÁMETROS!$B$11:$B$37,MATCH(M24,[4]PARÁMETROS!$A$11:$A$37,0)),"")</f>
        <v>236460</v>
      </c>
      <c r="O24" s="90">
        <f>1343799332.5</f>
        <v>1343799332.5</v>
      </c>
      <c r="P24" s="91" t="s">
        <v>151</v>
      </c>
      <c r="Q24" s="81" t="s">
        <v>140</v>
      </c>
      <c r="R24" s="92" t="s">
        <v>140</v>
      </c>
      <c r="S24" s="93">
        <v>1</v>
      </c>
      <c r="T24" s="89">
        <f t="shared" si="3"/>
        <v>1343799332.5</v>
      </c>
      <c r="U24" s="94">
        <f t="shared" si="1"/>
        <v>5682.9879577941301</v>
      </c>
      <c r="V24" s="94">
        <f t="shared" si="2"/>
        <v>5114.6891620147171</v>
      </c>
      <c r="W24" s="94">
        <v>51</v>
      </c>
      <c r="X24" s="1484" t="s">
        <v>22</v>
      </c>
      <c r="Y24" s="1484"/>
      <c r="Z24" s="1484"/>
      <c r="AA24" s="1484" t="s">
        <v>22</v>
      </c>
      <c r="AB24" s="1484"/>
      <c r="AC24" s="1484"/>
      <c r="AD24" s="1484" t="s">
        <v>22</v>
      </c>
      <c r="AE24" s="1484"/>
      <c r="AF24" s="1484"/>
      <c r="AG24" s="1393" t="s">
        <v>22</v>
      </c>
      <c r="AH24" s="1484" t="str">
        <f>IF(V24="","",IF(SUM(V24:V28)&gt;=[4]PARÁMETROS!$H$5,"CUMPLE","NO CUMPLE"))</f>
        <v>CUMPLE</v>
      </c>
      <c r="AI24" s="1484" t="str">
        <f>IF(V24="","",IF((V24+V25+V26)&gt;=[4]PARÁMETROS!$F$5,"CUMPLE","NO CUMPLE"))</f>
        <v>CUMPLE</v>
      </c>
      <c r="AJ24" s="1393" t="str">
        <f>+IF(V24="","",IF(V24&gt;=[4]PARÁMETROS!$D$5,"CUMPLE","NO CUMPLE"))</f>
        <v>CUMPLE</v>
      </c>
      <c r="AK24" s="84"/>
    </row>
    <row r="25" spans="1:37" s="33" customFormat="1" ht="185.25">
      <c r="A25" s="1612"/>
      <c r="B25" s="1510"/>
      <c r="C25" s="19" t="s">
        <v>212</v>
      </c>
      <c r="D25" s="170">
        <v>254</v>
      </c>
      <c r="E25" s="21" t="str">
        <f>+IFERROR(INDEX([4]CONSOLIDADO!$D$4:$D$108,MATCH('Concur - Exp. General'!C25,[4]CONSOLIDADO!$C$4:$C$108,0)),"")</f>
        <v>GEOTECNIA Y CIMIENTOS INGEOCIM S.A.S.</v>
      </c>
      <c r="F25" s="22" t="s">
        <v>442</v>
      </c>
      <c r="G25" s="23" t="s">
        <v>1688</v>
      </c>
      <c r="H25" s="1388" t="s">
        <v>22</v>
      </c>
      <c r="I25" s="1388" t="s">
        <v>22</v>
      </c>
      <c r="J25" s="24">
        <v>0.5</v>
      </c>
      <c r="K25" s="25">
        <v>38772</v>
      </c>
      <c r="L25" s="25">
        <v>40656</v>
      </c>
      <c r="M25" s="26">
        <f t="shared" si="0"/>
        <v>2011</v>
      </c>
      <c r="N25" s="27">
        <f>+IFERROR(INDEX([4]PARÁMETROS!$B$11:$B$37,MATCH(M25,[4]PARÁMETROS!$A$11:$A$37,0)),"")</f>
        <v>535600</v>
      </c>
      <c r="O25" s="28">
        <f>4960831409</f>
        <v>4960831409</v>
      </c>
      <c r="P25" s="29" t="s">
        <v>151</v>
      </c>
      <c r="Q25" s="19" t="s">
        <v>140</v>
      </c>
      <c r="R25" s="30" t="s">
        <v>140</v>
      </c>
      <c r="S25" s="31">
        <v>1</v>
      </c>
      <c r="T25" s="27">
        <f t="shared" si="3"/>
        <v>4960831409</v>
      </c>
      <c r="U25" s="16">
        <f t="shared" si="1"/>
        <v>9262.1945649738609</v>
      </c>
      <c r="V25" s="16">
        <f t="shared" si="2"/>
        <v>4631.0972824869305</v>
      </c>
      <c r="W25" s="16">
        <v>26</v>
      </c>
      <c r="X25" s="1485" t="s">
        <v>22</v>
      </c>
      <c r="Y25" s="1485"/>
      <c r="Z25" s="1485"/>
      <c r="AA25" s="1485" t="s">
        <v>22</v>
      </c>
      <c r="AB25" s="1485"/>
      <c r="AC25" s="1485"/>
      <c r="AD25" s="1485" t="s">
        <v>22</v>
      </c>
      <c r="AE25" s="1485"/>
      <c r="AF25" s="1485"/>
      <c r="AG25" s="1388" t="s">
        <v>22</v>
      </c>
      <c r="AH25" s="1485"/>
      <c r="AI25" s="1485"/>
      <c r="AJ25" s="1388" t="str">
        <f>+IF(V25="","",IF(V25&gt;=[4]PARÁMETROS!$D$5,"CUMPLE","NO CUMPLE"))</f>
        <v>CUMPLE</v>
      </c>
      <c r="AK25" s="22"/>
    </row>
    <row r="26" spans="1:37" s="33" customFormat="1" ht="71.25">
      <c r="A26" s="1612"/>
      <c r="B26" s="1510"/>
      <c r="C26" s="19" t="s">
        <v>212</v>
      </c>
      <c r="D26" s="170">
        <v>260</v>
      </c>
      <c r="E26" s="21" t="str">
        <f>+IFERROR(INDEX([4]CONSOLIDADO!$D$4:$D$108,MATCH('Concur - Exp. General'!C26,[4]CONSOLIDADO!$C$4:$C$108,0)),"")</f>
        <v>GEOTECNIA Y CIMIENTOS INGEOCIM S.A.S.</v>
      </c>
      <c r="F26" s="37" t="s">
        <v>1689</v>
      </c>
      <c r="G26" s="23" t="s">
        <v>1690</v>
      </c>
      <c r="H26" s="1388" t="s">
        <v>22</v>
      </c>
      <c r="I26" s="1388" t="s">
        <v>22</v>
      </c>
      <c r="J26" s="38">
        <v>0.6</v>
      </c>
      <c r="K26" s="25">
        <v>41568</v>
      </c>
      <c r="L26" s="25">
        <v>42312</v>
      </c>
      <c r="M26" s="26">
        <f t="shared" si="0"/>
        <v>2015</v>
      </c>
      <c r="N26" s="27">
        <f>+IFERROR(INDEX([4]PARÁMETROS!$B$11:$B$37,MATCH(M26,[4]PARÁMETROS!$A$11:$A$37,0)),"")</f>
        <v>644350</v>
      </c>
      <c r="O26" s="28">
        <f>2992430016</f>
        <v>2992430016</v>
      </c>
      <c r="P26" s="29" t="s">
        <v>151</v>
      </c>
      <c r="Q26" s="19" t="s">
        <v>140</v>
      </c>
      <c r="R26" s="30" t="s">
        <v>140</v>
      </c>
      <c r="S26" s="31">
        <v>1</v>
      </c>
      <c r="T26" s="27">
        <f t="shared" si="3"/>
        <v>2992430016</v>
      </c>
      <c r="U26" s="16">
        <f t="shared" si="1"/>
        <v>4644.1064887095527</v>
      </c>
      <c r="V26" s="16">
        <f t="shared" si="2"/>
        <v>2786.4638932257317</v>
      </c>
      <c r="W26" s="16" t="s">
        <v>152</v>
      </c>
      <c r="X26" s="1485"/>
      <c r="Y26" s="1485"/>
      <c r="Z26" s="1485"/>
      <c r="AA26" s="1485"/>
      <c r="AB26" s="1485"/>
      <c r="AC26" s="1485"/>
      <c r="AD26" s="1485"/>
      <c r="AE26" s="1485"/>
      <c r="AF26" s="1485"/>
      <c r="AG26" s="1388"/>
      <c r="AH26" s="1485"/>
      <c r="AI26" s="1485"/>
      <c r="AJ26" s="1388" t="str">
        <f>+IF(V26="","",IF(V26&gt;=[4]PARÁMETROS!$D$5,"CUMPLE","NO CUMPLE"))</f>
        <v>CUMPLE</v>
      </c>
      <c r="AK26" s="175"/>
    </row>
    <row r="27" spans="1:37" s="43" customFormat="1" ht="71.25">
      <c r="A27" s="1612"/>
      <c r="B27" s="1510"/>
      <c r="C27" s="19" t="s">
        <v>205</v>
      </c>
      <c r="D27" s="170">
        <v>265</v>
      </c>
      <c r="E27" s="21" t="str">
        <f>+IFERROR(INDEX([4]CONSOLIDADO!$D$4:$D$108,MATCH('Concur - Exp. General'!C27,[4]CONSOLIDADO!$C$4:$C$108,0)),"")</f>
        <v>ICEACSA CONSULTORES SUCURSAL COLOMBIA</v>
      </c>
      <c r="F27" s="22" t="s">
        <v>924</v>
      </c>
      <c r="G27" s="23" t="s">
        <v>1691</v>
      </c>
      <c r="H27" s="1388" t="s">
        <v>22</v>
      </c>
      <c r="I27" s="1388" t="s">
        <v>22</v>
      </c>
      <c r="J27" s="39">
        <v>1</v>
      </c>
      <c r="K27" s="40">
        <v>37839</v>
      </c>
      <c r="L27" s="41">
        <v>38869</v>
      </c>
      <c r="M27" s="26">
        <f t="shared" si="0"/>
        <v>2006</v>
      </c>
      <c r="N27" s="27">
        <f>+IFERROR(INDEX([4]PARÁMETROS!$B$11:$B$37,MATCH(M27,[4]PARÁMETROS!$A$11:$A$37,0)),"")</f>
        <v>408000</v>
      </c>
      <c r="O27" s="29">
        <v>1115922.3700000001</v>
      </c>
      <c r="P27" s="29" t="s">
        <v>142</v>
      </c>
      <c r="Q27" s="19">
        <v>1.2858799999999999</v>
      </c>
      <c r="R27" s="30">
        <f>+O27*Q27</f>
        <v>1434942.2571356001</v>
      </c>
      <c r="S27" s="31">
        <v>2486.0700000000002</v>
      </c>
      <c r="T27" s="27">
        <f>+S27*R27</f>
        <v>3567366897.1971016</v>
      </c>
      <c r="U27" s="16">
        <f t="shared" si="1"/>
        <v>8743.5463166595619</v>
      </c>
      <c r="V27" s="16">
        <f t="shared" si="2"/>
        <v>8743.5463166595619</v>
      </c>
      <c r="W27" s="42">
        <v>11</v>
      </c>
      <c r="X27" s="1485" t="s">
        <v>129</v>
      </c>
      <c r="Y27" s="1485"/>
      <c r="Z27" s="1485"/>
      <c r="AA27" s="1485" t="s">
        <v>22</v>
      </c>
      <c r="AB27" s="1485"/>
      <c r="AC27" s="1485"/>
      <c r="AD27" s="1485" t="s">
        <v>22</v>
      </c>
      <c r="AE27" s="1485"/>
      <c r="AF27" s="1485"/>
      <c r="AG27" s="1388" t="s">
        <v>22</v>
      </c>
      <c r="AH27" s="1485"/>
      <c r="AI27" s="1485"/>
      <c r="AJ27" s="1388" t="str">
        <f>+IF(V27="","",IF(V27&gt;=[4]PARÁMETROS!$D$5,"CUMPLE","NO CUMPLE"))</f>
        <v>CUMPLE</v>
      </c>
      <c r="AK27" s="22"/>
    </row>
    <row r="28" spans="1:37" s="168" customFormat="1" ht="114.75" thickBot="1">
      <c r="A28" s="1612"/>
      <c r="B28" s="1511"/>
      <c r="C28" s="151" t="s">
        <v>205</v>
      </c>
      <c r="D28" s="172">
        <v>269</v>
      </c>
      <c r="E28" s="153" t="str">
        <f>+IFERROR(INDEX([4]CONSOLIDADO!$D$4:$D$108,MATCH('Concur - Exp. General'!C28,[4]CONSOLIDADO!$C$4:$C$108,0)),"")</f>
        <v>ICEACSA CONSULTORES SUCURSAL COLOMBIA</v>
      </c>
      <c r="F28" s="154" t="s">
        <v>925</v>
      </c>
      <c r="G28" s="155" t="s">
        <v>1692</v>
      </c>
      <c r="H28" s="1419" t="s">
        <v>22</v>
      </c>
      <c r="I28" s="1419" t="s">
        <v>22</v>
      </c>
      <c r="J28" s="156">
        <v>0.5</v>
      </c>
      <c r="K28" s="157">
        <v>39400</v>
      </c>
      <c r="L28" s="157">
        <v>40968</v>
      </c>
      <c r="M28" s="158">
        <f t="shared" si="0"/>
        <v>2012</v>
      </c>
      <c r="N28" s="159">
        <f>+IFERROR(INDEX([4]PARÁMETROS!$B$11:$B$37,MATCH(M28,[4]PARÁMETROS!$A$11:$A$37,0)),"")</f>
        <v>566700</v>
      </c>
      <c r="O28" s="160">
        <v>2033765.63</v>
      </c>
      <c r="P28" s="161" t="s">
        <v>142</v>
      </c>
      <c r="Q28" s="151">
        <v>1.3430899999999999</v>
      </c>
      <c r="R28" s="162">
        <f>+O28*Q28</f>
        <v>2731530.2799966997</v>
      </c>
      <c r="S28" s="163">
        <v>1767.83</v>
      </c>
      <c r="T28" s="159">
        <f>+S28*R28</f>
        <v>4828881174.8865652</v>
      </c>
      <c r="U28" s="164">
        <f t="shared" si="1"/>
        <v>8521.0537760482894</v>
      </c>
      <c r="V28" s="164">
        <f t="shared" si="2"/>
        <v>4260.5268880241447</v>
      </c>
      <c r="W28" s="164">
        <v>15</v>
      </c>
      <c r="X28" s="1606" t="s">
        <v>129</v>
      </c>
      <c r="Y28" s="1606"/>
      <c r="Z28" s="1606"/>
      <c r="AA28" s="1606" t="s">
        <v>22</v>
      </c>
      <c r="AB28" s="1606"/>
      <c r="AC28" s="1606"/>
      <c r="AD28" s="1606" t="s">
        <v>22</v>
      </c>
      <c r="AE28" s="1606"/>
      <c r="AF28" s="1606"/>
      <c r="AG28" s="1419" t="s">
        <v>22</v>
      </c>
      <c r="AH28" s="1486"/>
      <c r="AI28" s="1486"/>
      <c r="AJ28" s="1419" t="str">
        <f>+IF(V28="","",IF(V28&gt;=[4]PARÁMETROS!$D$5,"CUMPLE","NO CUMPLE"))</f>
        <v>CUMPLE</v>
      </c>
      <c r="AK28" s="154"/>
    </row>
    <row r="29" spans="1:37" s="148" customFormat="1" ht="57">
      <c r="A29" s="1612"/>
      <c r="B29" s="1509" t="s">
        <v>1693</v>
      </c>
      <c r="C29" s="81" t="s">
        <v>217</v>
      </c>
      <c r="D29" s="169">
        <v>93</v>
      </c>
      <c r="E29" s="83" t="str">
        <f>+IFERROR(INDEX([4]CONSOLIDADO!$D$4:$D$108,MATCH('Concur - Exp. General'!C29,[4]CONSOLIDADO!$C$4:$C$108,0)),"")</f>
        <v>VELNEC S.A.</v>
      </c>
      <c r="F29" s="84" t="s">
        <v>207</v>
      </c>
      <c r="G29" s="85" t="s">
        <v>1694</v>
      </c>
      <c r="H29" s="1393" t="s">
        <v>22</v>
      </c>
      <c r="I29" s="1393" t="s">
        <v>22</v>
      </c>
      <c r="J29" s="86">
        <v>1</v>
      </c>
      <c r="K29" s="87">
        <v>39062</v>
      </c>
      <c r="L29" s="87">
        <v>40476</v>
      </c>
      <c r="M29" s="88">
        <f t="shared" si="0"/>
        <v>2010</v>
      </c>
      <c r="N29" s="89">
        <f>+IFERROR(INDEX([4]PARÁMETROS!$B$11:$B$37,MATCH(M29,[4]PARÁMETROS!$A$11:$A$37,0)),"")</f>
        <v>515000</v>
      </c>
      <c r="O29" s="90">
        <v>2398644428</v>
      </c>
      <c r="P29" s="91" t="s">
        <v>151</v>
      </c>
      <c r="Q29" s="81" t="s">
        <v>140</v>
      </c>
      <c r="R29" s="92" t="s">
        <v>140</v>
      </c>
      <c r="S29" s="93">
        <v>1</v>
      </c>
      <c r="T29" s="89">
        <f t="shared" si="3"/>
        <v>2398644428</v>
      </c>
      <c r="U29" s="94">
        <f t="shared" si="1"/>
        <v>4657.5619961165048</v>
      </c>
      <c r="V29" s="94">
        <f t="shared" si="2"/>
        <v>4657.5619961165048</v>
      </c>
      <c r="W29" s="94">
        <v>1</v>
      </c>
      <c r="X29" s="1484" t="s">
        <v>22</v>
      </c>
      <c r="Y29" s="1484"/>
      <c r="Z29" s="1484"/>
      <c r="AA29" s="1484" t="s">
        <v>22</v>
      </c>
      <c r="AB29" s="1484"/>
      <c r="AC29" s="1484"/>
      <c r="AD29" s="1484" t="s">
        <v>129</v>
      </c>
      <c r="AE29" s="1484"/>
      <c r="AF29" s="1484"/>
      <c r="AG29" s="1393" t="s">
        <v>22</v>
      </c>
      <c r="AH29" s="1484" t="str">
        <f>IF(V29="","",IF(SUM(V29:V32)&gt;=[4]PARÁMETROS!$H$5,"CUMPLE","NO CUMPLE"))</f>
        <v>CUMPLE</v>
      </c>
      <c r="AI29" s="1484" t="str">
        <f>IF(V29="","",IF((V29+V30)&gt;=[4]PARÁMETROS!$F$5,"CUMPLE","NO CUMPLE"))</f>
        <v>CUMPLE</v>
      </c>
      <c r="AJ29" s="1393" t="str">
        <f>+IF(V29="","",IF(V29&gt;=[4]PARÁMETROS!$D$5,"CUMPLE","NO CUMPLE"))</f>
        <v>CUMPLE</v>
      </c>
      <c r="AK29" s="84"/>
    </row>
    <row r="30" spans="1:37" s="33" customFormat="1" ht="114">
      <c r="A30" s="1612"/>
      <c r="B30" s="1510"/>
      <c r="C30" s="19" t="s">
        <v>217</v>
      </c>
      <c r="D30" s="170">
        <v>107</v>
      </c>
      <c r="E30" s="21" t="str">
        <f>+IFERROR(INDEX([4]CONSOLIDADO!$D$4:$D$108,MATCH('Concur - Exp. General'!C30,[4]CONSOLIDADO!$C$4:$C$108,0)),"")</f>
        <v>VELNEC S.A.</v>
      </c>
      <c r="F30" s="22" t="s">
        <v>147</v>
      </c>
      <c r="G30" s="23" t="s">
        <v>1695</v>
      </c>
      <c r="H30" s="1388" t="s">
        <v>22</v>
      </c>
      <c r="I30" s="1388" t="s">
        <v>22</v>
      </c>
      <c r="J30" s="24">
        <v>0.2</v>
      </c>
      <c r="K30" s="25">
        <v>40567</v>
      </c>
      <c r="L30" s="25">
        <v>42226</v>
      </c>
      <c r="M30" s="26">
        <f t="shared" si="0"/>
        <v>2015</v>
      </c>
      <c r="N30" s="27">
        <f>+IFERROR(INDEX([4]PARÁMETROS!$B$11:$B$37,MATCH(M30,[4]PARÁMETROS!$A$11:$A$37,0)),"")</f>
        <v>644350</v>
      </c>
      <c r="O30" s="28">
        <v>34817301515</v>
      </c>
      <c r="P30" s="29" t="s">
        <v>151</v>
      </c>
      <c r="Q30" s="19" t="s">
        <v>140</v>
      </c>
      <c r="R30" s="30" t="s">
        <v>140</v>
      </c>
      <c r="S30" s="31">
        <v>1</v>
      </c>
      <c r="T30" s="27">
        <f t="shared" si="3"/>
        <v>34817301515</v>
      </c>
      <c r="U30" s="16">
        <f t="shared" si="1"/>
        <v>54034.766066578726</v>
      </c>
      <c r="V30" s="16">
        <f t="shared" si="2"/>
        <v>10806.953213315746</v>
      </c>
      <c r="W30" s="16" t="s">
        <v>152</v>
      </c>
      <c r="X30" s="1485"/>
      <c r="Y30" s="1485"/>
      <c r="Z30" s="1485"/>
      <c r="AA30" s="1485"/>
      <c r="AB30" s="1485"/>
      <c r="AC30" s="1485"/>
      <c r="AD30" s="1485"/>
      <c r="AE30" s="1485"/>
      <c r="AF30" s="1485"/>
      <c r="AG30" s="1388"/>
      <c r="AH30" s="1485"/>
      <c r="AI30" s="1485"/>
      <c r="AJ30" s="1388" t="str">
        <f>+IF(V30="","",IF(V30&gt;=[4]PARÁMETROS!$D$5,"CUMPLE","NO CUMPLE"))</f>
        <v>CUMPLE</v>
      </c>
      <c r="AK30" s="22"/>
    </row>
    <row r="31" spans="1:37" s="33" customFormat="1" ht="78.75">
      <c r="A31" s="1612"/>
      <c r="B31" s="1510"/>
      <c r="C31" s="19" t="s">
        <v>224</v>
      </c>
      <c r="D31" s="170">
        <v>121</v>
      </c>
      <c r="E31" s="21" t="str">
        <f>+IFERROR(INDEX([4]CONSOLIDADO!$D$4:$D$108,MATCH('Concur - Exp. General'!C31,[4]CONSOLIDADO!$C$4:$C$108,0)),"")</f>
        <v>CONSULTORES INTERVENTORES COLOMBIANOS S.A.S.  - CONCIC S.A.S.</v>
      </c>
      <c r="F31" s="22" t="s">
        <v>1122</v>
      </c>
      <c r="G31" s="23" t="s">
        <v>1696</v>
      </c>
      <c r="H31" s="1388" t="s">
        <v>22</v>
      </c>
      <c r="I31" s="1388" t="s">
        <v>22</v>
      </c>
      <c r="J31" s="24">
        <v>0.6</v>
      </c>
      <c r="K31" s="25">
        <v>41121</v>
      </c>
      <c r="L31" s="25">
        <v>41882</v>
      </c>
      <c r="M31" s="26">
        <f t="shared" si="0"/>
        <v>2014</v>
      </c>
      <c r="N31" s="27">
        <f>+IFERROR(INDEX([4]PARÁMETROS!$B$11:$B$37,MATCH(M31,[4]PARÁMETROS!$A$11:$A$37,0)),"")</f>
        <v>616000</v>
      </c>
      <c r="O31" s="28">
        <v>3121715915</v>
      </c>
      <c r="P31" s="29" t="s">
        <v>151</v>
      </c>
      <c r="Q31" s="19" t="s">
        <v>140</v>
      </c>
      <c r="R31" s="30" t="s">
        <v>140</v>
      </c>
      <c r="S31" s="31">
        <v>1</v>
      </c>
      <c r="T31" s="27">
        <f t="shared" si="3"/>
        <v>3121715915</v>
      </c>
      <c r="U31" s="16">
        <f t="shared" si="1"/>
        <v>5067.7206412337664</v>
      </c>
      <c r="V31" s="16">
        <f t="shared" si="2"/>
        <v>3040.6323847402596</v>
      </c>
      <c r="W31" s="16">
        <v>14</v>
      </c>
      <c r="X31" s="1485" t="s">
        <v>22</v>
      </c>
      <c r="Y31" s="1485"/>
      <c r="Z31" s="1485"/>
      <c r="AA31" s="1485" t="s">
        <v>129</v>
      </c>
      <c r="AB31" s="1485"/>
      <c r="AC31" s="1485"/>
      <c r="AD31" s="1485" t="s">
        <v>22</v>
      </c>
      <c r="AE31" s="1485"/>
      <c r="AF31" s="1485"/>
      <c r="AG31" s="1388" t="s">
        <v>22</v>
      </c>
      <c r="AH31" s="1485"/>
      <c r="AI31" s="1485"/>
      <c r="AJ31" s="1388" t="str">
        <f>+IF(V31="","",IF(V31&gt;=[4]PARÁMETROS!$D$5,"CUMPLE","NO CUMPLE"))</f>
        <v>CUMPLE</v>
      </c>
      <c r="AK31" s="22"/>
    </row>
    <row r="32" spans="1:37" s="168" customFormat="1" ht="79.5" thickBot="1">
      <c r="A32" s="1612"/>
      <c r="B32" s="1511"/>
      <c r="C32" s="151" t="s">
        <v>224</v>
      </c>
      <c r="D32" s="172">
        <v>130</v>
      </c>
      <c r="E32" s="153" t="str">
        <f>+IFERROR(INDEX([4]CONSOLIDADO!$D$4:$D$108,MATCH('Concur - Exp. General'!C32,[4]CONSOLIDADO!$C$4:$C$108,0)),"")</f>
        <v>CONSULTORES INTERVENTORES COLOMBIANOS S.A.S.  - CONCIC S.A.S.</v>
      </c>
      <c r="F32" s="154" t="s">
        <v>1122</v>
      </c>
      <c r="G32" s="155" t="s">
        <v>1697</v>
      </c>
      <c r="H32" s="1419" t="s">
        <v>22</v>
      </c>
      <c r="I32" s="1419" t="s">
        <v>22</v>
      </c>
      <c r="J32" s="156">
        <v>0.6</v>
      </c>
      <c r="K32" s="157">
        <v>41123</v>
      </c>
      <c r="L32" s="157">
        <v>42139</v>
      </c>
      <c r="M32" s="158">
        <f t="shared" si="0"/>
        <v>2015</v>
      </c>
      <c r="N32" s="159">
        <f>+IFERROR(INDEX([4]PARÁMETROS!$B$11:$B$37,MATCH(M32,[4]PARÁMETROS!$A$11:$A$37,0)),"")</f>
        <v>644350</v>
      </c>
      <c r="O32" s="160">
        <v>5897603327</v>
      </c>
      <c r="P32" s="161" t="s">
        <v>151</v>
      </c>
      <c r="Q32" s="151" t="s">
        <v>140</v>
      </c>
      <c r="R32" s="162" t="s">
        <v>140</v>
      </c>
      <c r="S32" s="163">
        <v>1</v>
      </c>
      <c r="T32" s="159">
        <f t="shared" si="3"/>
        <v>5897603327</v>
      </c>
      <c r="U32" s="164">
        <f t="shared" si="1"/>
        <v>9152.7947963063561</v>
      </c>
      <c r="V32" s="164">
        <f t="shared" si="2"/>
        <v>5491.6768777838133</v>
      </c>
      <c r="W32" s="164" t="s">
        <v>152</v>
      </c>
      <c r="X32" s="1606"/>
      <c r="Y32" s="1606"/>
      <c r="Z32" s="1606"/>
      <c r="AA32" s="1606"/>
      <c r="AB32" s="1606"/>
      <c r="AC32" s="1606"/>
      <c r="AD32" s="1606"/>
      <c r="AE32" s="1606"/>
      <c r="AF32" s="1606"/>
      <c r="AG32" s="1419"/>
      <c r="AH32" s="1486"/>
      <c r="AI32" s="1486"/>
      <c r="AJ32" s="1419" t="str">
        <f>+IF(V32="","",IF(V32&gt;=[4]PARÁMETROS!$D$5,"CUMPLE","NO CUMPLE"))</f>
        <v>CUMPLE</v>
      </c>
      <c r="AK32" s="154"/>
    </row>
    <row r="33" spans="1:37" s="148" customFormat="1" ht="94.5">
      <c r="A33" s="1612"/>
      <c r="B33" s="1509" t="s">
        <v>1698</v>
      </c>
      <c r="C33" s="81" t="s">
        <v>1699</v>
      </c>
      <c r="D33" s="169">
        <v>128</v>
      </c>
      <c r="E33" s="83" t="str">
        <f>+IFERROR(INDEX([4]CONSOLIDADO!$D$4:$D$108,MATCH('Concur - Exp. General'!C33,[4]CONSOLIDADO!$C$4:$C$108,0)),"")</f>
        <v>CPS INGENIEROS OBRA CIVIL Y MEDIO AMBIENTE SUCURSAL COLOMBIA SL</v>
      </c>
      <c r="F33" s="84" t="s">
        <v>1700</v>
      </c>
      <c r="G33" s="85" t="s">
        <v>1701</v>
      </c>
      <c r="H33" s="1393" t="s">
        <v>22</v>
      </c>
      <c r="I33" s="1393" t="s">
        <v>22</v>
      </c>
      <c r="J33" s="86">
        <v>1</v>
      </c>
      <c r="K33" s="87">
        <v>37120</v>
      </c>
      <c r="L33" s="87">
        <v>37946</v>
      </c>
      <c r="M33" s="88">
        <f t="shared" si="0"/>
        <v>2003</v>
      </c>
      <c r="N33" s="89">
        <f>+IFERROR(INDEX([4]PARÁMETROS!$B$11:$B$37,MATCH(M33,[4]PARÁMETROS!$A$11:$A$37,0)),"")</f>
        <v>332000</v>
      </c>
      <c r="O33" s="176">
        <v>327671.8</v>
      </c>
      <c r="P33" s="91" t="s">
        <v>142</v>
      </c>
      <c r="Q33" s="81">
        <v>1.1911</v>
      </c>
      <c r="R33" s="92">
        <f>+O33*Q33</f>
        <v>390289.88098000002</v>
      </c>
      <c r="S33" s="93">
        <v>2831.1</v>
      </c>
      <c r="T33" s="89">
        <f>+S33*R33</f>
        <v>1104949682.0424781</v>
      </c>
      <c r="U33" s="94">
        <f t="shared" si="1"/>
        <v>3328.1616928990302</v>
      </c>
      <c r="V33" s="94">
        <f t="shared" si="2"/>
        <v>3328.1616928990302</v>
      </c>
      <c r="W33" s="94">
        <v>13</v>
      </c>
      <c r="X33" s="1484" t="s">
        <v>22</v>
      </c>
      <c r="Y33" s="1484"/>
      <c r="Z33" s="1484"/>
      <c r="AA33" s="1484" t="s">
        <v>22</v>
      </c>
      <c r="AB33" s="1484"/>
      <c r="AC33" s="1484"/>
      <c r="AD33" s="1484" t="s">
        <v>22</v>
      </c>
      <c r="AE33" s="1484"/>
      <c r="AF33" s="1484"/>
      <c r="AG33" s="1393" t="s">
        <v>22</v>
      </c>
      <c r="AH33" s="1484" t="str">
        <f>IF(V33="","",IF(SUM(V33:V38)&gt;=[4]PARÁMETROS!$H$5,"CUMPLE","NO CUMPLE"))</f>
        <v>CUMPLE</v>
      </c>
      <c r="AI33" s="1484" t="str">
        <f>IF(V33="","",IF((V33+V34+V35+V36)&gt;=[4]PARÁMETROS!$F$5,"CUMPLE","NO CUMPLE"))</f>
        <v>CUMPLE</v>
      </c>
      <c r="AJ33" s="1393" t="str">
        <f>+IF(V33="","",IF(V33&gt;=[4]PARÁMETROS!$D$5,"CUMPLE","NO CUMPLE"))</f>
        <v>CUMPLE</v>
      </c>
      <c r="AK33" s="84"/>
    </row>
    <row r="34" spans="1:37" s="33" customFormat="1" ht="94.5">
      <c r="A34" s="1612"/>
      <c r="B34" s="1510"/>
      <c r="C34" s="19" t="s">
        <v>1699</v>
      </c>
      <c r="D34" s="170">
        <v>135</v>
      </c>
      <c r="E34" s="21" t="str">
        <f>+IFERROR(INDEX([4]CONSOLIDADO!$D$4:$D$108,MATCH('Concur - Exp. General'!C34,[4]CONSOLIDADO!$C$4:$C$108,0)),"")</f>
        <v>CPS INGENIEROS OBRA CIVIL Y MEDIO AMBIENTE SUCURSAL COLOMBIA SL</v>
      </c>
      <c r="F34" s="22" t="s">
        <v>1664</v>
      </c>
      <c r="G34" s="23" t="s">
        <v>1702</v>
      </c>
      <c r="H34" s="1388" t="s">
        <v>22</v>
      </c>
      <c r="I34" s="1388" t="s">
        <v>22</v>
      </c>
      <c r="J34" s="24">
        <v>1</v>
      </c>
      <c r="K34" s="25">
        <v>39070</v>
      </c>
      <c r="L34" s="25">
        <v>40359</v>
      </c>
      <c r="M34" s="26">
        <f t="shared" si="0"/>
        <v>2010</v>
      </c>
      <c r="N34" s="27">
        <f>+IFERROR(INDEX([4]PARÁMETROS!$B$11:$B$37,MATCH(M34,[4]PARÁMETROS!$A$11:$A$37,0)),"")</f>
        <v>515000</v>
      </c>
      <c r="O34" s="177">
        <v>977604.33</v>
      </c>
      <c r="P34" s="29" t="s">
        <v>142</v>
      </c>
      <c r="Q34" s="19">
        <v>1.22055</v>
      </c>
      <c r="R34" s="30">
        <f>+O34*Q34</f>
        <v>1193214.9649815001</v>
      </c>
      <c r="S34" s="31">
        <v>1916.46</v>
      </c>
      <c r="T34" s="27">
        <f>+S34*R34</f>
        <v>2286748751.7884455</v>
      </c>
      <c r="U34" s="16">
        <f t="shared" si="1"/>
        <v>4440.288838424166</v>
      </c>
      <c r="V34" s="16">
        <f t="shared" si="2"/>
        <v>4440.288838424166</v>
      </c>
      <c r="W34" s="16">
        <v>2</v>
      </c>
      <c r="X34" s="1485" t="s">
        <v>129</v>
      </c>
      <c r="Y34" s="1485"/>
      <c r="Z34" s="1485"/>
      <c r="AA34" s="1485" t="s">
        <v>22</v>
      </c>
      <c r="AB34" s="1485"/>
      <c r="AC34" s="1485"/>
      <c r="AD34" s="1485" t="s">
        <v>22</v>
      </c>
      <c r="AE34" s="1485"/>
      <c r="AF34" s="1485"/>
      <c r="AG34" s="1388" t="s">
        <v>22</v>
      </c>
      <c r="AH34" s="1485"/>
      <c r="AI34" s="1485"/>
      <c r="AJ34" s="1388" t="str">
        <f>+IF(V34="","",IF(V34&gt;=[4]PARÁMETROS!$D$5,"CUMPLE","NO CUMPLE"))</f>
        <v>CUMPLE</v>
      </c>
      <c r="AK34" s="22"/>
    </row>
    <row r="35" spans="1:37" s="33" customFormat="1" ht="94.5">
      <c r="A35" s="1612"/>
      <c r="B35" s="1510"/>
      <c r="C35" s="19" t="s">
        <v>1699</v>
      </c>
      <c r="D35" s="170">
        <v>141</v>
      </c>
      <c r="E35" s="21" t="str">
        <f>+IFERROR(INDEX([4]CONSOLIDADO!$D$4:$D$108,MATCH('Concur - Exp. General'!C35,[4]CONSOLIDADO!$C$4:$C$108,0)),"")</f>
        <v>CPS INGENIEROS OBRA CIVIL Y MEDIO AMBIENTE SUCURSAL COLOMBIA SL</v>
      </c>
      <c r="F35" s="22" t="s">
        <v>1700</v>
      </c>
      <c r="G35" s="23" t="s">
        <v>1703</v>
      </c>
      <c r="H35" s="1388" t="s">
        <v>22</v>
      </c>
      <c r="I35" s="1388" t="s">
        <v>22</v>
      </c>
      <c r="J35" s="24">
        <v>1</v>
      </c>
      <c r="K35" s="25">
        <v>39024</v>
      </c>
      <c r="L35" s="25">
        <v>40189</v>
      </c>
      <c r="M35" s="26">
        <f t="shared" si="0"/>
        <v>2010</v>
      </c>
      <c r="N35" s="27">
        <f>+IFERROR(INDEX([4]PARÁMETROS!$B$11:$B$37,MATCH(M35,[4]PARÁMETROS!$A$11:$A$37,0)),"")</f>
        <v>515000</v>
      </c>
      <c r="O35" s="28">
        <v>741925.82</v>
      </c>
      <c r="P35" s="29" t="s">
        <v>142</v>
      </c>
      <c r="Q35" s="19">
        <v>1.44072</v>
      </c>
      <c r="R35" s="30">
        <f>+O35*Q35</f>
        <v>1068907.3673904</v>
      </c>
      <c r="S35" s="31">
        <v>1968.24</v>
      </c>
      <c r="T35" s="27">
        <f>+S35*R35</f>
        <v>2103866236.7924809</v>
      </c>
      <c r="U35" s="16">
        <f t="shared" si="1"/>
        <v>4085.1771588203515</v>
      </c>
      <c r="V35" s="16">
        <f t="shared" si="2"/>
        <v>4085.1771588203515</v>
      </c>
      <c r="W35" s="16">
        <v>25</v>
      </c>
      <c r="X35" s="1485" t="s">
        <v>22</v>
      </c>
      <c r="Y35" s="1485"/>
      <c r="Z35" s="1485"/>
      <c r="AA35" s="1485" t="s">
        <v>22</v>
      </c>
      <c r="AB35" s="1485"/>
      <c r="AC35" s="1485"/>
      <c r="AD35" s="1485" t="s">
        <v>22</v>
      </c>
      <c r="AE35" s="1485"/>
      <c r="AF35" s="1485"/>
      <c r="AG35" s="1388" t="s">
        <v>22</v>
      </c>
      <c r="AH35" s="1485"/>
      <c r="AI35" s="1485"/>
      <c r="AJ35" s="1388" t="str">
        <f>+IF(V35="","",IF(V35&gt;=[4]PARÁMETROS!$D$5,"CUMPLE","NO CUMPLE"))</f>
        <v>CUMPLE</v>
      </c>
      <c r="AK35" s="22"/>
    </row>
    <row r="36" spans="1:37" s="33" customFormat="1" ht="94.5">
      <c r="A36" s="1612"/>
      <c r="B36" s="1510"/>
      <c r="C36" s="19" t="s">
        <v>1699</v>
      </c>
      <c r="D36" s="170">
        <v>150</v>
      </c>
      <c r="E36" s="21" t="str">
        <f>+IFERROR(INDEX([4]CONSOLIDADO!$D$4:$D$108,MATCH('Concur - Exp. General'!C36,[4]CONSOLIDADO!$C$4:$C$108,0)),"")</f>
        <v>CPS INGENIEROS OBRA CIVIL Y MEDIO AMBIENTE SUCURSAL COLOMBIA SL</v>
      </c>
      <c r="F36" s="44" t="s">
        <v>1704</v>
      </c>
      <c r="G36" s="45" t="s">
        <v>1705</v>
      </c>
      <c r="H36" s="1388" t="s">
        <v>22</v>
      </c>
      <c r="I36" s="1388" t="s">
        <v>22</v>
      </c>
      <c r="J36" s="46">
        <v>1</v>
      </c>
      <c r="K36" s="47">
        <v>38107</v>
      </c>
      <c r="L36" s="47">
        <v>40747</v>
      </c>
      <c r="M36" s="26">
        <f t="shared" si="0"/>
        <v>2011</v>
      </c>
      <c r="N36" s="27">
        <f>+IFERROR(INDEX([4]PARÁMETROS!$B$11:$B$37,MATCH(M36,[4]PARÁMETROS!$A$11:$A$37,0)),"")</f>
        <v>535600</v>
      </c>
      <c r="O36" s="48">
        <v>1048263.23</v>
      </c>
      <c r="P36" s="29" t="s">
        <v>142</v>
      </c>
      <c r="Q36" s="19">
        <v>1.43862</v>
      </c>
      <c r="R36" s="30">
        <f>+O36*Q36</f>
        <v>1508052.4479425999</v>
      </c>
      <c r="S36" s="31">
        <v>1757.35</v>
      </c>
      <c r="T36" s="27">
        <f>+S36*R36</f>
        <v>2650175969.3919277</v>
      </c>
      <c r="U36" s="16">
        <f t="shared" si="1"/>
        <v>4948.0507270200296</v>
      </c>
      <c r="V36" s="16">
        <f t="shared" si="2"/>
        <v>4948.0507270200296</v>
      </c>
      <c r="W36" s="16">
        <v>9</v>
      </c>
      <c r="X36" s="1485" t="s">
        <v>129</v>
      </c>
      <c r="Y36" s="1485"/>
      <c r="Z36" s="1485"/>
      <c r="AA36" s="1485" t="s">
        <v>22</v>
      </c>
      <c r="AB36" s="1485"/>
      <c r="AC36" s="1485"/>
      <c r="AD36" s="1485" t="s">
        <v>22</v>
      </c>
      <c r="AE36" s="1485"/>
      <c r="AF36" s="1485"/>
      <c r="AG36" s="1388" t="s">
        <v>22</v>
      </c>
      <c r="AH36" s="1485"/>
      <c r="AI36" s="1485"/>
      <c r="AJ36" s="1388" t="str">
        <f>+IF(V36="","",IF(V36&gt;=[4]PARÁMETROS!$D$5,"CUMPLE","NO CUMPLE"))</f>
        <v>CUMPLE</v>
      </c>
      <c r="AK36" s="150"/>
    </row>
    <row r="37" spans="1:37" s="33" customFormat="1" ht="213.75">
      <c r="A37" s="1612"/>
      <c r="B37" s="1510"/>
      <c r="C37" s="19" t="s">
        <v>239</v>
      </c>
      <c r="D37" s="170">
        <v>157</v>
      </c>
      <c r="E37" s="21" t="str">
        <f>+IFERROR(INDEX([4]CONSOLIDADO!$D$4:$D$108,MATCH('Concur - Exp. General'!C37,[4]CONSOLIDADO!$C$4:$C$108,0)),"")</f>
        <v>SERTIC S.A.S.</v>
      </c>
      <c r="F37" s="22" t="s">
        <v>147</v>
      </c>
      <c r="G37" s="23" t="s">
        <v>1706</v>
      </c>
      <c r="H37" s="1388" t="s">
        <v>22</v>
      </c>
      <c r="I37" s="1388" t="s">
        <v>22</v>
      </c>
      <c r="J37" s="24">
        <v>0.25</v>
      </c>
      <c r="K37" s="25">
        <v>40954</v>
      </c>
      <c r="L37" s="25">
        <v>42219</v>
      </c>
      <c r="M37" s="26">
        <f t="shared" si="0"/>
        <v>2015</v>
      </c>
      <c r="N37" s="27">
        <f>+IFERROR(INDEX([4]PARÁMETROS!$B$11:$B$37,MATCH(M37,[4]PARÁMETROS!$A$11:$A$37,0)),"")</f>
        <v>644350</v>
      </c>
      <c r="O37" s="28">
        <v>6977164103</v>
      </c>
      <c r="P37" s="29" t="s">
        <v>151</v>
      </c>
      <c r="Q37" s="19" t="s">
        <v>140</v>
      </c>
      <c r="R37" s="30" t="s">
        <v>140</v>
      </c>
      <c r="S37" s="31">
        <v>1</v>
      </c>
      <c r="T37" s="27">
        <f t="shared" si="3"/>
        <v>6977164103</v>
      </c>
      <c r="U37" s="16">
        <f t="shared" si="1"/>
        <v>10828.220847365563</v>
      </c>
      <c r="V37" s="16">
        <f t="shared" si="2"/>
        <v>2707.0552118413907</v>
      </c>
      <c r="W37" s="16" t="s">
        <v>152</v>
      </c>
      <c r="X37" s="1485"/>
      <c r="Y37" s="1485"/>
      <c r="Z37" s="1485"/>
      <c r="AA37" s="1485"/>
      <c r="AB37" s="1485"/>
      <c r="AC37" s="1485"/>
      <c r="AD37" s="1485"/>
      <c r="AE37" s="1485"/>
      <c r="AF37" s="1485"/>
      <c r="AG37" s="1388"/>
      <c r="AH37" s="1485"/>
      <c r="AI37" s="1485"/>
      <c r="AJ37" s="1388" t="str">
        <f>+IF(V37="","",IF(V37&gt;=[4]PARÁMETROS!$D$5,"CUMPLE","NO CUMPLE"))</f>
        <v>CUMPLE</v>
      </c>
      <c r="AK37" s="22" t="s">
        <v>1707</v>
      </c>
    </row>
    <row r="38" spans="1:37" s="168" customFormat="1" ht="157.5" thickBot="1">
      <c r="A38" s="1612"/>
      <c r="B38" s="1511"/>
      <c r="C38" s="151" t="s">
        <v>239</v>
      </c>
      <c r="D38" s="172">
        <v>161</v>
      </c>
      <c r="E38" s="153" t="str">
        <f>+IFERROR(INDEX([4]CONSOLIDADO!$D$4:$D$108,MATCH('Concur - Exp. General'!C38,[4]CONSOLIDADO!$C$4:$C$108,0)),"")</f>
        <v>SERTIC S.A.S.</v>
      </c>
      <c r="F38" s="154" t="s">
        <v>147</v>
      </c>
      <c r="G38" s="155" t="s">
        <v>1708</v>
      </c>
      <c r="H38" s="1419" t="s">
        <v>22</v>
      </c>
      <c r="I38" s="1419" t="s">
        <v>22</v>
      </c>
      <c r="J38" s="156">
        <v>0.2</v>
      </c>
      <c r="K38" s="157">
        <v>41068</v>
      </c>
      <c r="L38" s="157">
        <v>42158</v>
      </c>
      <c r="M38" s="158">
        <f t="shared" si="0"/>
        <v>2015</v>
      </c>
      <c r="N38" s="159">
        <f>+IFERROR(INDEX([4]PARÁMETROS!$B$11:$B$37,MATCH(M38,[4]PARÁMETROS!$A$11:$A$37,0)),"")</f>
        <v>644350</v>
      </c>
      <c r="O38" s="160">
        <v>6337347818</v>
      </c>
      <c r="P38" s="161" t="s">
        <v>151</v>
      </c>
      <c r="Q38" s="151" t="s">
        <v>140</v>
      </c>
      <c r="R38" s="162" t="s">
        <v>140</v>
      </c>
      <c r="S38" s="163">
        <v>1</v>
      </c>
      <c r="T38" s="159">
        <f t="shared" si="3"/>
        <v>6337347818</v>
      </c>
      <c r="U38" s="164">
        <f t="shared" si="1"/>
        <v>9835.2569535190505</v>
      </c>
      <c r="V38" s="164">
        <f t="shared" si="2"/>
        <v>1967.0513907038103</v>
      </c>
      <c r="W38" s="164" t="s">
        <v>152</v>
      </c>
      <c r="X38" s="1606"/>
      <c r="Y38" s="1606"/>
      <c r="Z38" s="1606"/>
      <c r="AA38" s="1606"/>
      <c r="AB38" s="1606"/>
      <c r="AC38" s="1606"/>
      <c r="AD38" s="1606"/>
      <c r="AE38" s="1606"/>
      <c r="AF38" s="1606"/>
      <c r="AG38" s="1419"/>
      <c r="AH38" s="1486"/>
      <c r="AI38" s="1486"/>
      <c r="AJ38" s="1419" t="str">
        <f>+IF(V38="","",IF(V38&gt;=[4]PARÁMETROS!$D$5,"CUMPLE","NO CUMPLE"))</f>
        <v>CUMPLE</v>
      </c>
      <c r="AK38" s="154"/>
    </row>
    <row r="39" spans="1:37" s="148" customFormat="1" ht="71.25">
      <c r="A39" s="1612"/>
      <c r="B39" s="1509" t="s">
        <v>1709</v>
      </c>
      <c r="C39" s="81" t="s">
        <v>1710</v>
      </c>
      <c r="D39" s="169">
        <v>100</v>
      </c>
      <c r="E39" s="83" t="str">
        <f>+IFERROR(INDEX([4]CONSOLIDADO!$D$4:$D$108,MATCH('Concur - Exp. General'!C39,[4]CONSOLIDADO!$C$4:$C$108,0)),"")</f>
        <v>JOSE MANUEL GUARDO POLO</v>
      </c>
      <c r="F39" s="84" t="s">
        <v>1711</v>
      </c>
      <c r="G39" s="85" t="s">
        <v>1712</v>
      </c>
      <c r="H39" s="1393" t="s">
        <v>22</v>
      </c>
      <c r="I39" s="1393" t="s">
        <v>22</v>
      </c>
      <c r="J39" s="86">
        <v>1</v>
      </c>
      <c r="K39" s="87">
        <v>34085</v>
      </c>
      <c r="L39" s="87">
        <v>34352</v>
      </c>
      <c r="M39" s="88">
        <f t="shared" si="0"/>
        <v>1994</v>
      </c>
      <c r="N39" s="89">
        <f>+IFERROR(INDEX([4]PARÁMETROS!$B$11:$B$37,MATCH(M39,[4]PARÁMETROS!$A$11:$A$37,0)),"")</f>
        <v>98700</v>
      </c>
      <c r="O39" s="90">
        <v>265817625</v>
      </c>
      <c r="P39" s="91" t="s">
        <v>151</v>
      </c>
      <c r="Q39" s="81" t="s">
        <v>140</v>
      </c>
      <c r="R39" s="92" t="s">
        <v>140</v>
      </c>
      <c r="S39" s="93">
        <v>1</v>
      </c>
      <c r="T39" s="89">
        <f t="shared" si="3"/>
        <v>265817625</v>
      </c>
      <c r="U39" s="94">
        <f t="shared" si="1"/>
        <v>2693.1876899696049</v>
      </c>
      <c r="V39" s="94">
        <f t="shared" si="2"/>
        <v>2693.1876899696049</v>
      </c>
      <c r="W39" s="94">
        <v>4</v>
      </c>
      <c r="X39" s="1484" t="s">
        <v>22</v>
      </c>
      <c r="Y39" s="1484"/>
      <c r="Z39" s="1484"/>
      <c r="AA39" s="1484" t="s">
        <v>129</v>
      </c>
      <c r="AB39" s="1484"/>
      <c r="AC39" s="1484"/>
      <c r="AD39" s="1484" t="s">
        <v>22</v>
      </c>
      <c r="AE39" s="1484"/>
      <c r="AF39" s="1484"/>
      <c r="AG39" s="1393" t="s">
        <v>22</v>
      </c>
      <c r="AH39" s="1484" t="str">
        <f>IF(V39="","",IF(SUM(V39:V43)&gt;=[4]PARÁMETROS!$H$5,"CUMPLE","NO CUMPLE"))</f>
        <v>CUMPLE</v>
      </c>
      <c r="AI39" s="1484" t="str">
        <f>IF(V39="","",IF((V39+V40+V41+V42)&gt;=[4]PARÁMETROS!$F$5,"CUMPLE","NO CUMPLE"))</f>
        <v>CUMPLE</v>
      </c>
      <c r="AJ39" s="1393" t="str">
        <f>+IF(V39="","",IF(V39&gt;=[4]PARÁMETROS!$D$5,"CUMPLE","NO CUMPLE"))</f>
        <v>CUMPLE</v>
      </c>
      <c r="AK39" s="84"/>
    </row>
    <row r="40" spans="1:37" s="33" customFormat="1" ht="57">
      <c r="A40" s="1612"/>
      <c r="B40" s="1510"/>
      <c r="C40" s="19" t="s">
        <v>1710</v>
      </c>
      <c r="D40" s="170">
        <v>108</v>
      </c>
      <c r="E40" s="21" t="str">
        <f>+IFERROR(INDEX([4]CONSOLIDADO!$D$4:$D$108,MATCH('Concur - Exp. General'!C40,[4]CONSOLIDADO!$C$4:$C$108,0)),"")</f>
        <v>JOSE MANUEL GUARDO POLO</v>
      </c>
      <c r="F40" s="22" t="s">
        <v>1035</v>
      </c>
      <c r="G40" s="23" t="s">
        <v>1713</v>
      </c>
      <c r="H40" s="1388" t="s">
        <v>22</v>
      </c>
      <c r="I40" s="1388" t="s">
        <v>22</v>
      </c>
      <c r="J40" s="24">
        <v>1</v>
      </c>
      <c r="K40" s="25">
        <v>34355</v>
      </c>
      <c r="L40" s="25">
        <v>34610</v>
      </c>
      <c r="M40" s="26">
        <f t="shared" si="0"/>
        <v>1994</v>
      </c>
      <c r="N40" s="27">
        <f>+IFERROR(INDEX([4]PARÁMETROS!$B$11:$B$37,MATCH(M40,[4]PARÁMETROS!$A$11:$A$37,0)),"")</f>
        <v>98700</v>
      </c>
      <c r="O40" s="28">
        <v>320063303</v>
      </c>
      <c r="P40" s="29" t="s">
        <v>151</v>
      </c>
      <c r="Q40" s="19" t="s">
        <v>140</v>
      </c>
      <c r="R40" s="30" t="s">
        <v>140</v>
      </c>
      <c r="S40" s="31">
        <v>1</v>
      </c>
      <c r="T40" s="27">
        <f t="shared" si="3"/>
        <v>320063303</v>
      </c>
      <c r="U40" s="16">
        <f t="shared" si="1"/>
        <v>3242.789290780142</v>
      </c>
      <c r="V40" s="16">
        <f t="shared" si="2"/>
        <v>3242.789290780142</v>
      </c>
      <c r="W40" s="16">
        <v>2</v>
      </c>
      <c r="X40" s="1485" t="s">
        <v>22</v>
      </c>
      <c r="Y40" s="1485"/>
      <c r="Z40" s="1485"/>
      <c r="AA40" s="1485" t="s">
        <v>129</v>
      </c>
      <c r="AB40" s="1485"/>
      <c r="AC40" s="1485"/>
      <c r="AD40" s="1485" t="s">
        <v>22</v>
      </c>
      <c r="AE40" s="1485"/>
      <c r="AF40" s="1485"/>
      <c r="AG40" s="1388" t="s">
        <v>22</v>
      </c>
      <c r="AH40" s="1485"/>
      <c r="AI40" s="1485"/>
      <c r="AJ40" s="1388" t="str">
        <f>+IF(V40="","",IF(V40&gt;=[4]PARÁMETROS!$D$5,"CUMPLE","NO CUMPLE"))</f>
        <v>CUMPLE</v>
      </c>
      <c r="AK40" s="22"/>
    </row>
    <row r="41" spans="1:37" s="33" customFormat="1" ht="71.25">
      <c r="A41" s="1612"/>
      <c r="B41" s="1510"/>
      <c r="C41" s="19" t="s">
        <v>1710</v>
      </c>
      <c r="D41" s="170">
        <v>114</v>
      </c>
      <c r="E41" s="21" t="str">
        <f>+IFERROR(INDEX([4]CONSOLIDADO!$D$4:$D$108,MATCH('Concur - Exp. General'!C41,[4]CONSOLIDADO!$C$4:$C$108,0)),"")</f>
        <v>JOSE MANUEL GUARDO POLO</v>
      </c>
      <c r="F41" s="22" t="s">
        <v>1035</v>
      </c>
      <c r="G41" s="23" t="s">
        <v>1714</v>
      </c>
      <c r="H41" s="1388" t="s">
        <v>22</v>
      </c>
      <c r="I41" s="1388" t="s">
        <v>22</v>
      </c>
      <c r="J41" s="24">
        <v>1</v>
      </c>
      <c r="K41" s="25">
        <v>34743</v>
      </c>
      <c r="L41" s="25">
        <v>35291</v>
      </c>
      <c r="M41" s="26">
        <f t="shared" si="0"/>
        <v>1996</v>
      </c>
      <c r="N41" s="27">
        <f>+IFERROR(INDEX([4]PARÁMETROS!$B$11:$B$37,MATCH(M41,[4]PARÁMETROS!$A$11:$A$37,0)),"")</f>
        <v>142125</v>
      </c>
      <c r="O41" s="28">
        <v>602820317.29999995</v>
      </c>
      <c r="P41" s="29" t="s">
        <v>151</v>
      </c>
      <c r="Q41" s="19" t="s">
        <v>140</v>
      </c>
      <c r="R41" s="30" t="s">
        <v>140</v>
      </c>
      <c r="S41" s="31">
        <v>1</v>
      </c>
      <c r="T41" s="27">
        <f t="shared" si="3"/>
        <v>602820317.29999995</v>
      </c>
      <c r="U41" s="16">
        <f t="shared" si="1"/>
        <v>4241.479805101143</v>
      </c>
      <c r="V41" s="16">
        <f t="shared" si="2"/>
        <v>4241.479805101143</v>
      </c>
      <c r="W41" s="16">
        <v>1</v>
      </c>
      <c r="X41" s="1485" t="s">
        <v>22</v>
      </c>
      <c r="Y41" s="1485"/>
      <c r="Z41" s="1485"/>
      <c r="AA41" s="1485" t="s">
        <v>129</v>
      </c>
      <c r="AB41" s="1485"/>
      <c r="AC41" s="1485"/>
      <c r="AD41" s="1485" t="s">
        <v>22</v>
      </c>
      <c r="AE41" s="1485"/>
      <c r="AF41" s="1485"/>
      <c r="AG41" s="1388" t="s">
        <v>22</v>
      </c>
      <c r="AH41" s="1485"/>
      <c r="AI41" s="1485"/>
      <c r="AJ41" s="1388" t="str">
        <f>+IF(V41="","",IF(V41&gt;=[4]PARÁMETROS!$D$5,"CUMPLE","NO CUMPLE"))</f>
        <v>CUMPLE</v>
      </c>
      <c r="AK41" s="22"/>
    </row>
    <row r="42" spans="1:37" s="33" customFormat="1" ht="71.25">
      <c r="A42" s="1612"/>
      <c r="B42" s="1510"/>
      <c r="C42" s="19" t="s">
        <v>1710</v>
      </c>
      <c r="D42" s="170">
        <v>121</v>
      </c>
      <c r="E42" s="21" t="str">
        <f>+IFERROR(INDEX([4]CONSOLIDADO!$D$4:$D$108,MATCH('Concur - Exp. General'!C42,[4]CONSOLIDADO!$C$4:$C$108,0)),"")</f>
        <v>JOSE MANUEL GUARDO POLO</v>
      </c>
      <c r="F42" s="22" t="s">
        <v>1122</v>
      </c>
      <c r="G42" s="23" t="s">
        <v>1715</v>
      </c>
      <c r="H42" s="1388" t="s">
        <v>22</v>
      </c>
      <c r="I42" s="1388" t="s">
        <v>22</v>
      </c>
      <c r="J42" s="24">
        <v>0.5</v>
      </c>
      <c r="K42" s="25">
        <v>38338</v>
      </c>
      <c r="L42" s="25">
        <v>40296</v>
      </c>
      <c r="M42" s="26">
        <f t="shared" si="0"/>
        <v>2010</v>
      </c>
      <c r="N42" s="27">
        <f>+IFERROR(INDEX([4]PARÁMETROS!$B$11:$B$37,MATCH(M42,[4]PARÁMETROS!$A$11:$A$37,0)),"")</f>
        <v>515000</v>
      </c>
      <c r="O42" s="28">
        <v>5611007439</v>
      </c>
      <c r="P42" s="29" t="s">
        <v>151</v>
      </c>
      <c r="Q42" s="19" t="s">
        <v>140</v>
      </c>
      <c r="R42" s="30" t="s">
        <v>140</v>
      </c>
      <c r="S42" s="31">
        <v>1</v>
      </c>
      <c r="T42" s="27">
        <f t="shared" si="3"/>
        <v>5611007439</v>
      </c>
      <c r="U42" s="16">
        <f t="shared" si="1"/>
        <v>10895.160075728156</v>
      </c>
      <c r="V42" s="16">
        <f t="shared" si="2"/>
        <v>5447.5800378640779</v>
      </c>
      <c r="W42" s="16">
        <v>11</v>
      </c>
      <c r="X42" s="1485" t="s">
        <v>22</v>
      </c>
      <c r="Y42" s="1485"/>
      <c r="Z42" s="1485"/>
      <c r="AA42" s="1485" t="s">
        <v>129</v>
      </c>
      <c r="AB42" s="1485"/>
      <c r="AC42" s="1485"/>
      <c r="AD42" s="1485" t="s">
        <v>22</v>
      </c>
      <c r="AE42" s="1485"/>
      <c r="AF42" s="1485"/>
      <c r="AG42" s="1388" t="s">
        <v>22</v>
      </c>
      <c r="AH42" s="1485"/>
      <c r="AI42" s="1485"/>
      <c r="AJ42" s="1388" t="str">
        <f>+IF(V42="","",IF(V42&gt;=[4]PARÁMETROS!$D$5,"CUMPLE","NO CUMPLE"))</f>
        <v>CUMPLE</v>
      </c>
      <c r="AK42" s="22"/>
    </row>
    <row r="43" spans="1:37" s="179" customFormat="1" ht="111" thickBot="1">
      <c r="A43" s="1612"/>
      <c r="B43" s="1511"/>
      <c r="C43" s="99" t="s">
        <v>252</v>
      </c>
      <c r="D43" s="178">
        <v>130</v>
      </c>
      <c r="E43" s="101" t="str">
        <f>+IFERROR(INDEX([4]CONSOLIDADO!$D$4:$D$108,MATCH('Concur - Exp. General'!C43,[4]CONSOLIDADO!$C$4:$C$108,0)),"")</f>
        <v>INGENOBRAS CONSTRUCCIONES Y CONSULTORIA S.A.S. - INGENOBRAS S.A.S.</v>
      </c>
      <c r="F43" s="102" t="s">
        <v>1716</v>
      </c>
      <c r="G43" s="102" t="s">
        <v>1717</v>
      </c>
      <c r="H43" s="1392" t="s">
        <v>22</v>
      </c>
      <c r="I43" s="1392" t="s">
        <v>22</v>
      </c>
      <c r="J43" s="119">
        <v>0.45</v>
      </c>
      <c r="K43" s="105">
        <v>40805</v>
      </c>
      <c r="L43" s="105">
        <v>41730</v>
      </c>
      <c r="M43" s="106">
        <f t="shared" si="0"/>
        <v>2014</v>
      </c>
      <c r="N43" s="107">
        <f>+IFERROR(INDEX([4]PARÁMETROS!$B$11:$B$37,MATCH(M43,[4]PARÁMETROS!$A$11:$A$37,0)),"")</f>
        <v>616000</v>
      </c>
      <c r="O43" s="120">
        <v>5922134662</v>
      </c>
      <c r="P43" s="109" t="s">
        <v>151</v>
      </c>
      <c r="Q43" s="99" t="s">
        <v>140</v>
      </c>
      <c r="R43" s="110" t="s">
        <v>140</v>
      </c>
      <c r="S43" s="111">
        <v>1</v>
      </c>
      <c r="T43" s="107">
        <f t="shared" si="3"/>
        <v>5922134662</v>
      </c>
      <c r="U43" s="112">
        <f t="shared" si="1"/>
        <v>9613.8549707792208</v>
      </c>
      <c r="V43" s="112">
        <f t="shared" si="2"/>
        <v>4326.2347368506498</v>
      </c>
      <c r="W43" s="112">
        <v>20</v>
      </c>
      <c r="X43" s="1486" t="s">
        <v>22</v>
      </c>
      <c r="Y43" s="1486"/>
      <c r="Z43" s="1486"/>
      <c r="AA43" s="1486" t="s">
        <v>22</v>
      </c>
      <c r="AB43" s="1486"/>
      <c r="AC43" s="1486"/>
      <c r="AD43" s="1486" t="s">
        <v>22</v>
      </c>
      <c r="AE43" s="1486"/>
      <c r="AF43" s="1486"/>
      <c r="AG43" s="1392" t="s">
        <v>22</v>
      </c>
      <c r="AH43" s="1486"/>
      <c r="AI43" s="1486"/>
      <c r="AJ43" s="1392" t="str">
        <f>+IF(V43="","",IF(V43&gt;=[4]PARÁMETROS!$D$5,"CUMPLE","NO CUMPLE"))</f>
        <v>CUMPLE</v>
      </c>
      <c r="AK43" s="102"/>
    </row>
    <row r="44" spans="1:37" s="148" customFormat="1" ht="78.75" customHeight="1" thickBot="1">
      <c r="A44" s="1612"/>
      <c r="B44" s="1607" t="s">
        <v>1718</v>
      </c>
      <c r="C44" s="81" t="s">
        <v>270</v>
      </c>
      <c r="D44" s="82">
        <v>79</v>
      </c>
      <c r="E44" s="101" t="str">
        <f>+IFERROR(INDEX([4]CONSOLIDADO!$D$4:$D$108,MATCH('Concur - Exp. General'!C44,[4]CONSOLIDADO!$C$4:$C$108,0)),"")</f>
        <v>ARREDONDO MADRID INGENIEROS CIVILES (AIM ) LIMITADA</v>
      </c>
      <c r="F44" s="22" t="s">
        <v>1719</v>
      </c>
      <c r="G44" s="23" t="s">
        <v>1720</v>
      </c>
      <c r="H44" s="1393" t="s">
        <v>22</v>
      </c>
      <c r="I44" s="1393" t="s">
        <v>22</v>
      </c>
      <c r="J44" s="86">
        <v>1</v>
      </c>
      <c r="K44" s="25">
        <v>35006</v>
      </c>
      <c r="L44" s="25">
        <v>35828</v>
      </c>
      <c r="M44" s="88">
        <f>IF(L44="","",YEAR(L44))</f>
        <v>1998</v>
      </c>
      <c r="N44" s="89">
        <f>+IFERROR(INDEX([5]PARÁMETROS!$B$11:$B$37,MATCH(M44,[5]PARÁMETROS!$A$11:$A$37,0)),"")</f>
        <v>203826</v>
      </c>
      <c r="O44" s="28">
        <v>943132057</v>
      </c>
      <c r="P44" s="91" t="s">
        <v>151</v>
      </c>
      <c r="Q44" s="81" t="s">
        <v>140</v>
      </c>
      <c r="R44" s="92" t="s">
        <v>140</v>
      </c>
      <c r="S44" s="93">
        <v>1</v>
      </c>
      <c r="T44" s="89">
        <f>IF(S44&lt;&gt;"",O44*S44,"")</f>
        <v>943132057</v>
      </c>
      <c r="U44" s="94">
        <f>+IFERROR(T44/N44,"")</f>
        <v>4627.1430386702386</v>
      </c>
      <c r="V44" s="94">
        <f>IFERROR(U44*J44,"")</f>
        <v>4627.1430386702386</v>
      </c>
      <c r="W44" s="95">
        <v>56</v>
      </c>
      <c r="X44" s="1499" t="s">
        <v>129</v>
      </c>
      <c r="Y44" s="1500"/>
      <c r="Z44" s="1501"/>
      <c r="AA44" s="1499" t="s">
        <v>22</v>
      </c>
      <c r="AB44" s="1500"/>
      <c r="AC44" s="1501"/>
      <c r="AD44" s="1499" t="s">
        <v>22</v>
      </c>
      <c r="AE44" s="1500"/>
      <c r="AF44" s="1501"/>
      <c r="AG44" s="1393" t="s">
        <v>22</v>
      </c>
      <c r="AH44" s="1505" t="str">
        <f>IF(V44="","",IF(SUM(V44:V46)&gt;=[5]PARÁMETROS!$H$5,"CUMPLE","NO CUMPLE"))</f>
        <v>CUMPLE</v>
      </c>
      <c r="AI44" s="1505" t="str">
        <f>IF(V44+V45="","",IF(V44+V45&gt;=[5]PARÁMETROS!$F$5,"CUMPLE","NO CUMPLE"))</f>
        <v>CUMPLE</v>
      </c>
      <c r="AJ44" s="1393" t="str">
        <f>+IF(V44="","",IF(V44&gt;=[5]PARÁMETROS!$D$5,"CUMPLE","NO CUMPLE"))</f>
        <v>CUMPLE</v>
      </c>
      <c r="AK44" s="96"/>
    </row>
    <row r="45" spans="1:37" s="33" customFormat="1" ht="78.75" customHeight="1" thickBot="1">
      <c r="A45" s="1612"/>
      <c r="B45" s="1608"/>
      <c r="C45" s="19" t="s">
        <v>270</v>
      </c>
      <c r="D45" s="20">
        <v>106</v>
      </c>
      <c r="E45" s="101" t="str">
        <f>+IFERROR(INDEX([4]CONSOLIDADO!$D$4:$D$108,MATCH('Concur - Exp. General'!C45,[4]CONSOLIDADO!$C$4:$C$108,0)),"")</f>
        <v>ARREDONDO MADRID INGENIEROS CIVILES (AIM ) LIMITADA</v>
      </c>
      <c r="F45" s="22" t="s">
        <v>1719</v>
      </c>
      <c r="G45" s="23" t="s">
        <v>1721</v>
      </c>
      <c r="H45" s="1388" t="s">
        <v>22</v>
      </c>
      <c r="I45" s="1388" t="s">
        <v>22</v>
      </c>
      <c r="J45" s="34">
        <v>1</v>
      </c>
      <c r="K45" s="25">
        <v>38295</v>
      </c>
      <c r="L45" s="25">
        <v>39634</v>
      </c>
      <c r="M45" s="26">
        <f t="shared" ref="M45:M79" si="4">IF(L45="","",YEAR(L45))</f>
        <v>2008</v>
      </c>
      <c r="N45" s="27">
        <f>+IFERROR(INDEX([5]PARÁMETROS!$B$11:$B$37,MATCH(M45,[5]PARÁMETROS!$A$11:$A$37,0)),"")</f>
        <v>461500</v>
      </c>
      <c r="O45" s="28">
        <v>5529917538</v>
      </c>
      <c r="P45" s="27" t="s">
        <v>151</v>
      </c>
      <c r="Q45" s="19" t="s">
        <v>140</v>
      </c>
      <c r="R45" s="30" t="s">
        <v>140</v>
      </c>
      <c r="S45" s="31">
        <v>1</v>
      </c>
      <c r="T45" s="27">
        <f t="shared" ref="T45:T72" si="5">IF(S45&lt;&gt;"",O45*S45,"")</f>
        <v>5529917538</v>
      </c>
      <c r="U45" s="16">
        <f t="shared" ref="U45:U79" si="6">+IFERROR(T45/N45,"")</f>
        <v>11982.486539544961</v>
      </c>
      <c r="V45" s="16">
        <f t="shared" ref="V45:V79" si="7">IFERROR(U45*J45,"")</f>
        <v>11982.486539544961</v>
      </c>
      <c r="W45" s="32">
        <v>1</v>
      </c>
      <c r="X45" s="1496" t="s">
        <v>22</v>
      </c>
      <c r="Y45" s="1497"/>
      <c r="Z45" s="1498"/>
      <c r="AA45" s="1496" t="s">
        <v>22</v>
      </c>
      <c r="AB45" s="1497"/>
      <c r="AC45" s="1498"/>
      <c r="AD45" s="1496" t="s">
        <v>22</v>
      </c>
      <c r="AE45" s="1497"/>
      <c r="AF45" s="1498"/>
      <c r="AG45" s="1388" t="s">
        <v>22</v>
      </c>
      <c r="AH45" s="1506"/>
      <c r="AI45" s="1506"/>
      <c r="AJ45" s="1388" t="str">
        <f>+IF(V45="","",IF(V45&gt;=[5]PARÁMETROS!$D$5,"CUMPLE","NO CUMPLE"))</f>
        <v>CUMPLE</v>
      </c>
      <c r="AK45" s="97"/>
    </row>
    <row r="46" spans="1:37" s="33" customFormat="1" ht="79.5" customHeight="1" thickBot="1">
      <c r="A46" s="1612"/>
      <c r="B46" s="1609"/>
      <c r="C46" s="19" t="s">
        <v>278</v>
      </c>
      <c r="D46" s="20">
        <v>115</v>
      </c>
      <c r="E46" s="101" t="str">
        <f>+IFERROR(INDEX([4]CONSOLIDADO!$D$4:$D$108,MATCH('Concur - Exp. General'!C46,[4]CONSOLIDADO!$C$4:$C$108,0)),"")</f>
        <v>INGENIERIA INTEGRAL DE OBRAS INGEOBRAS S.A.S.</v>
      </c>
      <c r="F46" s="22" t="s">
        <v>1722</v>
      </c>
      <c r="G46" s="23" t="s">
        <v>1723</v>
      </c>
      <c r="H46" s="1388" t="s">
        <v>22</v>
      </c>
      <c r="I46" s="1388" t="s">
        <v>22</v>
      </c>
      <c r="J46" s="24">
        <v>1</v>
      </c>
      <c r="K46" s="25">
        <v>41295</v>
      </c>
      <c r="L46" s="25">
        <v>41841</v>
      </c>
      <c r="M46" s="26">
        <f t="shared" si="4"/>
        <v>2014</v>
      </c>
      <c r="N46" s="27">
        <f>+IFERROR(INDEX([5]PARÁMETROS!$B$11:$B$37,MATCH(M46,[5]PARÁMETROS!$A$11:$A$37,0)),"")</f>
        <v>616000</v>
      </c>
      <c r="O46" s="28">
        <v>3203004883</v>
      </c>
      <c r="P46" s="29" t="s">
        <v>151</v>
      </c>
      <c r="Q46" s="19" t="s">
        <v>140</v>
      </c>
      <c r="R46" s="30" t="s">
        <v>140</v>
      </c>
      <c r="S46" s="31">
        <v>1</v>
      </c>
      <c r="T46" s="27">
        <f t="shared" si="5"/>
        <v>3203004883</v>
      </c>
      <c r="U46" s="16">
        <f t="shared" si="6"/>
        <v>5199.6832516233762</v>
      </c>
      <c r="V46" s="16">
        <f t="shared" si="7"/>
        <v>5199.6832516233762</v>
      </c>
      <c r="W46" s="32">
        <v>145</v>
      </c>
      <c r="X46" s="1496" t="s">
        <v>22</v>
      </c>
      <c r="Y46" s="1497"/>
      <c r="Z46" s="1498"/>
      <c r="AA46" s="1496" t="s">
        <v>129</v>
      </c>
      <c r="AB46" s="1497"/>
      <c r="AC46" s="1498"/>
      <c r="AD46" s="1496" t="s">
        <v>22</v>
      </c>
      <c r="AE46" s="1497"/>
      <c r="AF46" s="1498"/>
      <c r="AG46" s="1388" t="s">
        <v>22</v>
      </c>
      <c r="AH46" s="1508"/>
      <c r="AI46" s="1508"/>
      <c r="AJ46" s="1388" t="str">
        <f>+IF(V46="","",IF(V46&gt;=[5]PARÁMETROS!$D$5,"CUMPLE","NO CUMPLE"))</f>
        <v>CUMPLE</v>
      </c>
      <c r="AK46" s="98"/>
    </row>
    <row r="47" spans="1:37" s="179" customFormat="1" ht="63.75" customHeight="1" thickBot="1">
      <c r="A47" s="1612"/>
      <c r="B47" s="1607" t="s">
        <v>1724</v>
      </c>
      <c r="C47" s="68" t="s">
        <v>289</v>
      </c>
      <c r="D47" s="185">
        <v>100</v>
      </c>
      <c r="E47" s="101" t="str">
        <f>+IFERROR(INDEX([4]CONSOLIDADO!$D$4:$D$108,MATCH('Concur - Exp. General'!C47,[4]CONSOLIDADO!$C$4:$C$108,0)),"")</f>
        <v xml:space="preserve">GETINSA INGENIERIA SL SUCURSAL COLOMBIA </v>
      </c>
      <c r="F47" s="22" t="s">
        <v>1725</v>
      </c>
      <c r="G47" s="23" t="s">
        <v>1726</v>
      </c>
      <c r="H47" s="1394" t="s">
        <v>22</v>
      </c>
      <c r="I47" s="1394" t="s">
        <v>22</v>
      </c>
      <c r="J47" s="73">
        <v>0.4</v>
      </c>
      <c r="K47" s="74">
        <v>39186</v>
      </c>
      <c r="L47" s="74">
        <v>40939</v>
      </c>
      <c r="M47" s="116">
        <f t="shared" si="4"/>
        <v>2012</v>
      </c>
      <c r="N47" s="75">
        <f>+IFERROR(INDEX([5]PARÁMETROS!$B$11:$B$37,MATCH(M47,[5]PARÁMETROS!$A$11:$A$37,0)),"")</f>
        <v>566700</v>
      </c>
      <c r="O47" s="201">
        <v>3333357.67</v>
      </c>
      <c r="P47" s="77" t="s">
        <v>1727</v>
      </c>
      <c r="Q47" s="202">
        <v>1.31515</v>
      </c>
      <c r="R47" s="79">
        <f>+O47*Q47</f>
        <v>4383865.3397005005</v>
      </c>
      <c r="S47" s="79">
        <v>1815.08</v>
      </c>
      <c r="T47" s="203">
        <f>IF(S47&lt;&gt;"",R47*S47,"")</f>
        <v>7957066300.7835836</v>
      </c>
      <c r="U47" s="80">
        <f>+IFERROR(T47/N47,"")</f>
        <v>14041.055762808512</v>
      </c>
      <c r="V47" s="80">
        <f>IFERROR(U47*J47,"")</f>
        <v>5616.4223051234048</v>
      </c>
      <c r="W47" s="116">
        <v>26</v>
      </c>
      <c r="X47" s="1496" t="s">
        <v>22</v>
      </c>
      <c r="Y47" s="1497"/>
      <c r="Z47" s="1498"/>
      <c r="AA47" s="1496" t="s">
        <v>22</v>
      </c>
      <c r="AB47" s="1497"/>
      <c r="AC47" s="1498"/>
      <c r="AD47" s="1496" t="s">
        <v>22</v>
      </c>
      <c r="AE47" s="1497"/>
      <c r="AF47" s="1498"/>
      <c r="AG47" s="1388" t="s">
        <v>22</v>
      </c>
      <c r="AH47" s="1606" t="str">
        <f>IF(V47="","",IF(SUM(V47:V52)&gt;=[5]PARÁMETROS!$H$5,"CUMPLE","NO CUMPLE"))</f>
        <v>CUMPLE</v>
      </c>
      <c r="AI47" s="1606" t="str">
        <f>IF(V47="","",IF(V47+V48+V49+V50&gt;=[5]PARÁMETROS!$F$5,"CUMPLE","NO CUMPLE"))</f>
        <v>CUMPLE</v>
      </c>
      <c r="AJ47" s="1394" t="str">
        <f>+IF(V47="","",IF(V47&gt;=[5]PARÁMETROS!$D$5,"CUMPLE","NO CUMPLE"))</f>
        <v>CUMPLE</v>
      </c>
      <c r="AK47" s="122"/>
    </row>
    <row r="48" spans="1:37" s="180" customFormat="1" ht="78.75" customHeight="1" thickBot="1">
      <c r="A48" s="1612"/>
      <c r="B48" s="1608"/>
      <c r="C48" s="19" t="s">
        <v>289</v>
      </c>
      <c r="D48" s="170">
        <v>104</v>
      </c>
      <c r="E48" s="101" t="str">
        <f>+IFERROR(INDEX([4]CONSOLIDADO!$D$4:$D$108,MATCH('Concur - Exp. General'!C48,[4]CONSOLIDADO!$C$4:$C$108,0)),"")</f>
        <v xml:space="preserve">GETINSA INGENIERIA SL SUCURSAL COLOMBIA </v>
      </c>
      <c r="F48" s="22" t="s">
        <v>1725</v>
      </c>
      <c r="G48" s="23" t="s">
        <v>1728</v>
      </c>
      <c r="H48" s="1388" t="s">
        <v>22</v>
      </c>
      <c r="I48" s="1388" t="s">
        <v>22</v>
      </c>
      <c r="J48" s="24">
        <v>1</v>
      </c>
      <c r="K48" s="25">
        <v>39087</v>
      </c>
      <c r="L48" s="25">
        <v>40334</v>
      </c>
      <c r="M48" s="26">
        <f t="shared" si="4"/>
        <v>2010</v>
      </c>
      <c r="N48" s="27">
        <f>+IFERROR(INDEX([5]PARÁMETROS!$B$11:$B$37,MATCH(M48,[5]PARÁMETROS!$A$11:$A$37,0)),"")</f>
        <v>515000</v>
      </c>
      <c r="O48" s="204">
        <v>1306037.8500000001</v>
      </c>
      <c r="P48" s="29" t="s">
        <v>1727</v>
      </c>
      <c r="Q48" s="19">
        <v>1.2085600000000001</v>
      </c>
      <c r="R48" s="31">
        <f>+O48*Q48</f>
        <v>1578425.1039960003</v>
      </c>
      <c r="S48" s="31">
        <v>1965.83</v>
      </c>
      <c r="T48" s="27">
        <f>IF(S48&lt;&gt;"",R48*S48,"")</f>
        <v>3102915422.188457</v>
      </c>
      <c r="U48" s="16">
        <f>+IFERROR(T48/N48,"")</f>
        <v>6025.0784896863242</v>
      </c>
      <c r="V48" s="16">
        <f>IFERROR(U48*J48,"")</f>
        <v>6025.0784896863242</v>
      </c>
      <c r="W48" s="26">
        <v>28</v>
      </c>
      <c r="X48" s="1496" t="s">
        <v>22</v>
      </c>
      <c r="Y48" s="1497"/>
      <c r="Z48" s="1498"/>
      <c r="AA48" s="1496" t="s">
        <v>22</v>
      </c>
      <c r="AB48" s="1497"/>
      <c r="AC48" s="1498"/>
      <c r="AD48" s="1496" t="s">
        <v>22</v>
      </c>
      <c r="AE48" s="1497"/>
      <c r="AF48" s="1498"/>
      <c r="AG48" s="1388" t="s">
        <v>22</v>
      </c>
      <c r="AH48" s="1506"/>
      <c r="AI48" s="1506"/>
      <c r="AJ48" s="1388" t="str">
        <f>+IF(V48="","",IF(V48&gt;=[5]PARÁMETROS!$D$5,"CUMPLE","NO CUMPLE"))</f>
        <v>CUMPLE</v>
      </c>
      <c r="AK48" s="97"/>
    </row>
    <row r="49" spans="1:37" s="58" customFormat="1" ht="78.75" customHeight="1" thickBot="1">
      <c r="A49" s="1612"/>
      <c r="B49" s="1608"/>
      <c r="C49" s="19" t="s">
        <v>289</v>
      </c>
      <c r="D49" s="170">
        <v>111</v>
      </c>
      <c r="E49" s="101" t="str">
        <f>+IFERROR(INDEX([4]CONSOLIDADO!$D$4:$D$108,MATCH('Concur - Exp. General'!C49,[4]CONSOLIDADO!$C$4:$C$108,0)),"")</f>
        <v xml:space="preserve">GETINSA INGENIERIA SL SUCURSAL COLOMBIA </v>
      </c>
      <c r="F49" s="22" t="s">
        <v>1725</v>
      </c>
      <c r="G49" s="23" t="s">
        <v>1729</v>
      </c>
      <c r="H49" s="1388" t="s">
        <v>22</v>
      </c>
      <c r="I49" s="1388" t="s">
        <v>22</v>
      </c>
      <c r="J49" s="24">
        <v>0.6</v>
      </c>
      <c r="K49" s="25">
        <v>36857</v>
      </c>
      <c r="L49" s="25">
        <v>39172</v>
      </c>
      <c r="M49" s="26">
        <f t="shared" si="4"/>
        <v>2007</v>
      </c>
      <c r="N49" s="27">
        <f>+IFERROR(INDEX([5]PARÁMETROS!$B$11:$B$37,MATCH(M49,[5]PARÁMETROS!$A$11:$A$37,0)),"")</f>
        <v>433700</v>
      </c>
      <c r="O49" s="204">
        <v>4056429.75</v>
      </c>
      <c r="P49" s="29" t="s">
        <v>1727</v>
      </c>
      <c r="Q49" s="19">
        <v>1.3297000000000001</v>
      </c>
      <c r="R49" s="31">
        <f>+O49*Q49</f>
        <v>5393834.6385750007</v>
      </c>
      <c r="S49" s="31">
        <v>2186.21</v>
      </c>
      <c r="T49" s="27">
        <f>IF(S49&lt;&gt;"",R49*S49,"")</f>
        <v>11792055225.199053</v>
      </c>
      <c r="U49" s="16">
        <f>+IFERROR(T49/N49,"")</f>
        <v>27189.428695409391</v>
      </c>
      <c r="V49" s="16">
        <f>IFERROR(U49*J49,"")</f>
        <v>16313.657217245634</v>
      </c>
      <c r="W49" s="26">
        <v>29</v>
      </c>
      <c r="X49" s="1496" t="s">
        <v>22</v>
      </c>
      <c r="Y49" s="1497"/>
      <c r="Z49" s="1498"/>
      <c r="AA49" s="1496" t="s">
        <v>22</v>
      </c>
      <c r="AB49" s="1497"/>
      <c r="AC49" s="1498"/>
      <c r="AD49" s="1496" t="s">
        <v>22</v>
      </c>
      <c r="AE49" s="1497"/>
      <c r="AF49" s="1498"/>
      <c r="AG49" s="1388" t="s">
        <v>22</v>
      </c>
      <c r="AH49" s="1506"/>
      <c r="AI49" s="1506"/>
      <c r="AJ49" s="1388" t="str">
        <f>+IF(V49="","",IF(V49&gt;=[5]PARÁMETROS!$D$5,"CUMPLE","NO CUMPLE"))</f>
        <v>CUMPLE</v>
      </c>
      <c r="AK49" s="97"/>
    </row>
    <row r="50" spans="1:37" s="58" customFormat="1" ht="79.5" customHeight="1" thickBot="1">
      <c r="A50" s="1612"/>
      <c r="B50" s="1608"/>
      <c r="C50" s="19" t="s">
        <v>289</v>
      </c>
      <c r="D50" s="170">
        <v>115</v>
      </c>
      <c r="E50" s="101" t="str">
        <f>+IFERROR(INDEX([4]CONSOLIDADO!$D$4:$D$108,MATCH('Concur - Exp. General'!C50,[4]CONSOLIDADO!$C$4:$C$108,0)),"")</f>
        <v xml:space="preserve">GETINSA INGENIERIA SL SUCURSAL COLOMBIA </v>
      </c>
      <c r="F50" s="22" t="s">
        <v>1725</v>
      </c>
      <c r="G50" s="23" t="s">
        <v>1730</v>
      </c>
      <c r="H50" s="1388" t="s">
        <v>22</v>
      </c>
      <c r="I50" s="1388" t="s">
        <v>22</v>
      </c>
      <c r="J50" s="24">
        <v>1</v>
      </c>
      <c r="K50" s="25">
        <v>38681</v>
      </c>
      <c r="L50" s="25">
        <v>39777</v>
      </c>
      <c r="M50" s="26">
        <f t="shared" si="4"/>
        <v>2008</v>
      </c>
      <c r="N50" s="27">
        <f>+IFERROR(INDEX([5]PARÁMETROS!$B$11:$B$37,MATCH(M50,[5]PARÁMETROS!$A$11:$A$37,0)),"")</f>
        <v>461500</v>
      </c>
      <c r="O50" s="204">
        <v>763582.06</v>
      </c>
      <c r="P50" s="29" t="s">
        <v>1727</v>
      </c>
      <c r="Q50" s="19">
        <v>1.2687600000000001</v>
      </c>
      <c r="R50" s="30">
        <f>+O50*Q50</f>
        <v>968802.3744456002</v>
      </c>
      <c r="S50" s="31">
        <v>2314.7199999999998</v>
      </c>
      <c r="T50" s="27">
        <f>IF(S50&lt;&gt;"",R50*S50,"")</f>
        <v>2242506232.1767197</v>
      </c>
      <c r="U50" s="16">
        <f>+IFERROR(T50/N50,"")</f>
        <v>4859.168433752372</v>
      </c>
      <c r="V50" s="16">
        <f>IFERROR(U50*J50,"")</f>
        <v>4859.168433752372</v>
      </c>
      <c r="W50" s="26">
        <v>30</v>
      </c>
      <c r="X50" s="1496" t="s">
        <v>22</v>
      </c>
      <c r="Y50" s="1497"/>
      <c r="Z50" s="1498"/>
      <c r="AA50" s="1496" t="s">
        <v>22</v>
      </c>
      <c r="AB50" s="1497"/>
      <c r="AC50" s="1498"/>
      <c r="AD50" s="1496" t="s">
        <v>22</v>
      </c>
      <c r="AE50" s="1497"/>
      <c r="AF50" s="1498"/>
      <c r="AG50" s="1388" t="s">
        <v>22</v>
      </c>
      <c r="AH50" s="1506"/>
      <c r="AI50" s="1506"/>
      <c r="AJ50" s="1388" t="str">
        <f>+IF(V50="","",IF(V50&gt;=[5]PARÁMETROS!$D$5,"CUMPLE","NO CUMPLE"))</f>
        <v>CUMPLE</v>
      </c>
      <c r="AK50" s="97"/>
    </row>
    <row r="51" spans="1:37" s="58" customFormat="1" ht="63" customHeight="1" thickBot="1">
      <c r="A51" s="1612"/>
      <c r="B51" s="1608"/>
      <c r="C51" s="19" t="s">
        <v>305</v>
      </c>
      <c r="D51" s="170">
        <v>122</v>
      </c>
      <c r="E51" s="101" t="str">
        <f>+IFERROR(INDEX([4]CONSOLIDADO!$D$4:$D$108,MATCH('Concur - Exp. General'!C51,[4]CONSOLIDADO!$C$4:$C$108,0)),"")</f>
        <v xml:space="preserve">EUROESTUDIOS INGENIEROS DE CONSULTA S.A.S. </v>
      </c>
      <c r="F51" s="22" t="s">
        <v>1731</v>
      </c>
      <c r="G51" s="23" t="s">
        <v>1732</v>
      </c>
      <c r="H51" s="1388" t="s">
        <v>22</v>
      </c>
      <c r="I51" s="1388" t="s">
        <v>22</v>
      </c>
      <c r="J51" s="24">
        <v>0.75</v>
      </c>
      <c r="K51" s="25">
        <v>39521</v>
      </c>
      <c r="L51" s="25">
        <v>40999</v>
      </c>
      <c r="M51" s="26">
        <f t="shared" si="4"/>
        <v>2012</v>
      </c>
      <c r="N51" s="27">
        <f>+IFERROR(INDEX([5]PARÁMETROS!$B$11:$B$37,MATCH(M51,[5]PARÁMETROS!$A$11:$A$37,0)),"")</f>
        <v>566700</v>
      </c>
      <c r="O51" s="28">
        <v>7072964150</v>
      </c>
      <c r="P51" s="29" t="s">
        <v>151</v>
      </c>
      <c r="Q51" s="19" t="s">
        <v>140</v>
      </c>
      <c r="R51" s="30" t="s">
        <v>140</v>
      </c>
      <c r="S51" s="31">
        <v>1</v>
      </c>
      <c r="T51" s="27">
        <f t="shared" si="5"/>
        <v>7072964150</v>
      </c>
      <c r="U51" s="16">
        <f t="shared" si="6"/>
        <v>12480.967266631375</v>
      </c>
      <c r="V51" s="16">
        <f t="shared" si="7"/>
        <v>9360.7254499735318</v>
      </c>
      <c r="W51" s="26">
        <v>31</v>
      </c>
      <c r="X51" s="1496" t="s">
        <v>129</v>
      </c>
      <c r="Y51" s="1497"/>
      <c r="Z51" s="1498"/>
      <c r="AA51" s="1496" t="s">
        <v>22</v>
      </c>
      <c r="AB51" s="1497"/>
      <c r="AC51" s="1498"/>
      <c r="AD51" s="1496" t="s">
        <v>22</v>
      </c>
      <c r="AE51" s="1497"/>
      <c r="AF51" s="1498"/>
      <c r="AG51" s="1388" t="s">
        <v>22</v>
      </c>
      <c r="AH51" s="1506"/>
      <c r="AI51" s="1506"/>
      <c r="AJ51" s="1388" t="str">
        <f>+IF(V51="","",IF(V51&gt;=[5]PARÁMETROS!$D$5,"CUMPLE","NO CUMPLE"))</f>
        <v>CUMPLE</v>
      </c>
      <c r="AK51" s="97"/>
    </row>
    <row r="52" spans="1:37" s="58" customFormat="1" ht="63" customHeight="1" thickBot="1">
      <c r="A52" s="1612"/>
      <c r="B52" s="1609"/>
      <c r="C52" s="99" t="s">
        <v>305</v>
      </c>
      <c r="D52" s="178">
        <v>141</v>
      </c>
      <c r="E52" s="101" t="str">
        <f>+IFERROR(INDEX([4]CONSOLIDADO!$D$4:$D$108,MATCH('Concur - Exp. General'!C52,[4]CONSOLIDADO!$C$4:$C$108,0)),"")</f>
        <v xml:space="preserve">EUROESTUDIOS INGENIEROS DE CONSULTA S.A.S. </v>
      </c>
      <c r="F52" s="102" t="s">
        <v>263</v>
      </c>
      <c r="G52" s="103" t="s">
        <v>1733</v>
      </c>
      <c r="H52" s="1392" t="s">
        <v>22</v>
      </c>
      <c r="I52" s="1392" t="s">
        <v>22</v>
      </c>
      <c r="J52" s="104">
        <v>0.5</v>
      </c>
      <c r="K52" s="105">
        <v>39694</v>
      </c>
      <c r="L52" s="105">
        <v>40283</v>
      </c>
      <c r="M52" s="106">
        <f t="shared" si="4"/>
        <v>2010</v>
      </c>
      <c r="N52" s="107">
        <f>+IFERROR(INDEX([5]PARÁMETROS!$B$11:$B$37,MATCH(M52,[5]PARÁMETROS!$A$11:$A$37,0)),"")</f>
        <v>515000</v>
      </c>
      <c r="O52" s="108">
        <v>3136622318</v>
      </c>
      <c r="P52" s="109" t="s">
        <v>151</v>
      </c>
      <c r="Q52" s="99" t="s">
        <v>140</v>
      </c>
      <c r="R52" s="110" t="s">
        <v>140</v>
      </c>
      <c r="S52" s="111">
        <v>1</v>
      </c>
      <c r="T52" s="107">
        <f t="shared" si="5"/>
        <v>3136622318</v>
      </c>
      <c r="U52" s="112">
        <f t="shared" si="6"/>
        <v>6090.5287728155336</v>
      </c>
      <c r="V52" s="112">
        <f t="shared" si="7"/>
        <v>3045.2643864077668</v>
      </c>
      <c r="W52" s="106">
        <v>33</v>
      </c>
      <c r="X52" s="1493" t="s">
        <v>129</v>
      </c>
      <c r="Y52" s="1494"/>
      <c r="Z52" s="1495"/>
      <c r="AA52" s="1493" t="s">
        <v>22</v>
      </c>
      <c r="AB52" s="1494"/>
      <c r="AC52" s="1495"/>
      <c r="AD52" s="1493" t="s">
        <v>22</v>
      </c>
      <c r="AE52" s="1494"/>
      <c r="AF52" s="1495"/>
      <c r="AG52" s="1388" t="s">
        <v>22</v>
      </c>
      <c r="AH52" s="1507"/>
      <c r="AI52" s="1507"/>
      <c r="AJ52" s="1392" t="str">
        <f>+IF(V52="","",IF(V52&gt;=[5]PARÁMETROS!$D$5,"CUMPLE","NO CUMPLE"))</f>
        <v>CUMPLE</v>
      </c>
      <c r="AK52" s="113"/>
    </row>
    <row r="53" spans="1:37" s="58" customFormat="1" ht="63" customHeight="1" thickBot="1">
      <c r="A53" s="1612"/>
      <c r="B53" s="1607" t="s">
        <v>1734</v>
      </c>
      <c r="C53" s="81" t="s">
        <v>310</v>
      </c>
      <c r="D53" s="169">
        <v>65</v>
      </c>
      <c r="E53" s="101" t="str">
        <f>+IFERROR(INDEX([4]CONSOLIDADO!$D$4:$D$108,MATCH('Concur - Exp. General'!C53,[4]CONSOLIDADO!$C$4:$C$108,0)),"")</f>
        <v>INGENIERIA Y CONSULTORIA INGECON S.A.S.</v>
      </c>
      <c r="F53" s="84" t="s">
        <v>554</v>
      </c>
      <c r="G53" s="85" t="s">
        <v>556</v>
      </c>
      <c r="H53" s="1393" t="s">
        <v>22</v>
      </c>
      <c r="I53" s="1393" t="s">
        <v>22</v>
      </c>
      <c r="J53" s="86">
        <v>1</v>
      </c>
      <c r="K53" s="87">
        <v>39156</v>
      </c>
      <c r="L53" s="87">
        <v>39964</v>
      </c>
      <c r="M53" s="88">
        <f t="shared" si="4"/>
        <v>2009</v>
      </c>
      <c r="N53" s="89">
        <f>+IFERROR(INDEX([5]PARÁMETROS!$B$11:$B$37,MATCH(M53,[5]PARÁMETROS!$A$11:$A$37,0)),"")</f>
        <v>496900</v>
      </c>
      <c r="O53" s="176">
        <v>2927141854</v>
      </c>
      <c r="P53" s="161" t="s">
        <v>151</v>
      </c>
      <c r="Q53" s="151" t="s">
        <v>140</v>
      </c>
      <c r="R53" s="162" t="s">
        <v>140</v>
      </c>
      <c r="S53" s="163">
        <v>1</v>
      </c>
      <c r="T53" s="89">
        <f t="shared" si="5"/>
        <v>2927141854</v>
      </c>
      <c r="U53" s="94">
        <f t="shared" si="6"/>
        <v>5890.8067095995166</v>
      </c>
      <c r="V53" s="94">
        <f t="shared" si="7"/>
        <v>5890.8067095995166</v>
      </c>
      <c r="W53" s="88">
        <v>21</v>
      </c>
      <c r="X53" s="1499" t="s">
        <v>129</v>
      </c>
      <c r="Y53" s="1500"/>
      <c r="Z53" s="1501"/>
      <c r="AA53" s="1499" t="s">
        <v>22</v>
      </c>
      <c r="AB53" s="1500"/>
      <c r="AC53" s="1501"/>
      <c r="AD53" s="1499" t="s">
        <v>22</v>
      </c>
      <c r="AE53" s="1500"/>
      <c r="AF53" s="1501"/>
      <c r="AG53" s="1393" t="s">
        <v>22</v>
      </c>
      <c r="AH53" s="1505" t="str">
        <f>IF(V53="","",IF(SUM(V53:V57)&gt;=[5]PARÁMETROS!$H$5,"CUMPLE","NO CUMPLE"))</f>
        <v>CUMPLE</v>
      </c>
      <c r="AI53" s="1505" t="str">
        <f>IF(V53="","",IF(V53+V54&gt;=[5]PARÁMETROS!$F$5,"CUMPLE","NO CUMPLE"))</f>
        <v>CUMPLE</v>
      </c>
      <c r="AJ53" s="1393" t="str">
        <f>+IF(V53="","",IF(V53&gt;=[5]PARÁMETROS!$D$5,"CUMPLE","NO CUMPLE"))</f>
        <v>CUMPLE</v>
      </c>
      <c r="AK53" s="96"/>
    </row>
    <row r="54" spans="1:37" s="58" customFormat="1" ht="63" customHeight="1" thickBot="1">
      <c r="A54" s="1612"/>
      <c r="B54" s="1608"/>
      <c r="C54" s="19" t="s">
        <v>310</v>
      </c>
      <c r="D54" s="170">
        <v>80</v>
      </c>
      <c r="E54" s="101" t="str">
        <f>+IFERROR(INDEX([4]CONSOLIDADO!$D$4:$D$108,MATCH('Concur - Exp. General'!C54,[4]CONSOLIDADO!$C$4:$C$108,0)),"")</f>
        <v>INGENIERIA Y CONSULTORIA INGECON S.A.S.</v>
      </c>
      <c r="F54" s="22" t="s">
        <v>263</v>
      </c>
      <c r="G54" s="22" t="s">
        <v>559</v>
      </c>
      <c r="H54" s="1388" t="s">
        <v>22</v>
      </c>
      <c r="I54" s="1388" t="s">
        <v>22</v>
      </c>
      <c r="J54" s="34">
        <v>1</v>
      </c>
      <c r="K54" s="25">
        <v>39147</v>
      </c>
      <c r="L54" s="25">
        <v>40016</v>
      </c>
      <c r="M54" s="26">
        <f t="shared" si="4"/>
        <v>2009</v>
      </c>
      <c r="N54" s="27">
        <f>+IFERROR(INDEX([5]PARÁMETROS!$B$11:$B$37,MATCH(M54,[5]PARÁMETROS!$A$11:$A$37,0)),"")</f>
        <v>496900</v>
      </c>
      <c r="O54" s="205">
        <v>4704397815</v>
      </c>
      <c r="P54" s="27" t="s">
        <v>151</v>
      </c>
      <c r="Q54" s="19" t="s">
        <v>140</v>
      </c>
      <c r="R54" s="30" t="s">
        <v>140</v>
      </c>
      <c r="S54" s="31">
        <v>1</v>
      </c>
      <c r="T54" s="27">
        <f t="shared" si="5"/>
        <v>4704397815</v>
      </c>
      <c r="U54" s="16">
        <f t="shared" si="6"/>
        <v>9467.4940933789494</v>
      </c>
      <c r="V54" s="16">
        <f t="shared" si="7"/>
        <v>9467.4940933789494</v>
      </c>
      <c r="W54" s="26">
        <v>5</v>
      </c>
      <c r="X54" s="1496" t="s">
        <v>22</v>
      </c>
      <c r="Y54" s="1497"/>
      <c r="Z54" s="1498"/>
      <c r="AA54" s="1496" t="s">
        <v>22</v>
      </c>
      <c r="AB54" s="1497"/>
      <c r="AC54" s="1498"/>
      <c r="AD54" s="1496" t="s">
        <v>22</v>
      </c>
      <c r="AE54" s="1497"/>
      <c r="AF54" s="1498"/>
      <c r="AG54" s="1388" t="s">
        <v>22</v>
      </c>
      <c r="AH54" s="1506"/>
      <c r="AI54" s="1506"/>
      <c r="AJ54" s="1388" t="str">
        <f>+IF(V54="","",IF(V54&gt;=[5]PARÁMETROS!$D$5,"CUMPLE","NO CUMPLE"))</f>
        <v>CUMPLE</v>
      </c>
      <c r="AK54" s="97"/>
    </row>
    <row r="55" spans="1:37" s="58" customFormat="1" ht="47.25" customHeight="1" thickBot="1">
      <c r="A55" s="1612"/>
      <c r="B55" s="1608"/>
      <c r="C55" s="19" t="s">
        <v>314</v>
      </c>
      <c r="D55" s="170">
        <v>85</v>
      </c>
      <c r="E55" s="101" t="str">
        <f>+IFERROR(INDEX([4]CONSOLIDADO!$D$4:$D$108,MATCH('Concur - Exp. General'!C55,[4]CONSOLIDADO!$C$4:$C$108,0)),"")</f>
        <v>CONSULTORIA INTEGRAL EN INGENIERIA S.A. DE CV</v>
      </c>
      <c r="F55" s="22" t="s">
        <v>1735</v>
      </c>
      <c r="G55" s="23" t="s">
        <v>1736</v>
      </c>
      <c r="H55" s="1388" t="s">
        <v>22</v>
      </c>
      <c r="I55" s="1388" t="s">
        <v>22</v>
      </c>
      <c r="J55" s="24">
        <v>1</v>
      </c>
      <c r="K55" s="25">
        <v>37809</v>
      </c>
      <c r="L55" s="25">
        <v>38260</v>
      </c>
      <c r="M55" s="26">
        <f t="shared" si="4"/>
        <v>2004</v>
      </c>
      <c r="N55" s="27">
        <f>+IFERROR(INDEX([5]PARÁMETROS!$B$11:$B$37,MATCH(M55,[5]PARÁMETROS!$A$11:$A$37,0)),"")</f>
        <v>358000</v>
      </c>
      <c r="O55" s="177">
        <v>19507017.219999999</v>
      </c>
      <c r="P55" s="27" t="s">
        <v>1737</v>
      </c>
      <c r="Q55" s="19">
        <v>8.7510000000000004E-2</v>
      </c>
      <c r="R55" s="30">
        <f>+O55*Q55</f>
        <v>1707059.0769221999</v>
      </c>
      <c r="S55" s="31">
        <v>2595.17</v>
      </c>
      <c r="T55" s="27">
        <f>IF(S55&lt;&gt;"",R55*S55,"")</f>
        <v>4430108504.6561861</v>
      </c>
      <c r="U55" s="16">
        <f t="shared" si="6"/>
        <v>12374.604761609458</v>
      </c>
      <c r="V55" s="16">
        <f t="shared" si="7"/>
        <v>12374.604761609458</v>
      </c>
      <c r="W55" s="26">
        <v>21</v>
      </c>
      <c r="X55" s="1496" t="s">
        <v>22</v>
      </c>
      <c r="Y55" s="1497"/>
      <c r="Z55" s="1498"/>
      <c r="AA55" s="1496" t="s">
        <v>22</v>
      </c>
      <c r="AB55" s="1497"/>
      <c r="AC55" s="1498"/>
      <c r="AD55" s="1496" t="s">
        <v>22</v>
      </c>
      <c r="AE55" s="1497"/>
      <c r="AF55" s="1498"/>
      <c r="AG55" s="1388" t="s">
        <v>22</v>
      </c>
      <c r="AH55" s="1506"/>
      <c r="AI55" s="1506"/>
      <c r="AJ55" s="1388" t="str">
        <f>+IF(V55="","",IF(V55&gt;=[5]PARÁMETROS!$D$5,"CUMPLE","NO CUMPLE"))</f>
        <v>CUMPLE</v>
      </c>
      <c r="AK55" s="97"/>
    </row>
    <row r="56" spans="1:37" s="58" customFormat="1" ht="65.099999999999994" customHeight="1" thickBot="1">
      <c r="A56" s="1612"/>
      <c r="B56" s="1608"/>
      <c r="C56" s="19" t="s">
        <v>314</v>
      </c>
      <c r="D56" s="170">
        <v>144</v>
      </c>
      <c r="E56" s="101" t="str">
        <f>+IFERROR(INDEX([4]CONSOLIDADO!$D$4:$D$108,MATCH('Concur - Exp. General'!C56,[4]CONSOLIDADO!$C$4:$C$108,0)),"")</f>
        <v>CONSULTORIA INTEGRAL EN INGENIERIA S.A. DE CV</v>
      </c>
      <c r="F56" s="22" t="s">
        <v>1735</v>
      </c>
      <c r="G56" s="37" t="s">
        <v>1738</v>
      </c>
      <c r="H56" s="1388" t="s">
        <v>22</v>
      </c>
      <c r="I56" s="1388" t="s">
        <v>22</v>
      </c>
      <c r="J56" s="24">
        <v>1</v>
      </c>
      <c r="K56" s="25">
        <v>38467</v>
      </c>
      <c r="L56" s="25">
        <v>38960</v>
      </c>
      <c r="M56" s="26">
        <f t="shared" si="4"/>
        <v>2006</v>
      </c>
      <c r="N56" s="27">
        <f>+IFERROR(INDEX([5]PARÁMETROS!$B$11:$B$37,MATCH(M56,[5]PARÁMETROS!$A$11:$A$37,0)),"")</f>
        <v>408000</v>
      </c>
      <c r="O56" s="177">
        <v>13552658.470000001</v>
      </c>
      <c r="P56" s="27" t="s">
        <v>1737</v>
      </c>
      <c r="Q56" s="19">
        <v>9.1899999999999996E-2</v>
      </c>
      <c r="R56" s="30">
        <f>+O56*Q56</f>
        <v>1245489.313393</v>
      </c>
      <c r="S56" s="31">
        <v>2396.63</v>
      </c>
      <c r="T56" s="27">
        <f>IF(S56&lt;&gt;"",R56*S56,"")</f>
        <v>2984977053.1570659</v>
      </c>
      <c r="U56" s="16">
        <f t="shared" si="6"/>
        <v>7316.1202283261418</v>
      </c>
      <c r="V56" s="16">
        <f t="shared" si="7"/>
        <v>7316.1202283261418</v>
      </c>
      <c r="W56" s="26">
        <v>25</v>
      </c>
      <c r="X56" s="1496" t="s">
        <v>22</v>
      </c>
      <c r="Y56" s="1497"/>
      <c r="Z56" s="1498"/>
      <c r="AA56" s="1496" t="s">
        <v>22</v>
      </c>
      <c r="AB56" s="1497"/>
      <c r="AC56" s="1498"/>
      <c r="AD56" s="1496" t="s">
        <v>22</v>
      </c>
      <c r="AE56" s="1497"/>
      <c r="AF56" s="1498"/>
      <c r="AG56" s="1388" t="s">
        <v>22</v>
      </c>
      <c r="AH56" s="1506"/>
      <c r="AI56" s="1506"/>
      <c r="AJ56" s="1388" t="str">
        <f>+IF(V56="","",IF(V56&gt;=[5]PARÁMETROS!$D$5,"CUMPLE","NO CUMPLE"))</f>
        <v>CUMPLE</v>
      </c>
      <c r="AK56" s="97"/>
    </row>
    <row r="57" spans="1:37" s="58" customFormat="1" ht="65.099999999999994" customHeight="1" thickBot="1">
      <c r="A57" s="1612"/>
      <c r="B57" s="1609"/>
      <c r="C57" s="19" t="s">
        <v>314</v>
      </c>
      <c r="D57" s="170">
        <v>162</v>
      </c>
      <c r="E57" s="101" t="str">
        <f>+IFERROR(INDEX([4]CONSOLIDADO!$D$4:$D$108,MATCH('Concur - Exp. General'!C57,[4]CONSOLIDADO!$C$4:$C$108,0)),"")</f>
        <v>CONSULTORIA INTEGRAL EN INGENIERIA S.A. DE CV</v>
      </c>
      <c r="F57" s="22" t="s">
        <v>1735</v>
      </c>
      <c r="G57" s="23" t="s">
        <v>1739</v>
      </c>
      <c r="H57" s="1388" t="s">
        <v>22</v>
      </c>
      <c r="I57" s="1388" t="s">
        <v>22</v>
      </c>
      <c r="J57" s="24">
        <v>1</v>
      </c>
      <c r="K57" s="25">
        <v>40735</v>
      </c>
      <c r="L57" s="25">
        <v>41079</v>
      </c>
      <c r="M57" s="26">
        <f t="shared" si="4"/>
        <v>2012</v>
      </c>
      <c r="N57" s="27">
        <f>+IFERROR(INDEX([5]PARÁMETROS!$B$11:$B$37,MATCH(M57,[5]PARÁMETROS!$A$11:$A$37,0)),"")</f>
        <v>566700</v>
      </c>
      <c r="O57" s="177">
        <v>17552043.609999999</v>
      </c>
      <c r="P57" s="27" t="s">
        <v>1737</v>
      </c>
      <c r="Q57" s="19">
        <v>7.2069999999999995E-2</v>
      </c>
      <c r="R57" s="30">
        <f>+O57*Q57</f>
        <v>1264975.7829727</v>
      </c>
      <c r="S57" s="206">
        <v>1786.21</v>
      </c>
      <c r="T57" s="27">
        <f>IF(S57&lt;&gt;"",R57*S57,"")</f>
        <v>2259512393.3036666</v>
      </c>
      <c r="U57" s="16">
        <f t="shared" si="6"/>
        <v>3987.1402740491735</v>
      </c>
      <c r="V57" s="16">
        <f t="shared" si="7"/>
        <v>3987.1402740491735</v>
      </c>
      <c r="W57" s="26">
        <v>10</v>
      </c>
      <c r="X57" s="1493" t="s">
        <v>129</v>
      </c>
      <c r="Y57" s="1494"/>
      <c r="Z57" s="1495"/>
      <c r="AA57" s="1493" t="s">
        <v>129</v>
      </c>
      <c r="AB57" s="1494"/>
      <c r="AC57" s="1495"/>
      <c r="AD57" s="1493" t="s">
        <v>22</v>
      </c>
      <c r="AE57" s="1494"/>
      <c r="AF57" s="1495"/>
      <c r="AG57" s="1388" t="s">
        <v>22</v>
      </c>
      <c r="AH57" s="1507"/>
      <c r="AI57" s="1507"/>
      <c r="AJ57" s="1388" t="str">
        <f>+IF(V57="","",IF(V57&gt;=[5]PARÁMETROS!$D$5,"CUMPLE","NO CUMPLE"))</f>
        <v>CUMPLE</v>
      </c>
      <c r="AK57" s="97"/>
    </row>
    <row r="58" spans="1:37" s="58" customFormat="1" ht="65.099999999999994" customHeight="1" thickBot="1">
      <c r="A58" s="1612"/>
      <c r="B58" s="1607" t="s">
        <v>1740</v>
      </c>
      <c r="C58" s="81" t="s">
        <v>318</v>
      </c>
      <c r="D58" s="169">
        <v>133</v>
      </c>
      <c r="E58" s="101" t="str">
        <f>+IFERROR(INDEX([4]CONSOLIDADO!$D$4:$D$108,MATCH('Concur - Exp. General'!C58,[4]CONSOLIDADO!$C$4:$C$108,0)),"")</f>
        <v>PROYECTOS E INTERVENTORIAS LIMITADA</v>
      </c>
      <c r="F58" s="84" t="s">
        <v>554</v>
      </c>
      <c r="G58" s="85" t="s">
        <v>1741</v>
      </c>
      <c r="H58" s="1393" t="s">
        <v>22</v>
      </c>
      <c r="I58" s="1393" t="s">
        <v>22</v>
      </c>
      <c r="J58" s="86">
        <v>0.7</v>
      </c>
      <c r="K58" s="87">
        <v>39860</v>
      </c>
      <c r="L58" s="87">
        <v>41337</v>
      </c>
      <c r="M58" s="88">
        <f t="shared" si="4"/>
        <v>2013</v>
      </c>
      <c r="N58" s="89">
        <f>+IFERROR(INDEX([5]PARÁMETROS!$B$11:$B$37,MATCH(M58,[5]PARÁMETROS!$A$11:$A$37,0)),"")</f>
        <v>589500</v>
      </c>
      <c r="O58" s="176">
        <v>13157956981</v>
      </c>
      <c r="P58" s="27" t="s">
        <v>151</v>
      </c>
      <c r="Q58" s="19" t="s">
        <v>140</v>
      </c>
      <c r="R58" s="30" t="s">
        <v>140</v>
      </c>
      <c r="S58" s="31">
        <v>1</v>
      </c>
      <c r="T58" s="89">
        <f>IF(S58&lt;&gt;"",O58*S58,"")</f>
        <v>13157956981</v>
      </c>
      <c r="U58" s="94">
        <f>+IFERROR(T58/N58,"")</f>
        <v>22320.537711620018</v>
      </c>
      <c r="V58" s="94">
        <f t="shared" si="7"/>
        <v>15624.376398134011</v>
      </c>
      <c r="W58" s="207">
        <v>70</v>
      </c>
      <c r="X58" s="1499" t="s">
        <v>22</v>
      </c>
      <c r="Y58" s="1500"/>
      <c r="Z58" s="1501"/>
      <c r="AA58" s="1499" t="s">
        <v>22</v>
      </c>
      <c r="AB58" s="1500"/>
      <c r="AC58" s="1501"/>
      <c r="AD58" s="1499" t="s">
        <v>22</v>
      </c>
      <c r="AE58" s="1500"/>
      <c r="AF58" s="1501"/>
      <c r="AG58" s="1393" t="s">
        <v>22</v>
      </c>
      <c r="AH58" s="1505" t="str">
        <f>IF(V58="","",IF(SUM(V58:V60)&gt;=[5]PARÁMETROS!$H$5,"CUMPLE","NO CUMPLE"))</f>
        <v>CUMPLE</v>
      </c>
      <c r="AI58" s="1505" t="str">
        <f>IF(V58="","",IF(V58+V59&gt;=[5]PARÁMETROS!$F$5,"CUMPLE","NO CUMPLE"))</f>
        <v>CUMPLE</v>
      </c>
      <c r="AJ58" s="1393" t="str">
        <f>+IF(V58="","",IF(V58&gt;=[5]PARÁMETROS!$D$5,"CUMPLE","NO CUMPLE"))</f>
        <v>CUMPLE</v>
      </c>
      <c r="AK58" s="96"/>
    </row>
    <row r="59" spans="1:37" s="58" customFormat="1" ht="65.099999999999994" customHeight="1" thickBot="1">
      <c r="A59" s="1612"/>
      <c r="B59" s="1608"/>
      <c r="C59" s="19" t="s">
        <v>318</v>
      </c>
      <c r="D59" s="170">
        <v>222</v>
      </c>
      <c r="E59" s="101" t="str">
        <f>+IFERROR(INDEX([4]CONSOLIDADO!$D$4:$D$108,MATCH('Concur - Exp. General'!C59,[4]CONSOLIDADO!$C$4:$C$108,0)),"")</f>
        <v>PROYECTOS E INTERVENTORIAS LIMITADA</v>
      </c>
      <c r="F59" s="22" t="s">
        <v>1742</v>
      </c>
      <c r="G59" s="23" t="s">
        <v>1743</v>
      </c>
      <c r="H59" s="1388" t="s">
        <v>22</v>
      </c>
      <c r="I59" s="1388" t="s">
        <v>22</v>
      </c>
      <c r="J59" s="24">
        <v>1</v>
      </c>
      <c r="K59" s="25">
        <v>39804</v>
      </c>
      <c r="L59" s="25">
        <v>40390</v>
      </c>
      <c r="M59" s="26">
        <f t="shared" si="4"/>
        <v>2010</v>
      </c>
      <c r="N59" s="27">
        <f>+IFERROR(INDEX([5]PARÁMETROS!$B$11:$B$37,MATCH(M59,[5]PARÁMETROS!$A$11:$A$37,0)),"")</f>
        <v>515000</v>
      </c>
      <c r="O59" s="177">
        <v>2584495082</v>
      </c>
      <c r="P59" s="27" t="s">
        <v>151</v>
      </c>
      <c r="Q59" s="19" t="s">
        <v>140</v>
      </c>
      <c r="R59" s="30" t="s">
        <v>140</v>
      </c>
      <c r="S59" s="31">
        <v>1</v>
      </c>
      <c r="T59" s="27">
        <f t="shared" si="5"/>
        <v>2584495082</v>
      </c>
      <c r="U59" s="16">
        <f t="shared" si="6"/>
        <v>5018.4370524271844</v>
      </c>
      <c r="V59" s="16">
        <f t="shared" si="7"/>
        <v>5018.4370524271844</v>
      </c>
      <c r="W59" s="208">
        <v>49</v>
      </c>
      <c r="X59" s="1496" t="s">
        <v>22</v>
      </c>
      <c r="Y59" s="1497"/>
      <c r="Z59" s="1498"/>
      <c r="AA59" s="1496" t="s">
        <v>22</v>
      </c>
      <c r="AB59" s="1497"/>
      <c r="AC59" s="1498"/>
      <c r="AD59" s="1496" t="s">
        <v>22</v>
      </c>
      <c r="AE59" s="1497"/>
      <c r="AF59" s="1498"/>
      <c r="AG59" s="1388" t="s">
        <v>22</v>
      </c>
      <c r="AH59" s="1506"/>
      <c r="AI59" s="1506"/>
      <c r="AJ59" s="1388" t="str">
        <f>+IF(V59="","",IF(V59&gt;=[5]PARÁMETROS!$D$5,"CUMPLE","NO CUMPLE"))</f>
        <v>CUMPLE</v>
      </c>
      <c r="AK59" s="97"/>
    </row>
    <row r="60" spans="1:37" s="58" customFormat="1" ht="65.099999999999994" customHeight="1" thickBot="1">
      <c r="A60" s="1612"/>
      <c r="B60" s="1609"/>
      <c r="C60" s="19" t="s">
        <v>327</v>
      </c>
      <c r="D60" s="170">
        <v>254</v>
      </c>
      <c r="E60" s="101" t="str">
        <f>+IFERROR(INDEX([4]CONSOLIDADO!$D$4:$D$108,MATCH('Concur - Exp. General'!C60,[4]CONSOLIDADO!$C$4:$C$108,0)),"")</f>
        <v>INENIERA DE ESTUDIOS Y ASESORIAS S.A.S. INESAS</v>
      </c>
      <c r="F60" s="22" t="s">
        <v>1744</v>
      </c>
      <c r="G60" s="23" t="s">
        <v>1745</v>
      </c>
      <c r="H60" s="1388" t="s">
        <v>22</v>
      </c>
      <c r="I60" s="1388" t="s">
        <v>22</v>
      </c>
      <c r="J60" s="24">
        <v>0.75</v>
      </c>
      <c r="K60" s="25">
        <v>38343</v>
      </c>
      <c r="L60" s="25">
        <v>40512</v>
      </c>
      <c r="M60" s="26">
        <f t="shared" si="4"/>
        <v>2010</v>
      </c>
      <c r="N60" s="27">
        <f>+IFERROR(INDEX([5]PARÁMETROS!$B$11:$B$37,MATCH(M60,[5]PARÁMETROS!$A$11:$A$37,0)),"")</f>
        <v>515000</v>
      </c>
      <c r="O60" s="177">
        <v>5720807974</v>
      </c>
      <c r="P60" s="27" t="s">
        <v>151</v>
      </c>
      <c r="Q60" s="19" t="s">
        <v>140</v>
      </c>
      <c r="R60" s="30" t="s">
        <v>140</v>
      </c>
      <c r="S60" s="31">
        <v>1</v>
      </c>
      <c r="T60" s="27">
        <f t="shared" si="5"/>
        <v>5720807974</v>
      </c>
      <c r="U60" s="16">
        <f t="shared" si="6"/>
        <v>11108.364998058252</v>
      </c>
      <c r="V60" s="16">
        <f t="shared" si="7"/>
        <v>8331.2737485436883</v>
      </c>
      <c r="W60" s="208">
        <v>16</v>
      </c>
      <c r="X60" s="1493" t="s">
        <v>22</v>
      </c>
      <c r="Y60" s="1494"/>
      <c r="Z60" s="1495"/>
      <c r="AA60" s="1493" t="s">
        <v>129</v>
      </c>
      <c r="AB60" s="1494"/>
      <c r="AC60" s="1495"/>
      <c r="AD60" s="1493" t="s">
        <v>22</v>
      </c>
      <c r="AE60" s="1494"/>
      <c r="AF60" s="1495"/>
      <c r="AG60" s="1388" t="s">
        <v>22</v>
      </c>
      <c r="AH60" s="1507"/>
      <c r="AI60" s="1507"/>
      <c r="AJ60" s="1388" t="str">
        <f>+IF(V60="","",IF(V60&gt;=[5]PARÁMETROS!$D$5,"CUMPLE","NO CUMPLE"))</f>
        <v>CUMPLE</v>
      </c>
      <c r="AK60" s="97"/>
    </row>
    <row r="61" spans="1:37" s="58" customFormat="1" ht="65.099999999999994" customHeight="1" thickBot="1">
      <c r="A61" s="1612"/>
      <c r="B61" s="1607" t="s">
        <v>1746</v>
      </c>
      <c r="C61" s="81" t="s">
        <v>329</v>
      </c>
      <c r="D61" s="169">
        <v>196</v>
      </c>
      <c r="E61" s="101" t="str">
        <f>+IFERROR(INDEX([4]CONSOLIDADO!$D$4:$D$108,MATCH('Concur - Exp. General'!C61,[4]CONSOLIDADO!$C$4:$C$108,0)),"")</f>
        <v>COMPAÑÍA COLOMBIANA DE CONSULTORES S.A.S. (CCC)</v>
      </c>
      <c r="F61" s="84" t="s">
        <v>1719</v>
      </c>
      <c r="G61" s="85" t="s">
        <v>1747</v>
      </c>
      <c r="H61" s="1393" t="s">
        <v>22</v>
      </c>
      <c r="I61" s="1393" t="s">
        <v>22</v>
      </c>
      <c r="J61" s="86">
        <v>1</v>
      </c>
      <c r="K61" s="87">
        <v>34991</v>
      </c>
      <c r="L61" s="87">
        <v>35919</v>
      </c>
      <c r="M61" s="88">
        <f t="shared" si="4"/>
        <v>1998</v>
      </c>
      <c r="N61" s="89">
        <f>+IFERROR(INDEX([5]PARÁMETROS!$B$11:$B$37,MATCH(M61,[5]PARÁMETROS!$A$11:$A$37,0)),"")</f>
        <v>203826</v>
      </c>
      <c r="O61" s="176">
        <v>2786155923</v>
      </c>
      <c r="P61" s="27" t="s">
        <v>151</v>
      </c>
      <c r="Q61" s="19" t="s">
        <v>140</v>
      </c>
      <c r="R61" s="30" t="s">
        <v>140</v>
      </c>
      <c r="S61" s="31">
        <v>1</v>
      </c>
      <c r="T61" s="89">
        <f t="shared" si="5"/>
        <v>2786155923</v>
      </c>
      <c r="U61" s="94">
        <f t="shared" si="6"/>
        <v>13669.28617055724</v>
      </c>
      <c r="V61" s="94">
        <f t="shared" si="7"/>
        <v>13669.28617055724</v>
      </c>
      <c r="W61" s="207">
        <v>2</v>
      </c>
      <c r="X61" s="1499" t="s">
        <v>22</v>
      </c>
      <c r="Y61" s="1500"/>
      <c r="Z61" s="1501"/>
      <c r="AA61" s="1499" t="s">
        <v>22</v>
      </c>
      <c r="AB61" s="1500"/>
      <c r="AC61" s="1501"/>
      <c r="AD61" s="1499" t="s">
        <v>22</v>
      </c>
      <c r="AE61" s="1500"/>
      <c r="AF61" s="1501"/>
      <c r="AG61" s="1393" t="s">
        <v>22</v>
      </c>
      <c r="AH61" s="1505" t="str">
        <f>IF(V61="","",IF(SUM(V61:V66)&gt;=[5]PARÁMETROS!$H$5,"CUMPLE","NO CUMPLE"))</f>
        <v>CUMPLE</v>
      </c>
      <c r="AI61" s="1505" t="str">
        <f>IF(V61="","",IF(V61+V62+V63&gt;=[5]PARÁMETROS!$F$5,"CUMPLE","NO CUMPLE"))</f>
        <v>CUMPLE</v>
      </c>
      <c r="AJ61" s="1393" t="str">
        <f>+IF(V61="","",IF(V61&gt;=[5]PARÁMETROS!$D$5,"CUMPLE","NO CUMPLE"))</f>
        <v>CUMPLE</v>
      </c>
      <c r="AK61" s="96"/>
    </row>
    <row r="62" spans="1:37" s="58" customFormat="1" ht="65.099999999999994" customHeight="1" thickBot="1">
      <c r="A62" s="1612"/>
      <c r="B62" s="1608"/>
      <c r="C62" s="19" t="s">
        <v>329</v>
      </c>
      <c r="D62" s="170">
        <v>200</v>
      </c>
      <c r="E62" s="101" t="str">
        <f>+IFERROR(INDEX([4]CONSOLIDADO!$D$4:$D$108,MATCH('Concur - Exp. General'!C62,[4]CONSOLIDADO!$C$4:$C$108,0)),"")</f>
        <v>COMPAÑÍA COLOMBIANA DE CONSULTORES S.A.S. (CCC)</v>
      </c>
      <c r="F62" s="22" t="s">
        <v>1744</v>
      </c>
      <c r="G62" s="23" t="s">
        <v>1748</v>
      </c>
      <c r="H62" s="1388" t="s">
        <v>22</v>
      </c>
      <c r="I62" s="1388" t="s">
        <v>22</v>
      </c>
      <c r="J62" s="24">
        <v>1</v>
      </c>
      <c r="K62" s="25">
        <v>36950</v>
      </c>
      <c r="L62" s="25">
        <v>37422</v>
      </c>
      <c r="M62" s="26">
        <f t="shared" si="4"/>
        <v>2002</v>
      </c>
      <c r="N62" s="27">
        <f>+IFERROR(INDEX([5]PARÁMETROS!$B$11:$B$37,MATCH(M62,[5]PARÁMETROS!$A$11:$A$37,0)),"")</f>
        <v>309000</v>
      </c>
      <c r="O62" s="177">
        <v>1329179800.6500001</v>
      </c>
      <c r="P62" s="27" t="s">
        <v>151</v>
      </c>
      <c r="Q62" s="19" t="s">
        <v>140</v>
      </c>
      <c r="R62" s="30" t="s">
        <v>140</v>
      </c>
      <c r="S62" s="31">
        <v>1</v>
      </c>
      <c r="T62" s="27">
        <f t="shared" si="5"/>
        <v>1329179800.6500001</v>
      </c>
      <c r="U62" s="16">
        <f t="shared" si="6"/>
        <v>4301.5527529126221</v>
      </c>
      <c r="V62" s="16">
        <f t="shared" si="7"/>
        <v>4301.5527529126221</v>
      </c>
      <c r="W62" s="208">
        <v>9</v>
      </c>
      <c r="X62" s="1496" t="s">
        <v>22</v>
      </c>
      <c r="Y62" s="1497"/>
      <c r="Z62" s="1498"/>
      <c r="AA62" s="1496" t="s">
        <v>22</v>
      </c>
      <c r="AB62" s="1497"/>
      <c r="AC62" s="1498"/>
      <c r="AD62" s="1496" t="s">
        <v>22</v>
      </c>
      <c r="AE62" s="1497"/>
      <c r="AF62" s="1498"/>
      <c r="AG62" s="1388" t="s">
        <v>22</v>
      </c>
      <c r="AH62" s="1506"/>
      <c r="AI62" s="1506"/>
      <c r="AJ62" s="1388" t="str">
        <f>+IF(V62="","",IF(V62&gt;=[5]PARÁMETROS!$D$5,"CUMPLE","NO CUMPLE"))</f>
        <v>CUMPLE</v>
      </c>
      <c r="AK62" s="97"/>
    </row>
    <row r="63" spans="1:37" s="58" customFormat="1" ht="65.099999999999994" customHeight="1" thickBot="1">
      <c r="A63" s="1612"/>
      <c r="B63" s="1608"/>
      <c r="C63" s="19" t="s">
        <v>329</v>
      </c>
      <c r="D63" s="170">
        <v>202</v>
      </c>
      <c r="E63" s="101" t="str">
        <f>+IFERROR(INDEX([4]CONSOLIDADO!$D$4:$D$108,MATCH('Concur - Exp. General'!C63,[4]CONSOLIDADO!$C$4:$C$108,0)),"")</f>
        <v>COMPAÑÍA COLOMBIANA DE CONSULTORES S.A.S. (CCC)</v>
      </c>
      <c r="F63" s="22" t="s">
        <v>1744</v>
      </c>
      <c r="G63" s="23" t="s">
        <v>1749</v>
      </c>
      <c r="H63" s="1388" t="s">
        <v>22</v>
      </c>
      <c r="I63" s="1388" t="s">
        <v>22</v>
      </c>
      <c r="J63" s="38">
        <v>1</v>
      </c>
      <c r="K63" s="25">
        <v>37308</v>
      </c>
      <c r="L63" s="25">
        <v>37970</v>
      </c>
      <c r="M63" s="26">
        <f t="shared" si="4"/>
        <v>2003</v>
      </c>
      <c r="N63" s="27">
        <f>+IFERROR(INDEX([5]PARÁMETROS!$B$11:$B$37,MATCH(M63,[5]PARÁMETROS!$A$11:$A$37,0)),"")</f>
        <v>332000</v>
      </c>
      <c r="O63" s="177">
        <v>1207857240.7</v>
      </c>
      <c r="P63" s="27" t="s">
        <v>151</v>
      </c>
      <c r="Q63" s="19" t="s">
        <v>140</v>
      </c>
      <c r="R63" s="30" t="s">
        <v>140</v>
      </c>
      <c r="S63" s="31">
        <v>1</v>
      </c>
      <c r="T63" s="27">
        <f t="shared" si="5"/>
        <v>1207857240.7</v>
      </c>
      <c r="U63" s="16">
        <f t="shared" si="6"/>
        <v>3638.1242189759037</v>
      </c>
      <c r="V63" s="16">
        <f t="shared" si="7"/>
        <v>3638.1242189759037</v>
      </c>
      <c r="W63" s="208">
        <v>13</v>
      </c>
      <c r="X63" s="1496" t="s">
        <v>22</v>
      </c>
      <c r="Y63" s="1497"/>
      <c r="Z63" s="1498"/>
      <c r="AA63" s="1496" t="s">
        <v>22</v>
      </c>
      <c r="AB63" s="1497"/>
      <c r="AC63" s="1498"/>
      <c r="AD63" s="1496" t="s">
        <v>22</v>
      </c>
      <c r="AE63" s="1497"/>
      <c r="AF63" s="1498"/>
      <c r="AG63" s="1388" t="s">
        <v>22</v>
      </c>
      <c r="AH63" s="1506"/>
      <c r="AI63" s="1506"/>
      <c r="AJ63" s="1388" t="str">
        <f>+IF(V63="","",IF(V63&gt;=[5]PARÁMETROS!$D$5,"CUMPLE","NO CUMPLE"))</f>
        <v>CUMPLE</v>
      </c>
      <c r="AK63" s="121"/>
    </row>
    <row r="64" spans="1:37" s="58" customFormat="1" ht="65.099999999999994" customHeight="1" thickBot="1">
      <c r="A64" s="1612"/>
      <c r="B64" s="1608"/>
      <c r="C64" s="19" t="s">
        <v>338</v>
      </c>
      <c r="D64" s="170">
        <v>204</v>
      </c>
      <c r="E64" s="101" t="str">
        <f>+IFERROR(INDEX([4]CONSOLIDADO!$D$4:$D$108,MATCH('Concur - Exp. General'!C64,[4]CONSOLIDADO!$C$4:$C$108,0)),"")</f>
        <v>CONSULTORES EN INGENIERIA S.A.S.</v>
      </c>
      <c r="F64" s="22" t="s">
        <v>1744</v>
      </c>
      <c r="G64" s="23" t="s">
        <v>1750</v>
      </c>
      <c r="H64" s="1388" t="s">
        <v>22</v>
      </c>
      <c r="I64" s="1388" t="s">
        <v>22</v>
      </c>
      <c r="J64" s="39">
        <v>1</v>
      </c>
      <c r="K64" s="40">
        <v>35019</v>
      </c>
      <c r="L64" s="41">
        <v>36114</v>
      </c>
      <c r="M64" s="26">
        <f t="shared" si="4"/>
        <v>1998</v>
      </c>
      <c r="N64" s="27">
        <f>+IFERROR(INDEX([5]PARÁMETROS!$B$11:$B$37,MATCH(M64,[5]PARÁMETROS!$A$11:$A$37,0)),"")</f>
        <v>203826</v>
      </c>
      <c r="O64" s="209">
        <v>1910421539</v>
      </c>
      <c r="P64" s="27" t="s">
        <v>151</v>
      </c>
      <c r="Q64" s="19" t="s">
        <v>140</v>
      </c>
      <c r="R64" s="30" t="s">
        <v>140</v>
      </c>
      <c r="S64" s="31">
        <v>1</v>
      </c>
      <c r="T64" s="27">
        <f t="shared" si="5"/>
        <v>1910421539</v>
      </c>
      <c r="U64" s="16">
        <f t="shared" si="6"/>
        <v>9372.805917792628</v>
      </c>
      <c r="V64" s="16">
        <f t="shared" si="7"/>
        <v>9372.805917792628</v>
      </c>
      <c r="W64" s="210">
        <v>3</v>
      </c>
      <c r="X64" s="1496" t="s">
        <v>129</v>
      </c>
      <c r="Y64" s="1497"/>
      <c r="Z64" s="1498"/>
      <c r="AA64" s="1496" t="s">
        <v>22</v>
      </c>
      <c r="AB64" s="1497"/>
      <c r="AC64" s="1498"/>
      <c r="AD64" s="1496" t="s">
        <v>22</v>
      </c>
      <c r="AE64" s="1497"/>
      <c r="AF64" s="1498"/>
      <c r="AG64" s="1388" t="s">
        <v>22</v>
      </c>
      <c r="AH64" s="1506"/>
      <c r="AI64" s="1506"/>
      <c r="AJ64" s="1388" t="str">
        <f>+IF(V64="","",IF(V64&gt;=[5]PARÁMETROS!$D$5,"CUMPLE","NO CUMPLE"))</f>
        <v>CUMPLE</v>
      </c>
      <c r="AK64" s="97" t="s">
        <v>1751</v>
      </c>
    </row>
    <row r="65" spans="1:37" s="58" customFormat="1" ht="65.099999999999994" customHeight="1" thickBot="1">
      <c r="A65" s="1612"/>
      <c r="B65" s="1608"/>
      <c r="C65" s="19" t="s">
        <v>338</v>
      </c>
      <c r="D65" s="170">
        <v>208</v>
      </c>
      <c r="E65" s="101" t="str">
        <f>+IFERROR(INDEX([4]CONSOLIDADO!$D$4:$D$108,MATCH('Concur - Exp. General'!C65,[4]CONSOLIDADO!$C$4:$C$108,0)),"")</f>
        <v>CONSULTORES EN INGENIERIA S.A.S.</v>
      </c>
      <c r="F65" s="22" t="s">
        <v>1731</v>
      </c>
      <c r="G65" s="23" t="s">
        <v>1752</v>
      </c>
      <c r="H65" s="1388" t="s">
        <v>22</v>
      </c>
      <c r="I65" s="1388" t="s">
        <v>22</v>
      </c>
      <c r="J65" s="24">
        <v>0.4</v>
      </c>
      <c r="K65" s="25">
        <v>41012</v>
      </c>
      <c r="L65" s="25" t="s">
        <v>1753</v>
      </c>
      <c r="M65" s="26">
        <v>2015</v>
      </c>
      <c r="N65" s="27">
        <f>+IFERROR(INDEX([5]PARÁMETROS!$B$11:$B$37,MATCH(M65,[5]PARÁMETROS!$A$11:$A$37,0)),"")</f>
        <v>644350</v>
      </c>
      <c r="O65" s="177">
        <v>24067899117</v>
      </c>
      <c r="P65" s="27" t="s">
        <v>151</v>
      </c>
      <c r="Q65" s="19" t="s">
        <v>140</v>
      </c>
      <c r="R65" s="30" t="s">
        <v>140</v>
      </c>
      <c r="S65" s="31">
        <v>1</v>
      </c>
      <c r="T65" s="27">
        <f t="shared" si="5"/>
        <v>24067899117</v>
      </c>
      <c r="U65" s="16">
        <f t="shared" si="6"/>
        <v>37352.214040505933</v>
      </c>
      <c r="V65" s="16">
        <f>IFERROR(U65*J65,"")</f>
        <v>14940.885616202373</v>
      </c>
      <c r="W65" s="208" t="s">
        <v>1754</v>
      </c>
      <c r="X65" s="1496" t="s">
        <v>311</v>
      </c>
      <c r="Y65" s="1497"/>
      <c r="Z65" s="1498"/>
      <c r="AA65" s="1496" t="s">
        <v>311</v>
      </c>
      <c r="AB65" s="1497"/>
      <c r="AC65" s="1498"/>
      <c r="AD65" s="1496" t="s">
        <v>311</v>
      </c>
      <c r="AE65" s="1497"/>
      <c r="AF65" s="1498"/>
      <c r="AG65" s="1388"/>
      <c r="AH65" s="1506"/>
      <c r="AI65" s="1506"/>
      <c r="AJ65" s="1388" t="str">
        <f>+IF(V65="","",IF(V65&gt;=[5]PARÁMETROS!$D$5,"CUMPLE","NO CUMPLE"))</f>
        <v>CUMPLE</v>
      </c>
      <c r="AK65" s="97" t="s">
        <v>1751</v>
      </c>
    </row>
    <row r="66" spans="1:37" s="58" customFormat="1" ht="65.099999999999994" customHeight="1" thickBot="1">
      <c r="A66" s="1612"/>
      <c r="B66" s="1609"/>
      <c r="C66" s="19" t="s">
        <v>338</v>
      </c>
      <c r="D66" s="178">
        <v>212</v>
      </c>
      <c r="E66" s="101" t="str">
        <f>+IFERROR(INDEX([4]CONSOLIDADO!$D$4:$D$108,MATCH('Concur - Exp. General'!C66,[4]CONSOLIDADO!$C$4:$C$108,0)),"")</f>
        <v>CONSULTORES EN INGENIERIA S.A.S.</v>
      </c>
      <c r="F66" s="22" t="s">
        <v>1744</v>
      </c>
      <c r="G66" s="103" t="s">
        <v>1755</v>
      </c>
      <c r="H66" s="1392" t="s">
        <v>22</v>
      </c>
      <c r="I66" s="1392" t="s">
        <v>22</v>
      </c>
      <c r="J66" s="211">
        <v>0.81799999999999995</v>
      </c>
      <c r="K66" s="105">
        <v>35507</v>
      </c>
      <c r="L66" s="105">
        <v>36543</v>
      </c>
      <c r="M66" s="106">
        <f t="shared" si="4"/>
        <v>2000</v>
      </c>
      <c r="N66" s="107">
        <f>+IFERROR(INDEX([5]PARÁMETROS!$B$11:$B$37,MATCH(M66,[5]PARÁMETROS!$A$11:$A$37,0)),"")</f>
        <v>260100</v>
      </c>
      <c r="O66" s="212">
        <v>4449058497.6599998</v>
      </c>
      <c r="P66" s="27" t="s">
        <v>151</v>
      </c>
      <c r="Q66" s="19" t="s">
        <v>140</v>
      </c>
      <c r="R66" s="30" t="s">
        <v>140</v>
      </c>
      <c r="S66" s="31">
        <v>1</v>
      </c>
      <c r="T66" s="107">
        <f t="shared" si="5"/>
        <v>4449058497.6599998</v>
      </c>
      <c r="U66" s="112">
        <f t="shared" si="6"/>
        <v>17105.184535409458</v>
      </c>
      <c r="V66" s="112">
        <f>IFERROR(U66*J66,"")</f>
        <v>13992.040949964936</v>
      </c>
      <c r="W66" s="213">
        <v>41</v>
      </c>
      <c r="X66" s="1493" t="s">
        <v>129</v>
      </c>
      <c r="Y66" s="1494"/>
      <c r="Z66" s="1495"/>
      <c r="AA66" s="1493" t="s">
        <v>22</v>
      </c>
      <c r="AB66" s="1494"/>
      <c r="AC66" s="1495"/>
      <c r="AD66" s="1493" t="s">
        <v>22</v>
      </c>
      <c r="AE66" s="1494"/>
      <c r="AF66" s="1495"/>
      <c r="AG66" s="1388" t="s">
        <v>22</v>
      </c>
      <c r="AH66" s="1507"/>
      <c r="AI66" s="1507"/>
      <c r="AJ66" s="1392" t="str">
        <f>+IF(V66="","",IF(V66&gt;=[5]PARÁMETROS!$D$5,"CUMPLE","NO CUMPLE"))</f>
        <v>CUMPLE</v>
      </c>
      <c r="AK66" s="97" t="s">
        <v>1751</v>
      </c>
    </row>
    <row r="67" spans="1:37" s="58" customFormat="1" ht="65.099999999999994" customHeight="1" thickBot="1">
      <c r="A67" s="1612"/>
      <c r="B67" s="1607" t="s">
        <v>1756</v>
      </c>
      <c r="C67" s="81" t="s">
        <v>340</v>
      </c>
      <c r="D67" s="169">
        <v>187</v>
      </c>
      <c r="E67" s="101" t="str">
        <f>+IFERROR(INDEX([4]CONSOLIDADO!$D$4:$D$108,MATCH('Concur - Exp. General'!C67,[4]CONSOLIDADO!$C$4:$C$108,0)),"")</f>
        <v>SEDIC</v>
      </c>
      <c r="F67" s="84" t="s">
        <v>1719</v>
      </c>
      <c r="G67" s="85" t="s">
        <v>1757</v>
      </c>
      <c r="H67" s="1393" t="s">
        <v>22</v>
      </c>
      <c r="I67" s="1393" t="s">
        <v>22</v>
      </c>
      <c r="J67" s="86">
        <v>1</v>
      </c>
      <c r="K67" s="87">
        <v>34358</v>
      </c>
      <c r="L67" s="87">
        <v>35828</v>
      </c>
      <c r="M67" s="88">
        <f t="shared" si="4"/>
        <v>1998</v>
      </c>
      <c r="N67" s="89">
        <f>+IFERROR(INDEX([5]PARÁMETROS!$B$11:$B$37,MATCH(M67,[5]PARÁMETROS!$A$11:$A$37,0)),"")</f>
        <v>203826</v>
      </c>
      <c r="O67" s="176">
        <v>2834448285</v>
      </c>
      <c r="P67" s="91" t="s">
        <v>151</v>
      </c>
      <c r="Q67" s="81" t="s">
        <v>140</v>
      </c>
      <c r="R67" s="92" t="s">
        <v>140</v>
      </c>
      <c r="S67" s="93">
        <v>1</v>
      </c>
      <c r="T67" s="89">
        <f t="shared" si="5"/>
        <v>2834448285</v>
      </c>
      <c r="U67" s="94">
        <f t="shared" si="6"/>
        <v>13906.215522062936</v>
      </c>
      <c r="V67" s="94">
        <f t="shared" si="7"/>
        <v>13906.215522062936</v>
      </c>
      <c r="W67" s="207">
        <v>4</v>
      </c>
      <c r="X67" s="1499" t="s">
        <v>129</v>
      </c>
      <c r="Y67" s="1500"/>
      <c r="Z67" s="1501"/>
      <c r="AA67" s="1499" t="s">
        <v>129</v>
      </c>
      <c r="AB67" s="1500"/>
      <c r="AC67" s="1501"/>
      <c r="AD67" s="1499" t="s">
        <v>22</v>
      </c>
      <c r="AE67" s="1500"/>
      <c r="AF67" s="1501"/>
      <c r="AG67" s="1393" t="s">
        <v>22</v>
      </c>
      <c r="AH67" s="1505" t="str">
        <f>IF(V67="","",IF(SUM(V67:V72)&gt;=[5]PARÁMETROS!$H$5,"CUMPLE","NO CUMPLE"))</f>
        <v>CUMPLE</v>
      </c>
      <c r="AI67" s="1505" t="str">
        <f>IF(V67="","",IF(V67+V68+V69+V70&gt;=[5]PARÁMETROS!$F$5,"CUMPLE","NO CUMPLE"))</f>
        <v>CUMPLE</v>
      </c>
      <c r="AJ67" s="1393" t="str">
        <f>+IF(V67="","",IF(V67&gt;=[5]PARÁMETROS!$D$5,"CUMPLE","NO CUMPLE"))</f>
        <v>CUMPLE</v>
      </c>
      <c r="AK67" s="96"/>
    </row>
    <row r="68" spans="1:37" s="58" customFormat="1" ht="65.099999999999994" customHeight="1" thickBot="1">
      <c r="A68" s="1612"/>
      <c r="B68" s="1608"/>
      <c r="C68" s="19" t="s">
        <v>340</v>
      </c>
      <c r="D68" s="170">
        <v>189</v>
      </c>
      <c r="E68" s="101" t="str">
        <f>+IFERROR(INDEX([4]CONSOLIDADO!$D$4:$D$108,MATCH('Concur - Exp. General'!C68,[4]CONSOLIDADO!$C$4:$C$108,0)),"")</f>
        <v>SEDIC</v>
      </c>
      <c r="F68" s="22" t="s">
        <v>1758</v>
      </c>
      <c r="G68" s="23" t="s">
        <v>1759</v>
      </c>
      <c r="H68" s="1388" t="s">
        <v>22</v>
      </c>
      <c r="I68" s="1388" t="s">
        <v>22</v>
      </c>
      <c r="J68" s="24">
        <v>1</v>
      </c>
      <c r="K68" s="25">
        <v>36298</v>
      </c>
      <c r="L68" s="25">
        <v>37425</v>
      </c>
      <c r="M68" s="26">
        <f t="shared" si="4"/>
        <v>2002</v>
      </c>
      <c r="N68" s="27">
        <f>+IFERROR(INDEX([5]PARÁMETROS!$B$11:$B$37,MATCH(M68,[5]PARÁMETROS!$A$11:$A$37,0)),"")</f>
        <v>309000</v>
      </c>
      <c r="O68" s="177">
        <v>3800380053</v>
      </c>
      <c r="P68" s="29" t="s">
        <v>151</v>
      </c>
      <c r="Q68" s="19" t="s">
        <v>140</v>
      </c>
      <c r="R68" s="30" t="s">
        <v>140</v>
      </c>
      <c r="S68" s="31">
        <v>1</v>
      </c>
      <c r="T68" s="27">
        <f t="shared" si="5"/>
        <v>3800380053</v>
      </c>
      <c r="U68" s="16">
        <f t="shared" si="6"/>
        <v>12298.964572815534</v>
      </c>
      <c r="V68" s="16">
        <f t="shared" si="7"/>
        <v>12298.964572815534</v>
      </c>
      <c r="W68" s="208">
        <v>11</v>
      </c>
      <c r="X68" s="1496" t="s">
        <v>22</v>
      </c>
      <c r="Y68" s="1497"/>
      <c r="Z68" s="1498"/>
      <c r="AA68" s="1496" t="s">
        <v>22</v>
      </c>
      <c r="AB68" s="1497"/>
      <c r="AC68" s="1498"/>
      <c r="AD68" s="1496" t="s">
        <v>22</v>
      </c>
      <c r="AE68" s="1497"/>
      <c r="AF68" s="1498"/>
      <c r="AG68" s="1388" t="s">
        <v>22</v>
      </c>
      <c r="AH68" s="1506"/>
      <c r="AI68" s="1506"/>
      <c r="AJ68" s="1388" t="str">
        <f>+IF(V68="","",IF(V68&gt;=[5]PARÁMETROS!$D$5,"CUMPLE","NO CUMPLE"))</f>
        <v>CUMPLE</v>
      </c>
      <c r="AK68" s="97"/>
    </row>
    <row r="69" spans="1:37" s="58" customFormat="1" ht="65.099999999999994" customHeight="1" thickBot="1">
      <c r="A69" s="1612"/>
      <c r="B69" s="1608"/>
      <c r="C69" s="19" t="s">
        <v>340</v>
      </c>
      <c r="D69" s="170">
        <v>200</v>
      </c>
      <c r="E69" s="101" t="str">
        <f>+IFERROR(INDEX([4]CONSOLIDADO!$D$4:$D$108,MATCH('Concur - Exp. General'!C69,[4]CONSOLIDADO!$C$4:$C$108,0)),"")</f>
        <v>SEDIC</v>
      </c>
      <c r="F69" s="22" t="s">
        <v>1744</v>
      </c>
      <c r="G69" s="23" t="s">
        <v>1760</v>
      </c>
      <c r="H69" s="1388" t="s">
        <v>22</v>
      </c>
      <c r="I69" s="1388" t="s">
        <v>22</v>
      </c>
      <c r="J69" s="24">
        <v>1</v>
      </c>
      <c r="K69" s="25">
        <v>33161</v>
      </c>
      <c r="L69" s="25">
        <v>35550</v>
      </c>
      <c r="M69" s="26">
        <f t="shared" si="4"/>
        <v>1997</v>
      </c>
      <c r="N69" s="27">
        <f>+IFERROR(INDEX([5]PARÁMETROS!$B$11:$B$37,MATCH(M69,[5]PARÁMETROS!$A$11:$A$37,0)),"")</f>
        <v>172005</v>
      </c>
      <c r="O69" s="177">
        <v>1546808187</v>
      </c>
      <c r="P69" s="29" t="s">
        <v>151</v>
      </c>
      <c r="Q69" s="19" t="s">
        <v>140</v>
      </c>
      <c r="R69" s="30" t="s">
        <v>140</v>
      </c>
      <c r="S69" s="31">
        <v>1</v>
      </c>
      <c r="T69" s="27">
        <f t="shared" si="5"/>
        <v>1546808187</v>
      </c>
      <c r="U69" s="16">
        <f t="shared" si="6"/>
        <v>8992.8094357722166</v>
      </c>
      <c r="V69" s="16">
        <f t="shared" si="7"/>
        <v>8992.8094357722166</v>
      </c>
      <c r="W69" s="208">
        <v>40</v>
      </c>
      <c r="X69" s="1496" t="s">
        <v>129</v>
      </c>
      <c r="Y69" s="1497"/>
      <c r="Z69" s="1498"/>
      <c r="AA69" s="1496" t="s">
        <v>22</v>
      </c>
      <c r="AB69" s="1497"/>
      <c r="AC69" s="1498"/>
      <c r="AD69" s="1496" t="s">
        <v>22</v>
      </c>
      <c r="AE69" s="1497"/>
      <c r="AF69" s="1498"/>
      <c r="AG69" s="1388" t="s">
        <v>22</v>
      </c>
      <c r="AH69" s="1506"/>
      <c r="AI69" s="1506"/>
      <c r="AJ69" s="1388" t="str">
        <f>+IF(V69="","",IF(V69&gt;=[5]PARÁMETROS!$D$5,"CUMPLE","NO CUMPLE"))</f>
        <v>CUMPLE</v>
      </c>
      <c r="AK69" s="97"/>
    </row>
    <row r="70" spans="1:37" s="58" customFormat="1" ht="65.099999999999994" customHeight="1" thickBot="1">
      <c r="A70" s="1612"/>
      <c r="B70" s="1608"/>
      <c r="C70" s="19" t="s">
        <v>340</v>
      </c>
      <c r="D70" s="170">
        <v>202</v>
      </c>
      <c r="E70" s="101" t="str">
        <f>+IFERROR(INDEX([4]CONSOLIDADO!$D$4:$D$108,MATCH('Concur - Exp. General'!C70,[4]CONSOLIDADO!$C$4:$C$108,0)),"")</f>
        <v>SEDIC</v>
      </c>
      <c r="F70" s="22" t="s">
        <v>1744</v>
      </c>
      <c r="G70" s="23" t="s">
        <v>1761</v>
      </c>
      <c r="H70" s="1388" t="s">
        <v>22</v>
      </c>
      <c r="I70" s="1388" t="s">
        <v>22</v>
      </c>
      <c r="J70" s="24">
        <v>0.5</v>
      </c>
      <c r="K70" s="25">
        <v>35136</v>
      </c>
      <c r="L70" s="25">
        <v>35971</v>
      </c>
      <c r="M70" s="26">
        <f t="shared" si="4"/>
        <v>1998</v>
      </c>
      <c r="N70" s="27">
        <f>+IFERROR(INDEX([5]PARÁMETROS!$B$11:$B$37,MATCH(M70,[5]PARÁMETROS!$A$11:$A$37,0)),"")</f>
        <v>203826</v>
      </c>
      <c r="O70" s="177">
        <v>2199833665</v>
      </c>
      <c r="P70" s="29" t="s">
        <v>151</v>
      </c>
      <c r="Q70" s="19" t="s">
        <v>140</v>
      </c>
      <c r="R70" s="30" t="s">
        <v>140</v>
      </c>
      <c r="S70" s="31">
        <v>1</v>
      </c>
      <c r="T70" s="27">
        <f t="shared" si="5"/>
        <v>2199833665</v>
      </c>
      <c r="U70" s="16">
        <f t="shared" si="6"/>
        <v>10792.703899404394</v>
      </c>
      <c r="V70" s="16">
        <f t="shared" si="7"/>
        <v>5396.3519497021971</v>
      </c>
      <c r="W70" s="208">
        <v>50</v>
      </c>
      <c r="X70" s="1496" t="s">
        <v>129</v>
      </c>
      <c r="Y70" s="1497"/>
      <c r="Z70" s="1498"/>
      <c r="AA70" s="1496" t="s">
        <v>22</v>
      </c>
      <c r="AB70" s="1497"/>
      <c r="AC70" s="1498"/>
      <c r="AD70" s="1496" t="s">
        <v>22</v>
      </c>
      <c r="AE70" s="1497"/>
      <c r="AF70" s="1498"/>
      <c r="AG70" s="1388" t="s">
        <v>22</v>
      </c>
      <c r="AH70" s="1506"/>
      <c r="AI70" s="1506"/>
      <c r="AJ70" s="1388" t="str">
        <f>+IF(V70="","",IF(V70&gt;=[5]PARÁMETROS!$D$5,"CUMPLE","NO CUMPLE"))</f>
        <v>CUMPLE</v>
      </c>
      <c r="AK70" s="97"/>
    </row>
    <row r="71" spans="1:37" s="58" customFormat="1" ht="65.099999999999994" customHeight="1" thickBot="1">
      <c r="A71" s="1612"/>
      <c r="B71" s="1608"/>
      <c r="C71" s="19" t="s">
        <v>347</v>
      </c>
      <c r="D71" s="170">
        <v>204</v>
      </c>
      <c r="E71" s="101" t="str">
        <f>+IFERROR(INDEX([4]CONSOLIDADO!$D$4:$D$108,MATCH('Concur - Exp. General'!C71,[4]CONSOLIDADO!$C$4:$C$108,0)),"")</f>
        <v>CB INGENIEROS</v>
      </c>
      <c r="F71" s="22" t="s">
        <v>1744</v>
      </c>
      <c r="G71" s="23" t="s">
        <v>1762</v>
      </c>
      <c r="H71" s="1388" t="s">
        <v>22</v>
      </c>
      <c r="I71" s="1388" t="s">
        <v>22</v>
      </c>
      <c r="J71" s="24">
        <v>0.2</v>
      </c>
      <c r="K71" s="25">
        <v>40079</v>
      </c>
      <c r="L71" s="25">
        <v>42094</v>
      </c>
      <c r="M71" s="26">
        <f t="shared" si="4"/>
        <v>2015</v>
      </c>
      <c r="N71" s="27">
        <f>+IFERROR(INDEX([5]PARÁMETROS!$B$11:$B$37,MATCH(M71,[5]PARÁMETROS!$A$11:$A$37,0)),"")</f>
        <v>644350</v>
      </c>
      <c r="O71" s="177">
        <v>14008976863</v>
      </c>
      <c r="P71" s="29" t="s">
        <v>151</v>
      </c>
      <c r="Q71" s="19" t="s">
        <v>140</v>
      </c>
      <c r="R71" s="30" t="s">
        <v>140</v>
      </c>
      <c r="S71" s="31">
        <v>1</v>
      </c>
      <c r="T71" s="27">
        <f t="shared" si="5"/>
        <v>14008976863</v>
      </c>
      <c r="U71" s="16">
        <f t="shared" si="6"/>
        <v>21741.253764258556</v>
      </c>
      <c r="V71" s="16">
        <f t="shared" si="7"/>
        <v>4348.2507528517117</v>
      </c>
      <c r="W71" s="208">
        <v>76</v>
      </c>
      <c r="X71" s="1496" t="s">
        <v>22</v>
      </c>
      <c r="Y71" s="1497"/>
      <c r="Z71" s="1498"/>
      <c r="AA71" s="1496" t="s">
        <v>22</v>
      </c>
      <c r="AB71" s="1497"/>
      <c r="AC71" s="1498"/>
      <c r="AD71" s="1496" t="s">
        <v>22</v>
      </c>
      <c r="AE71" s="1497"/>
      <c r="AF71" s="1498"/>
      <c r="AG71" s="1388" t="s">
        <v>22</v>
      </c>
      <c r="AH71" s="1506"/>
      <c r="AI71" s="1506"/>
      <c r="AJ71" s="1388" t="str">
        <f>+IF(V71="","",IF(V71&gt;=[5]PARÁMETROS!$D$5,"CUMPLE","NO CUMPLE"))</f>
        <v>CUMPLE</v>
      </c>
      <c r="AK71" s="97"/>
    </row>
    <row r="72" spans="1:37" s="58" customFormat="1" ht="65.099999999999994" customHeight="1" thickBot="1">
      <c r="A72" s="1612"/>
      <c r="B72" s="1609"/>
      <c r="C72" s="99" t="s">
        <v>347</v>
      </c>
      <c r="D72" s="178">
        <v>208</v>
      </c>
      <c r="E72" s="101" t="str">
        <f>+IFERROR(INDEX([4]CONSOLIDADO!$D$4:$D$108,MATCH('Concur - Exp. General'!C72,[4]CONSOLIDADO!$C$4:$C$108,0)),"")</f>
        <v>CB INGENIEROS</v>
      </c>
      <c r="F72" s="102" t="s">
        <v>554</v>
      </c>
      <c r="G72" s="103" t="s">
        <v>1763</v>
      </c>
      <c r="H72" s="1392" t="s">
        <v>22</v>
      </c>
      <c r="I72" s="1392" t="s">
        <v>22</v>
      </c>
      <c r="J72" s="104">
        <v>1</v>
      </c>
      <c r="K72" s="105">
        <v>35177</v>
      </c>
      <c r="L72" s="105">
        <v>35563</v>
      </c>
      <c r="M72" s="106">
        <f t="shared" si="4"/>
        <v>1997</v>
      </c>
      <c r="N72" s="107">
        <f>+IFERROR(INDEX([5]PARÁMETROS!$B$11:$B$37,MATCH(M72,[5]PARÁMETROS!$A$11:$A$37,0)),"")</f>
        <v>172005</v>
      </c>
      <c r="O72" s="212">
        <v>384734738</v>
      </c>
      <c r="P72" s="29" t="s">
        <v>151</v>
      </c>
      <c r="Q72" s="19" t="s">
        <v>140</v>
      </c>
      <c r="R72" s="30" t="s">
        <v>140</v>
      </c>
      <c r="S72" s="31">
        <v>1</v>
      </c>
      <c r="T72" s="107">
        <f t="shared" si="5"/>
        <v>384734738</v>
      </c>
      <c r="U72" s="112">
        <f t="shared" si="6"/>
        <v>2236.7648498590156</v>
      </c>
      <c r="V72" s="112">
        <f t="shared" si="7"/>
        <v>2236.7648498590156</v>
      </c>
      <c r="W72" s="213">
        <v>8</v>
      </c>
      <c r="X72" s="1493" t="s">
        <v>129</v>
      </c>
      <c r="Y72" s="1494"/>
      <c r="Z72" s="1495"/>
      <c r="AA72" s="1493" t="s">
        <v>129</v>
      </c>
      <c r="AB72" s="1494"/>
      <c r="AC72" s="1495"/>
      <c r="AD72" s="1493" t="s">
        <v>22</v>
      </c>
      <c r="AE72" s="1494"/>
      <c r="AF72" s="1495"/>
      <c r="AG72" s="1392" t="s">
        <v>22</v>
      </c>
      <c r="AH72" s="1507"/>
      <c r="AI72" s="1507"/>
      <c r="AJ72" s="1392" t="str">
        <f>+IF(V72="","",IF(V72&gt;=[5]PARÁMETROS!$D$5,"CUMPLE","NO CUMPLE"))</f>
        <v>CUMPLE</v>
      </c>
      <c r="AK72" s="113"/>
    </row>
    <row r="73" spans="1:37" s="58" customFormat="1" ht="65.099999999999994" customHeight="1" thickBot="1">
      <c r="A73" s="1612"/>
      <c r="B73" s="1607" t="s">
        <v>1764</v>
      </c>
      <c r="C73" s="81" t="s">
        <v>350</v>
      </c>
      <c r="D73" s="169">
        <v>135</v>
      </c>
      <c r="E73" s="101" t="str">
        <f>+IFERROR(INDEX([4]CONSOLIDADO!$D$4:$D$108,MATCH('Concur - Exp. General'!C73,[4]CONSOLIDADO!$C$4:$C$108,0)),"")</f>
        <v>CEMOSA (COLOMBIA)</v>
      </c>
      <c r="F73" s="84" t="s">
        <v>1765</v>
      </c>
      <c r="G73" s="85" t="s">
        <v>1766</v>
      </c>
      <c r="H73" s="1393" t="s">
        <v>22</v>
      </c>
      <c r="I73" s="1393" t="s">
        <v>22</v>
      </c>
      <c r="J73" s="86">
        <v>1</v>
      </c>
      <c r="K73" s="87">
        <v>39525</v>
      </c>
      <c r="L73" s="87">
        <v>41580</v>
      </c>
      <c r="M73" s="88">
        <f t="shared" si="4"/>
        <v>2013</v>
      </c>
      <c r="N73" s="89">
        <f>+IFERROR(INDEX([5]PARÁMETROS!$B$11:$B$37,MATCH(M73,[5]PARÁMETROS!$A$11:$A$37,0)),"")</f>
        <v>589500</v>
      </c>
      <c r="O73" s="214">
        <v>1562052.61</v>
      </c>
      <c r="P73" s="91" t="s">
        <v>1727</v>
      </c>
      <c r="Q73" s="81">
        <v>1.3530599999999999</v>
      </c>
      <c r="R73" s="92">
        <f>+O73*Q73</f>
        <v>2113550.9044865998</v>
      </c>
      <c r="S73" s="93">
        <v>1901.22</v>
      </c>
      <c r="T73" s="89">
        <f>IF(S73&lt;&gt;"",R73*S73,"")</f>
        <v>4018325250.6280136</v>
      </c>
      <c r="U73" s="94">
        <f t="shared" si="6"/>
        <v>6816.4974565360708</v>
      </c>
      <c r="V73" s="94">
        <f t="shared" si="7"/>
        <v>6816.4974565360708</v>
      </c>
      <c r="W73" s="207">
        <v>5</v>
      </c>
      <c r="X73" s="1499" t="s">
        <v>22</v>
      </c>
      <c r="Y73" s="1500"/>
      <c r="Z73" s="1501"/>
      <c r="AA73" s="1499" t="s">
        <v>22</v>
      </c>
      <c r="AB73" s="1500"/>
      <c r="AC73" s="1501"/>
      <c r="AD73" s="1499" t="s">
        <v>22</v>
      </c>
      <c r="AE73" s="1500"/>
      <c r="AF73" s="1501"/>
      <c r="AG73" s="1393" t="s">
        <v>22</v>
      </c>
      <c r="AH73" s="1505" t="str">
        <f>IF(V73="","",IF(SUM(V73:V77)&gt;=[5]PARÁMETROS!$H$5,"CUMPLE","NO CUMPLE"))</f>
        <v>CUMPLE</v>
      </c>
      <c r="AI73" s="1505" t="str">
        <f>IF(V73="","",IF(V73+V74+V75&gt;=[5]PARÁMETROS!$F$5,"CUMPLE","NO CUMPLE"))</f>
        <v>CUMPLE</v>
      </c>
      <c r="AJ73" s="1393" t="str">
        <f>+IF(V73="","",IF(V73&gt;=[5]PARÁMETROS!$D$5,"CUMPLE","NO CUMPLE"))</f>
        <v>CUMPLE</v>
      </c>
      <c r="AK73" s="96"/>
    </row>
    <row r="74" spans="1:37" s="58" customFormat="1" ht="65.099999999999994" customHeight="1" thickBot="1">
      <c r="A74" s="1612"/>
      <c r="B74" s="1608"/>
      <c r="C74" s="19" t="s">
        <v>350</v>
      </c>
      <c r="D74" s="170">
        <v>142</v>
      </c>
      <c r="E74" s="101" t="str">
        <f>+IFERROR(INDEX([4]CONSOLIDADO!$D$4:$D$108,MATCH('Concur - Exp. General'!C74,[4]CONSOLIDADO!$C$4:$C$108,0)),"")</f>
        <v>CEMOSA (COLOMBIA)</v>
      </c>
      <c r="F74" s="22" t="s">
        <v>1765</v>
      </c>
      <c r="G74" s="23" t="s">
        <v>1767</v>
      </c>
      <c r="H74" s="1388" t="s">
        <v>22</v>
      </c>
      <c r="I74" s="1388" t="s">
        <v>22</v>
      </c>
      <c r="J74" s="24">
        <v>1</v>
      </c>
      <c r="K74" s="25">
        <v>37201</v>
      </c>
      <c r="L74" s="25">
        <v>38173</v>
      </c>
      <c r="M74" s="26">
        <f t="shared" si="4"/>
        <v>2004</v>
      </c>
      <c r="N74" s="27">
        <f>+IFERROR(INDEX([5]PARÁMETROS!$B$11:$B$37,MATCH(M74,[5]PARÁMETROS!$A$11:$A$37,0)),"")</f>
        <v>358000</v>
      </c>
      <c r="O74" s="204">
        <v>1561333.21</v>
      </c>
      <c r="P74" s="29" t="s">
        <v>1727</v>
      </c>
      <c r="Q74" s="19">
        <v>1.2318</v>
      </c>
      <c r="R74" s="30">
        <f>+O74*Q74</f>
        <v>1923250.248078</v>
      </c>
      <c r="S74" s="31">
        <v>2674.1</v>
      </c>
      <c r="T74" s="27">
        <f>IF(S74&lt;&gt;"",R74*S74,"")</f>
        <v>5142963488.3853798</v>
      </c>
      <c r="U74" s="16">
        <f t="shared" si="6"/>
        <v>14365.819799959161</v>
      </c>
      <c r="V74" s="16">
        <f t="shared" si="7"/>
        <v>14365.819799959161</v>
      </c>
      <c r="W74" s="208">
        <v>70</v>
      </c>
      <c r="X74" s="1496" t="s">
        <v>22</v>
      </c>
      <c r="Y74" s="1497"/>
      <c r="Z74" s="1498"/>
      <c r="AA74" s="1496" t="s">
        <v>22</v>
      </c>
      <c r="AB74" s="1497"/>
      <c r="AC74" s="1498"/>
      <c r="AD74" s="1496" t="s">
        <v>22</v>
      </c>
      <c r="AE74" s="1497"/>
      <c r="AF74" s="1498"/>
      <c r="AG74" s="1388" t="s">
        <v>22</v>
      </c>
      <c r="AH74" s="1506"/>
      <c r="AI74" s="1506"/>
      <c r="AJ74" s="1388" t="str">
        <f>+IF(V74="","",IF(V74&gt;=[5]PARÁMETROS!$D$5,"CUMPLE","NO CUMPLE"))</f>
        <v>CUMPLE</v>
      </c>
      <c r="AK74" s="97"/>
    </row>
    <row r="75" spans="1:37" s="58" customFormat="1" ht="65.099999999999994" customHeight="1" thickBot="1">
      <c r="A75" s="1612"/>
      <c r="B75" s="1608"/>
      <c r="C75" s="19" t="s">
        <v>350</v>
      </c>
      <c r="D75" s="170">
        <v>153</v>
      </c>
      <c r="E75" s="101" t="str">
        <f>+IFERROR(INDEX([4]CONSOLIDADO!$D$4:$D$108,MATCH('Concur - Exp. General'!C75,[4]CONSOLIDADO!$C$4:$C$108,0)),"")</f>
        <v>CEMOSA (COLOMBIA)</v>
      </c>
      <c r="F75" s="22" t="s">
        <v>1765</v>
      </c>
      <c r="G75" s="23" t="s">
        <v>1768</v>
      </c>
      <c r="H75" s="1388" t="s">
        <v>22</v>
      </c>
      <c r="I75" s="1388" t="s">
        <v>22</v>
      </c>
      <c r="J75" s="24">
        <v>1</v>
      </c>
      <c r="K75" s="25">
        <v>38863</v>
      </c>
      <c r="L75" s="25">
        <v>40168</v>
      </c>
      <c r="M75" s="26">
        <f t="shared" si="4"/>
        <v>2009</v>
      </c>
      <c r="N75" s="27">
        <f>+IFERROR(INDEX([5]PARÁMETROS!$B$11:$B$37,MATCH(M75,[5]PARÁMETROS!$A$11:$A$37,0)),"")</f>
        <v>496900</v>
      </c>
      <c r="O75" s="204">
        <v>805267.23</v>
      </c>
      <c r="P75" s="29" t="s">
        <v>1727</v>
      </c>
      <c r="Q75" s="19">
        <v>1.4331400000000001</v>
      </c>
      <c r="R75" s="30">
        <f>+O75*Q75</f>
        <v>1154060.6780022001</v>
      </c>
      <c r="S75" s="31">
        <v>2025.85</v>
      </c>
      <c r="T75" s="27">
        <f>IF(S75&lt;&gt;"",R75*S75,"")</f>
        <v>2337953824.530757</v>
      </c>
      <c r="U75" s="16">
        <f t="shared" si="6"/>
        <v>4705.0791397278263</v>
      </c>
      <c r="V75" s="16">
        <f t="shared" si="7"/>
        <v>4705.0791397278263</v>
      </c>
      <c r="W75" s="208">
        <v>12</v>
      </c>
      <c r="X75" s="1496" t="s">
        <v>22</v>
      </c>
      <c r="Y75" s="1497"/>
      <c r="Z75" s="1498"/>
      <c r="AA75" s="1496" t="s">
        <v>22</v>
      </c>
      <c r="AB75" s="1497"/>
      <c r="AC75" s="1498"/>
      <c r="AD75" s="1496" t="s">
        <v>22</v>
      </c>
      <c r="AE75" s="1497"/>
      <c r="AF75" s="1498"/>
      <c r="AG75" s="1388" t="s">
        <v>22</v>
      </c>
      <c r="AH75" s="1506"/>
      <c r="AI75" s="1506"/>
      <c r="AJ75" s="1388" t="str">
        <f>+IF(V75="","",IF(V75&gt;=[5]PARÁMETROS!$D$5,"CUMPLE","NO CUMPLE"))</f>
        <v>CUMPLE</v>
      </c>
      <c r="AK75" s="97"/>
    </row>
    <row r="76" spans="1:37" s="58" customFormat="1" ht="65.099999999999994" customHeight="1" thickBot="1">
      <c r="A76" s="1612"/>
      <c r="B76" s="1608"/>
      <c r="C76" s="19" t="s">
        <v>354</v>
      </c>
      <c r="D76" s="170">
        <v>164</v>
      </c>
      <c r="E76" s="101" t="str">
        <f>+IFERROR(INDEX([4]CONSOLIDADO!$D$4:$D$108,MATCH('Concur - Exp. General'!C76,[4]CONSOLIDADO!$C$4:$C$108,0)),"")</f>
        <v>INGENIERIA Y DESARROLLO XIMA DE COLOMBIA S.A.S.</v>
      </c>
      <c r="F76" s="44" t="s">
        <v>1765</v>
      </c>
      <c r="G76" s="45" t="s">
        <v>1769</v>
      </c>
      <c r="H76" s="1388" t="s">
        <v>22</v>
      </c>
      <c r="I76" s="1388" t="s">
        <v>22</v>
      </c>
      <c r="J76" s="46">
        <v>0.5</v>
      </c>
      <c r="K76" s="47">
        <v>37915</v>
      </c>
      <c r="L76" s="47">
        <v>40421</v>
      </c>
      <c r="M76" s="26">
        <f t="shared" si="4"/>
        <v>2010</v>
      </c>
      <c r="N76" s="27">
        <f>+IFERROR(INDEX([5]PARÁMETROS!$B$11:$B$37,MATCH(M76,[5]PARÁMETROS!$A$11:$A$37,0)),"")</f>
        <v>515000</v>
      </c>
      <c r="O76" s="215">
        <v>3234513.41</v>
      </c>
      <c r="P76" s="49" t="s">
        <v>1727</v>
      </c>
      <c r="Q76" s="19">
        <v>1.2700199999999999</v>
      </c>
      <c r="R76" s="30">
        <f>+O76*Q76</f>
        <v>4107896.7209681999</v>
      </c>
      <c r="S76" s="31">
        <v>1823.74</v>
      </c>
      <c r="T76" s="27">
        <f>IF(S76&lt;&gt;"",R76*S76,"")</f>
        <v>7491735565.8985453</v>
      </c>
      <c r="U76" s="16">
        <f t="shared" si="6"/>
        <v>14547.059351259311</v>
      </c>
      <c r="V76" s="16">
        <f t="shared" si="7"/>
        <v>7273.5296756296557</v>
      </c>
      <c r="W76" s="208">
        <v>7</v>
      </c>
      <c r="X76" s="1496" t="s">
        <v>22</v>
      </c>
      <c r="Y76" s="1497"/>
      <c r="Z76" s="1498"/>
      <c r="AA76" s="1496" t="s">
        <v>22</v>
      </c>
      <c r="AB76" s="1497"/>
      <c r="AC76" s="1498"/>
      <c r="AD76" s="1496" t="s">
        <v>22</v>
      </c>
      <c r="AE76" s="1497"/>
      <c r="AF76" s="1498"/>
      <c r="AG76" s="1388" t="s">
        <v>22</v>
      </c>
      <c r="AH76" s="1506"/>
      <c r="AI76" s="1506"/>
      <c r="AJ76" s="1388" t="str">
        <f>+IF(V76="","",IF(V76&gt;=[5]PARÁMETROS!$D$5,"CUMPLE","NO CUMPLE"))</f>
        <v>CUMPLE</v>
      </c>
      <c r="AK76" s="98" t="s">
        <v>1770</v>
      </c>
    </row>
    <row r="77" spans="1:37" s="58" customFormat="1" ht="65.099999999999994" customHeight="1" thickBot="1">
      <c r="A77" s="1612"/>
      <c r="B77" s="1609"/>
      <c r="C77" s="19" t="s">
        <v>354</v>
      </c>
      <c r="D77" s="170">
        <v>172</v>
      </c>
      <c r="E77" s="101" t="str">
        <f>+IFERROR(INDEX([4]CONSOLIDADO!$D$4:$D$108,MATCH('Concur - Exp. General'!C77,[4]CONSOLIDADO!$C$4:$C$108,0)),"")</f>
        <v>INGENIERIA Y DESARROLLO XIMA DE COLOMBIA S.A.S.</v>
      </c>
      <c r="F77" s="22" t="s">
        <v>1765</v>
      </c>
      <c r="G77" s="23" t="s">
        <v>1771</v>
      </c>
      <c r="H77" s="1388" t="s">
        <v>22</v>
      </c>
      <c r="I77" s="1388" t="s">
        <v>22</v>
      </c>
      <c r="J77" s="24">
        <v>0.5</v>
      </c>
      <c r="K77" s="25">
        <v>35586</v>
      </c>
      <c r="L77" s="25">
        <v>37053</v>
      </c>
      <c r="M77" s="26">
        <f t="shared" si="4"/>
        <v>2001</v>
      </c>
      <c r="N77" s="27">
        <f>+IFERROR(INDEX([5]PARÁMETROS!$B$11:$B$37,MATCH(M77,[5]PARÁMETROS!$A$11:$A$37,0)),"")</f>
        <v>286000</v>
      </c>
      <c r="O77" s="204">
        <v>2678981.19</v>
      </c>
      <c r="P77" s="29" t="s">
        <v>1727</v>
      </c>
      <c r="Q77" s="19">
        <v>0.84975000000000001</v>
      </c>
      <c r="R77" s="30">
        <f>+O77*Q77</f>
        <v>2276464.2662025001</v>
      </c>
      <c r="S77" s="31">
        <v>2296.31</v>
      </c>
      <c r="T77" s="27">
        <f>IF(S77&lt;&gt;"",R77*S77,"")</f>
        <v>5227467659.1234627</v>
      </c>
      <c r="U77" s="16">
        <f t="shared" si="6"/>
        <v>18277.858947984136</v>
      </c>
      <c r="V77" s="16">
        <f t="shared" si="7"/>
        <v>9138.9294739920679</v>
      </c>
      <c r="W77" s="208">
        <v>1</v>
      </c>
      <c r="X77" s="1493" t="s">
        <v>22</v>
      </c>
      <c r="Y77" s="1494"/>
      <c r="Z77" s="1495"/>
      <c r="AA77" s="1493" t="s">
        <v>22</v>
      </c>
      <c r="AB77" s="1494"/>
      <c r="AC77" s="1495"/>
      <c r="AD77" s="1493" t="s">
        <v>22</v>
      </c>
      <c r="AE77" s="1494"/>
      <c r="AF77" s="1495"/>
      <c r="AG77" s="1388" t="s">
        <v>22</v>
      </c>
      <c r="AH77" s="1507"/>
      <c r="AI77" s="1507"/>
      <c r="AJ77" s="1388" t="str">
        <f>+IF(V77="","",IF(V77&gt;=[5]PARÁMETROS!$D$5,"CUMPLE","NO CUMPLE"))</f>
        <v>CUMPLE</v>
      </c>
      <c r="AK77" s="98" t="s">
        <v>1770</v>
      </c>
    </row>
    <row r="78" spans="1:37" s="58" customFormat="1" ht="65.099999999999994" customHeight="1" thickBot="1">
      <c r="A78" s="1612"/>
      <c r="B78" s="1607" t="s">
        <v>1772</v>
      </c>
      <c r="C78" s="81" t="s">
        <v>368</v>
      </c>
      <c r="D78" s="169">
        <v>83</v>
      </c>
      <c r="E78" s="101" t="str">
        <f>+IFERROR(INDEX([4]CONSOLIDADO!$D$4:$D$108,MATCH('Concur - Exp. General'!C78,[4]CONSOLIDADO!$C$4:$C$108,0)),"")</f>
        <v>SUPERING S.A.S.</v>
      </c>
      <c r="F78" s="84" t="s">
        <v>1731</v>
      </c>
      <c r="G78" s="23" t="s">
        <v>1773</v>
      </c>
      <c r="H78" s="1393" t="s">
        <v>22</v>
      </c>
      <c r="I78" s="1393" t="s">
        <v>22</v>
      </c>
      <c r="J78" s="86">
        <v>0.3</v>
      </c>
      <c r="K78" s="87">
        <v>37229</v>
      </c>
      <c r="L78" s="87">
        <v>40168</v>
      </c>
      <c r="M78" s="88">
        <f t="shared" si="4"/>
        <v>2009</v>
      </c>
      <c r="N78" s="89">
        <f>+IFERROR(INDEX([6]PARÁMETROS!$B$11:$B$37,MATCH(M78,[6]PARÁMETROS!$A$11:$A$37,0)),"")</f>
        <v>496900</v>
      </c>
      <c r="O78" s="176">
        <v>23197769047.380001</v>
      </c>
      <c r="P78" s="91" t="s">
        <v>151</v>
      </c>
      <c r="Q78" s="81" t="s">
        <v>140</v>
      </c>
      <c r="R78" s="92" t="s">
        <v>140</v>
      </c>
      <c r="S78" s="93">
        <v>1</v>
      </c>
      <c r="T78" s="89">
        <f>IF(S78&lt;&gt;"",O78*S78,"")</f>
        <v>23197769047.380001</v>
      </c>
      <c r="U78" s="94">
        <f t="shared" si="6"/>
        <v>46684.985001770983</v>
      </c>
      <c r="V78" s="94">
        <f t="shared" si="7"/>
        <v>14005.495500531295</v>
      </c>
      <c r="W78" s="207">
        <v>6</v>
      </c>
      <c r="X78" s="1499" t="s">
        <v>22</v>
      </c>
      <c r="Y78" s="1500"/>
      <c r="Z78" s="1501"/>
      <c r="AA78" s="1499" t="s">
        <v>22</v>
      </c>
      <c r="AB78" s="1500"/>
      <c r="AC78" s="1501"/>
      <c r="AD78" s="1499" t="s">
        <v>22</v>
      </c>
      <c r="AE78" s="1500"/>
      <c r="AF78" s="1501"/>
      <c r="AG78" s="1393" t="s">
        <v>22</v>
      </c>
      <c r="AH78" s="1505" t="str">
        <f>IF(V78="","",IF(SUM(V78:V79)&gt;=[5]PARÁMETROS!$H$5,"CUMPLE","NO CUMPLE"))</f>
        <v>CUMPLE</v>
      </c>
      <c r="AI78" s="1505" t="s">
        <v>304</v>
      </c>
      <c r="AJ78" s="1393" t="str">
        <f>+IF(V78="","",IF(V78&gt;=[5]PARÁMETROS!$D$5,"CUMPLE","NO CUMPLE"))</f>
        <v>CUMPLE</v>
      </c>
      <c r="AK78" s="96"/>
    </row>
    <row r="79" spans="1:37" s="58" customFormat="1" ht="65.099999999999994" customHeight="1" thickBot="1">
      <c r="A79" s="1612"/>
      <c r="B79" s="1605"/>
      <c r="C79" s="19" t="s">
        <v>368</v>
      </c>
      <c r="D79" s="170">
        <v>85</v>
      </c>
      <c r="E79" s="101" t="str">
        <f>+IFERROR(INDEX([4]CONSOLIDADO!$D$4:$D$108,MATCH('Concur - Exp. General'!C79,[4]CONSOLIDADO!$C$4:$C$108,0)),"")</f>
        <v>SUPERING S.A.S.</v>
      </c>
      <c r="F79" s="22" t="s">
        <v>1774</v>
      </c>
      <c r="G79" s="23" t="s">
        <v>1775</v>
      </c>
      <c r="H79" s="1388" t="s">
        <v>22</v>
      </c>
      <c r="I79" s="1388" t="s">
        <v>22</v>
      </c>
      <c r="J79" s="24">
        <v>1</v>
      </c>
      <c r="K79" s="25">
        <v>38807</v>
      </c>
      <c r="L79" s="25">
        <v>39813</v>
      </c>
      <c r="M79" s="26">
        <f t="shared" si="4"/>
        <v>2008</v>
      </c>
      <c r="N79" s="27">
        <f>+IFERROR(INDEX([5]PARÁMETROS!$B$11:$B$37,MATCH(M79,[5]PARÁMETROS!$A$11:$A$37,0)),"")</f>
        <v>461500</v>
      </c>
      <c r="O79" s="177">
        <v>47481903.439999998</v>
      </c>
      <c r="P79" s="27" t="s">
        <v>1737</v>
      </c>
      <c r="Q79" s="19">
        <v>7.2569999999999996E-2</v>
      </c>
      <c r="R79" s="30">
        <f>+O79*Q79</f>
        <v>3445761.7326407996</v>
      </c>
      <c r="S79" s="31">
        <v>2243.59</v>
      </c>
      <c r="T79" s="27">
        <f>IF(S79&lt;&gt;"",R79*S79,"")</f>
        <v>7730876565.7355719</v>
      </c>
      <c r="U79" s="16">
        <f t="shared" si="6"/>
        <v>16751.62852813775</v>
      </c>
      <c r="V79" s="16">
        <f t="shared" si="7"/>
        <v>16751.62852813775</v>
      </c>
      <c r="W79" s="208">
        <v>11</v>
      </c>
      <c r="X79" s="1496" t="s">
        <v>22</v>
      </c>
      <c r="Y79" s="1497"/>
      <c r="Z79" s="1498"/>
      <c r="AA79" s="1496" t="s">
        <v>22</v>
      </c>
      <c r="AB79" s="1497"/>
      <c r="AC79" s="1498"/>
      <c r="AD79" s="1496" t="s">
        <v>22</v>
      </c>
      <c r="AE79" s="1497"/>
      <c r="AF79" s="1498"/>
      <c r="AG79" s="1388" t="s">
        <v>22</v>
      </c>
      <c r="AH79" s="1508"/>
      <c r="AI79" s="1508"/>
      <c r="AJ79" s="1388" t="str">
        <f>+IF(V79="","",IF(V79&gt;=[5]PARÁMETROS!$D$5,"CUMPLE","NO CUMPLE"))</f>
        <v>CUMPLE</v>
      </c>
      <c r="AK79" s="97"/>
    </row>
    <row r="80" spans="1:37" s="58" customFormat="1" ht="65.099999999999994" customHeight="1" thickBot="1">
      <c r="A80" s="1612"/>
      <c r="B80" s="1509" t="s">
        <v>1776</v>
      </c>
      <c r="C80" s="81" t="s">
        <v>374</v>
      </c>
      <c r="D80" s="82">
        <v>520</v>
      </c>
      <c r="E80" s="101" t="str">
        <f>+IFERROR(INDEX([4]CONSOLIDADO!$D$4:$D$108,MATCH('Concur - Exp. General'!C80,[4]CONSOLIDADO!$C$4:$C$108,0)),"")</f>
        <v>INZETT S.A.S.</v>
      </c>
      <c r="F80" s="224" t="s">
        <v>1047</v>
      </c>
      <c r="G80" s="23" t="s">
        <v>1777</v>
      </c>
      <c r="H80" s="1405" t="s">
        <v>22</v>
      </c>
      <c r="I80" s="1393" t="s">
        <v>22</v>
      </c>
      <c r="J80" s="86">
        <v>0.7</v>
      </c>
      <c r="K80" s="25">
        <v>40561</v>
      </c>
      <c r="L80" s="25">
        <v>41500</v>
      </c>
      <c r="M80" s="88">
        <f>IF(L80="","",YEAR(L80))</f>
        <v>2013</v>
      </c>
      <c r="N80" s="89">
        <f>+IFERROR(INDEX([7]PARÁMETROS!$B$11:$B$37,MATCH(M80,[7]PARÁMETROS!$A$11:$A$37,0)),"")</f>
        <v>589500</v>
      </c>
      <c r="O80" s="28">
        <v>4481543752</v>
      </c>
      <c r="P80" s="91" t="s">
        <v>151</v>
      </c>
      <c r="Q80" s="81" t="s">
        <v>140</v>
      </c>
      <c r="R80" s="92" t="s">
        <v>140</v>
      </c>
      <c r="S80" s="93">
        <v>1</v>
      </c>
      <c r="T80" s="89">
        <f>IF(S80&lt;&gt;"",O80*S80,"")</f>
        <v>4481543752</v>
      </c>
      <c r="U80" s="94">
        <f>+IFERROR(T80/N80,"")</f>
        <v>7602.2794775233251</v>
      </c>
      <c r="V80" s="94">
        <f>IFERROR(U80*J80,"")</f>
        <v>5321.5956342663276</v>
      </c>
      <c r="W80" s="95">
        <v>24</v>
      </c>
      <c r="X80" s="1484"/>
      <c r="Y80" s="1484"/>
      <c r="Z80" s="1484"/>
      <c r="AA80" s="1484"/>
      <c r="AB80" s="1484"/>
      <c r="AC80" s="1484"/>
      <c r="AD80" s="1484" t="s">
        <v>22</v>
      </c>
      <c r="AE80" s="1484"/>
      <c r="AF80" s="1484"/>
      <c r="AG80" s="1393" t="s">
        <v>22</v>
      </c>
      <c r="AH80" s="1484" t="str">
        <f>IF(V80="","",IF(SUM(V80:V84)&gt;=[7]PARÁMETROS!$H$5,"CUMPLE","NO CUMPLE"))</f>
        <v>CUMPLE</v>
      </c>
      <c r="AI80" s="1484" t="str">
        <f>IF((V80+V81+V82)="","",IF((V80+V81+V82)&gt;=[7]PARÁMETROS!$F$5,"CUMPLE","NO CUMPLE"))</f>
        <v>CUMPLE</v>
      </c>
      <c r="AJ80" s="1393" t="str">
        <f>+IF(V80="","",IF(V80&gt;=[7]PARÁMETROS!$D$5,"CUMPLE","NO CUMPLE"))</f>
        <v>CUMPLE</v>
      </c>
      <c r="AK80" s="96"/>
    </row>
    <row r="81" spans="1:37" s="58" customFormat="1" ht="65.099999999999994" customHeight="1" thickBot="1">
      <c r="A81" s="1612"/>
      <c r="B81" s="1510"/>
      <c r="C81" s="19" t="s">
        <v>374</v>
      </c>
      <c r="D81" s="20">
        <v>525</v>
      </c>
      <c r="E81" s="101" t="str">
        <f>+IFERROR(INDEX([4]CONSOLIDADO!$D$4:$D$108,MATCH('Concur - Exp. General'!C81,[4]CONSOLIDADO!$C$4:$C$108,0)),"")</f>
        <v>INZETT S.A.S.</v>
      </c>
      <c r="F81" s="22" t="s">
        <v>1778</v>
      </c>
      <c r="G81" s="375" t="s">
        <v>1777</v>
      </c>
      <c r="H81" s="1388" t="s">
        <v>22</v>
      </c>
      <c r="I81" s="1388" t="s">
        <v>22</v>
      </c>
      <c r="J81" s="34">
        <v>0.7</v>
      </c>
      <c r="K81" s="25">
        <v>40186</v>
      </c>
      <c r="L81" s="25">
        <v>40561</v>
      </c>
      <c r="M81" s="26">
        <f t="shared" ref="M81:M115" si="8">IF(L81="","",YEAR(L81))</f>
        <v>2011</v>
      </c>
      <c r="N81" s="27">
        <f>+IFERROR(INDEX([7]PARÁMETROS!$B$11:$B$37,MATCH(M81,[7]PARÁMETROS!$A$11:$A$37,0)),"")</f>
        <v>535600</v>
      </c>
      <c r="O81" s="35">
        <v>3104182180</v>
      </c>
      <c r="P81" s="27" t="s">
        <v>151</v>
      </c>
      <c r="Q81" s="19" t="s">
        <v>140</v>
      </c>
      <c r="R81" s="30" t="s">
        <v>140</v>
      </c>
      <c r="S81" s="31">
        <v>1</v>
      </c>
      <c r="T81" s="27">
        <f t="shared" ref="T81:T115" si="9">IF(S81&lt;&gt;"",O81*S81,"")</f>
        <v>3104182180</v>
      </c>
      <c r="U81" s="16">
        <f t="shared" ref="U81:U115" si="10">+IFERROR(T81/N81,"")</f>
        <v>5795.7098207617628</v>
      </c>
      <c r="V81" s="16">
        <f t="shared" ref="V81:V115" si="11">IFERROR(U81*J81,"")</f>
        <v>4056.9968745332335</v>
      </c>
      <c r="W81" s="32">
        <v>19</v>
      </c>
      <c r="X81" s="1485"/>
      <c r="Y81" s="1485"/>
      <c r="Z81" s="1485"/>
      <c r="AA81" s="1485"/>
      <c r="AB81" s="1485"/>
      <c r="AC81" s="1485"/>
      <c r="AD81" s="1485" t="s">
        <v>22</v>
      </c>
      <c r="AE81" s="1485"/>
      <c r="AF81" s="1485"/>
      <c r="AG81" s="1388" t="s">
        <v>22</v>
      </c>
      <c r="AH81" s="1485"/>
      <c r="AI81" s="1485"/>
      <c r="AJ81" s="1388" t="str">
        <f>+IF(V81="","",IF(V81&gt;=[7]PARÁMETROS!$D$5,"CUMPLE","NO CUMPLE"))</f>
        <v>CUMPLE</v>
      </c>
      <c r="AK81" s="97"/>
    </row>
    <row r="82" spans="1:37" s="58" customFormat="1" ht="65.099999999999994" customHeight="1" thickBot="1">
      <c r="A82" s="1612"/>
      <c r="B82" s="1510"/>
      <c r="C82" s="19" t="s">
        <v>374</v>
      </c>
      <c r="D82" s="20">
        <v>530</v>
      </c>
      <c r="E82" s="101" t="str">
        <f>+IFERROR(INDEX([4]CONSOLIDADO!$D$4:$D$108,MATCH('Concur - Exp. General'!C82,[4]CONSOLIDADO!$C$4:$C$108,0)),"")</f>
        <v>INZETT S.A.S.</v>
      </c>
      <c r="F82" s="22" t="s">
        <v>949</v>
      </c>
      <c r="G82" s="23" t="s">
        <v>1779</v>
      </c>
      <c r="H82" s="1388" t="s">
        <v>22</v>
      </c>
      <c r="I82" s="1388" t="s">
        <v>22</v>
      </c>
      <c r="J82" s="24">
        <v>0.5</v>
      </c>
      <c r="K82" s="25">
        <v>38692</v>
      </c>
      <c r="L82" s="25">
        <v>39629</v>
      </c>
      <c r="M82" s="26">
        <f t="shared" si="8"/>
        <v>2008</v>
      </c>
      <c r="N82" s="27">
        <f>+IFERROR(INDEX([7]PARÁMETROS!$B$11:$B$37,MATCH(M82,[7]PARÁMETROS!$A$11:$A$37,0)),"")</f>
        <v>461500</v>
      </c>
      <c r="O82" s="28">
        <v>1433130434</v>
      </c>
      <c r="P82" s="29" t="s">
        <v>151</v>
      </c>
      <c r="Q82" s="19" t="s">
        <v>140</v>
      </c>
      <c r="R82" s="30" t="s">
        <v>140</v>
      </c>
      <c r="S82" s="31">
        <v>1</v>
      </c>
      <c r="T82" s="27">
        <f t="shared" si="9"/>
        <v>1433130434</v>
      </c>
      <c r="U82" s="16">
        <f t="shared" si="10"/>
        <v>3105.3747215601302</v>
      </c>
      <c r="V82" s="16">
        <f t="shared" si="11"/>
        <v>1552.6873607800651</v>
      </c>
      <c r="W82" s="32">
        <v>16</v>
      </c>
      <c r="X82" s="1485" t="s">
        <v>22</v>
      </c>
      <c r="Y82" s="1485"/>
      <c r="Z82" s="1485"/>
      <c r="AA82" s="1485" t="s">
        <v>22</v>
      </c>
      <c r="AB82" s="1485"/>
      <c r="AC82" s="1485"/>
      <c r="AD82" s="1485" t="s">
        <v>22</v>
      </c>
      <c r="AE82" s="1485"/>
      <c r="AF82" s="1485"/>
      <c r="AG82" s="1388" t="s">
        <v>22</v>
      </c>
      <c r="AH82" s="1485"/>
      <c r="AI82" s="1485"/>
      <c r="AJ82" s="1388" t="str">
        <f>+IF(V82="","",IF(V82&gt;=[7]PARÁMETROS!$D$5,"CUMPLE","NO CUMPLE"))</f>
        <v>NO CUMPLE</v>
      </c>
      <c r="AK82" s="98"/>
    </row>
    <row r="83" spans="1:37" s="58" customFormat="1" ht="65.099999999999994" customHeight="1" thickBot="1">
      <c r="A83" s="1612"/>
      <c r="B83" s="1510"/>
      <c r="C83" s="19" t="s">
        <v>379</v>
      </c>
      <c r="D83" s="20">
        <v>533</v>
      </c>
      <c r="E83" s="101" t="str">
        <f>+IFERROR(INDEX([4]CONSOLIDADO!$D$4:$D$108,MATCH('Concur - Exp. General'!C83,[4]CONSOLIDADO!$C$4:$C$108,0)),"")</f>
        <v>J FELIPE ARDILA V &amp; CIA S.A.S.</v>
      </c>
      <c r="F83" s="22" t="s">
        <v>517</v>
      </c>
      <c r="G83" s="23" t="s">
        <v>1780</v>
      </c>
      <c r="H83" s="1388" t="s">
        <v>22</v>
      </c>
      <c r="I83" s="1388" t="s">
        <v>22</v>
      </c>
      <c r="J83" s="24">
        <v>0.5</v>
      </c>
      <c r="K83" s="25">
        <v>39595</v>
      </c>
      <c r="L83" s="25" t="s">
        <v>1781</v>
      </c>
      <c r="M83" s="26">
        <v>2015</v>
      </c>
      <c r="N83" s="27">
        <f>+IFERROR(INDEX([7]PARÁMETROS!$B$11:$B$37,MATCH(M83,[7]PARÁMETROS!$A$11:$A$37,0)),"")</f>
        <v>644350</v>
      </c>
      <c r="O83" s="28">
        <v>36074618420</v>
      </c>
      <c r="P83" s="29" t="s">
        <v>151</v>
      </c>
      <c r="Q83" s="19" t="s">
        <v>140</v>
      </c>
      <c r="R83" s="30" t="s">
        <v>140</v>
      </c>
      <c r="S83" s="31">
        <v>1</v>
      </c>
      <c r="T83" s="27">
        <f t="shared" si="9"/>
        <v>36074618420</v>
      </c>
      <c r="U83" s="16">
        <f t="shared" si="10"/>
        <v>55986.061022736088</v>
      </c>
      <c r="V83" s="16">
        <f t="shared" si="11"/>
        <v>27993.030511368044</v>
      </c>
      <c r="W83" s="32"/>
      <c r="X83" s="1496"/>
      <c r="Y83" s="1497"/>
      <c r="Z83" s="1498"/>
      <c r="AA83" s="1496"/>
      <c r="AB83" s="1497"/>
      <c r="AC83" s="1498"/>
      <c r="AD83" s="1496"/>
      <c r="AE83" s="1497"/>
      <c r="AF83" s="1498"/>
      <c r="AG83" s="1388" t="s">
        <v>22</v>
      </c>
      <c r="AH83" s="1485"/>
      <c r="AI83" s="1485"/>
      <c r="AJ83" s="1388" t="str">
        <f>+IF(V83="","",IF(V83&gt;=[7]PARÁMETROS!$D$5,"CUMPLE","NO CUMPLE"))</f>
        <v>CUMPLE</v>
      </c>
      <c r="AK83" s="98"/>
    </row>
    <row r="84" spans="1:37" s="58" customFormat="1" ht="65.099999999999994" customHeight="1" thickBot="1">
      <c r="A84" s="1612"/>
      <c r="B84" s="1511"/>
      <c r="C84" s="99" t="s">
        <v>383</v>
      </c>
      <c r="D84" s="123">
        <v>544</v>
      </c>
      <c r="E84" s="101" t="str">
        <f>+IFERROR(INDEX([4]CONSOLIDADO!$D$4:$D$108,MATCH('Concur - Exp. General'!C84,[4]CONSOLIDADO!$C$4:$C$108,0)),"")</f>
        <v>CIVING INGENIEROS CONTRATISTAS S EN C</v>
      </c>
      <c r="F84" s="102" t="s">
        <v>1782</v>
      </c>
      <c r="G84" s="103" t="s">
        <v>1783</v>
      </c>
      <c r="H84" s="1392" t="s">
        <v>22</v>
      </c>
      <c r="I84" s="1392" t="s">
        <v>22</v>
      </c>
      <c r="J84" s="104">
        <v>1</v>
      </c>
      <c r="K84" s="105">
        <v>40190</v>
      </c>
      <c r="L84" s="105">
        <v>41240</v>
      </c>
      <c r="M84" s="106">
        <f t="shared" si="8"/>
        <v>2012</v>
      </c>
      <c r="N84" s="107">
        <f>+IFERROR(INDEX([7]PARÁMETROS!$B$11:$B$37,MATCH(M84,[7]PARÁMETROS!$A$11:$A$37,0)),"")</f>
        <v>566700</v>
      </c>
      <c r="O84" s="108">
        <v>3164576487</v>
      </c>
      <c r="P84" s="109" t="s">
        <v>151</v>
      </c>
      <c r="Q84" s="99" t="s">
        <v>140</v>
      </c>
      <c r="R84" s="110" t="s">
        <v>140</v>
      </c>
      <c r="S84" s="111">
        <v>1</v>
      </c>
      <c r="T84" s="107">
        <f t="shared" si="9"/>
        <v>3164576487</v>
      </c>
      <c r="U84" s="112">
        <f t="shared" si="10"/>
        <v>5584.2182583377453</v>
      </c>
      <c r="V84" s="112">
        <f t="shared" si="11"/>
        <v>5584.2182583377453</v>
      </c>
      <c r="W84" s="225">
        <v>2</v>
      </c>
      <c r="X84" s="1486" t="s">
        <v>22</v>
      </c>
      <c r="Y84" s="1486"/>
      <c r="Z84" s="1486"/>
      <c r="AA84" s="1486"/>
      <c r="AB84" s="1486"/>
      <c r="AC84" s="1486"/>
      <c r="AD84" s="1486"/>
      <c r="AE84" s="1486"/>
      <c r="AF84" s="1486"/>
      <c r="AG84" s="1392" t="s">
        <v>22</v>
      </c>
      <c r="AH84" s="1486"/>
      <c r="AI84" s="1486"/>
      <c r="AJ84" s="1392" t="str">
        <f>+IF(V84="","",IF(V84&gt;=[7]PARÁMETROS!$D$5,"CUMPLE","NO CUMPLE"))</f>
        <v>CUMPLE</v>
      </c>
      <c r="AK84" s="124"/>
    </row>
    <row r="85" spans="1:37" s="58" customFormat="1" ht="65.099999999999994" customHeight="1" thickBot="1">
      <c r="A85" s="1612"/>
      <c r="B85" s="1605" t="s">
        <v>1784</v>
      </c>
      <c r="C85" s="68" t="s">
        <v>387</v>
      </c>
      <c r="D85" s="226">
        <v>165</v>
      </c>
      <c r="E85" s="101" t="str">
        <f>+IFERROR(INDEX([4]CONSOLIDADO!$D$4:$D$108,MATCH('Concur - Exp. General'!C85,[4]CONSOLIDADO!$C$4:$C$108,0)),"")</f>
        <v>GRUPO POSSO S.A.S.</v>
      </c>
      <c r="F85" s="71" t="s">
        <v>1785</v>
      </c>
      <c r="G85" s="72" t="s">
        <v>1786</v>
      </c>
      <c r="H85" s="1394" t="s">
        <v>22</v>
      </c>
      <c r="I85" s="1394" t="s">
        <v>22</v>
      </c>
      <c r="J85" s="73">
        <v>0.95</v>
      </c>
      <c r="K85" s="74">
        <v>41815</v>
      </c>
      <c r="L85" s="74" t="s">
        <v>1781</v>
      </c>
      <c r="M85" s="116">
        <v>2015</v>
      </c>
      <c r="N85" s="75">
        <f>+IFERROR(INDEX([7]PARÁMETROS!$B$11:$B$37,MATCH(M85,[7]PARÁMETROS!$A$11:$A$37,0)),"")</f>
        <v>644350</v>
      </c>
      <c r="O85" s="76">
        <v>10736226648</v>
      </c>
      <c r="P85" s="77" t="s">
        <v>151</v>
      </c>
      <c r="Q85" s="68" t="s">
        <v>140</v>
      </c>
      <c r="R85" s="78" t="s">
        <v>140</v>
      </c>
      <c r="S85" s="79">
        <v>1</v>
      </c>
      <c r="T85" s="75">
        <f t="shared" si="9"/>
        <v>10736226648</v>
      </c>
      <c r="U85" s="80">
        <f t="shared" si="10"/>
        <v>16662.103900054317</v>
      </c>
      <c r="V85" s="80">
        <f t="shared" si="11"/>
        <v>15828.998705051601</v>
      </c>
      <c r="W85" s="80"/>
      <c r="X85" s="1508"/>
      <c r="Y85" s="1508"/>
      <c r="Z85" s="1508"/>
      <c r="AA85" s="1508"/>
      <c r="AB85" s="1508"/>
      <c r="AC85" s="1508"/>
      <c r="AD85" s="1508"/>
      <c r="AE85" s="1508"/>
      <c r="AF85" s="1508"/>
      <c r="AG85" s="1394" t="s">
        <v>22</v>
      </c>
      <c r="AH85" s="1508" t="str">
        <f>IF(V85="","",IF(SUM(V85:V88)&gt;=[7]PARÁMETROS!$H$5,"CUMPLE","NO CUMPLE"))</f>
        <v>CUMPLE</v>
      </c>
      <c r="AI85" s="1508" t="str">
        <f>IF((V85+V86)="","",IF((V85+V86)&gt;=[7]PARÁMETROS!$F$5,"CUMPLE","NO CUMPLE"))</f>
        <v>CUMPLE</v>
      </c>
      <c r="AJ85" s="1394" t="str">
        <f>+IF(V85="","",IF(V85&gt;=[7]PARÁMETROS!$D$5,"CUMPLE","NO CUMPLE"))</f>
        <v>CUMPLE</v>
      </c>
      <c r="AK85" s="122"/>
    </row>
    <row r="86" spans="1:37" s="58" customFormat="1" ht="65.099999999999994" customHeight="1" thickBot="1">
      <c r="A86" s="1612"/>
      <c r="B86" s="1510"/>
      <c r="C86" s="19" t="s">
        <v>387</v>
      </c>
      <c r="D86" s="227">
        <v>174</v>
      </c>
      <c r="E86" s="101" t="str">
        <f>+IFERROR(INDEX([4]CONSOLIDADO!$D$4:$D$108,MATCH('Concur - Exp. General'!C86,[4]CONSOLIDADO!$C$4:$C$108,0)),"")</f>
        <v>GRUPO POSSO S.A.S.</v>
      </c>
      <c r="F86" s="22" t="s">
        <v>1785</v>
      </c>
      <c r="G86" s="23" t="s">
        <v>1787</v>
      </c>
      <c r="H86" s="1388" t="s">
        <v>22</v>
      </c>
      <c r="I86" s="1388" t="s">
        <v>22</v>
      </c>
      <c r="J86" s="24">
        <v>0.95</v>
      </c>
      <c r="K86" s="25">
        <v>41995</v>
      </c>
      <c r="L86" s="25" t="s">
        <v>1781</v>
      </c>
      <c r="M86" s="26">
        <v>2015</v>
      </c>
      <c r="N86" s="27">
        <f>+IFERROR(INDEX([7]PARÁMETROS!$B$11:$B$37,MATCH(M86,[7]PARÁMETROS!$A$11:$A$37,0)),"")</f>
        <v>644350</v>
      </c>
      <c r="O86" s="28">
        <v>2590423144</v>
      </c>
      <c r="P86" s="29" t="s">
        <v>151</v>
      </c>
      <c r="Q86" s="19" t="s">
        <v>140</v>
      </c>
      <c r="R86" s="30" t="s">
        <v>140</v>
      </c>
      <c r="S86" s="31">
        <v>1</v>
      </c>
      <c r="T86" s="27">
        <f t="shared" si="9"/>
        <v>2590423144</v>
      </c>
      <c r="U86" s="16">
        <f t="shared" si="10"/>
        <v>4020.2112888957863</v>
      </c>
      <c r="V86" s="16">
        <f t="shared" si="11"/>
        <v>3819.2007244509969</v>
      </c>
      <c r="W86" s="16"/>
      <c r="X86" s="1485"/>
      <c r="Y86" s="1485"/>
      <c r="Z86" s="1485"/>
      <c r="AA86" s="1485"/>
      <c r="AB86" s="1485"/>
      <c r="AC86" s="1485"/>
      <c r="AD86" s="1485"/>
      <c r="AE86" s="1485"/>
      <c r="AF86" s="1485"/>
      <c r="AG86" s="1388" t="s">
        <v>22</v>
      </c>
      <c r="AH86" s="1485"/>
      <c r="AI86" s="1485"/>
      <c r="AJ86" s="1388" t="str">
        <f>+IF(V86="","",IF(V86&gt;=[7]PARÁMETROS!$D$5,"CUMPLE","NO CUMPLE"))</f>
        <v>CUMPLE</v>
      </c>
      <c r="AK86" s="97"/>
    </row>
    <row r="87" spans="1:37" s="58" customFormat="1" ht="65.099999999999994" customHeight="1" thickBot="1">
      <c r="A87" s="1612"/>
      <c r="B87" s="1510"/>
      <c r="C87" s="19" t="s">
        <v>394</v>
      </c>
      <c r="D87" s="227">
        <v>184</v>
      </c>
      <c r="E87" s="101" t="str">
        <f>+IFERROR(INDEX([4]CONSOLIDADO!$D$4:$D$108,MATCH('Concur - Exp. General'!C87,[4]CONSOLIDADO!$C$4:$C$108,0)),"")</f>
        <v>GINPROSA COLOMBIA S.A.S.</v>
      </c>
      <c r="F87" s="22" t="s">
        <v>214</v>
      </c>
      <c r="G87" s="23" t="s">
        <v>1788</v>
      </c>
      <c r="H87" s="1388" t="s">
        <v>22</v>
      </c>
      <c r="I87" s="1388" t="s">
        <v>22</v>
      </c>
      <c r="J87" s="24">
        <v>1</v>
      </c>
      <c r="K87" s="25">
        <v>38926</v>
      </c>
      <c r="L87" s="25">
        <v>40022</v>
      </c>
      <c r="M87" s="26">
        <f t="shared" si="8"/>
        <v>2009</v>
      </c>
      <c r="N87" s="27">
        <f>+IFERROR(INDEX([7]PARÁMETROS!$B$11:$B$37,MATCH(M87,[7]PARÁMETROS!$A$11:$A$37,0)),"")</f>
        <v>496900</v>
      </c>
      <c r="O87" s="28">
        <v>883372.84</v>
      </c>
      <c r="P87" s="29" t="s">
        <v>142</v>
      </c>
      <c r="Q87" s="19">
        <v>1.42344</v>
      </c>
      <c r="R87" s="30">
        <f>+O87*Q87</f>
        <v>1257428.2353695999</v>
      </c>
      <c r="S87" s="31">
        <v>1982.43</v>
      </c>
      <c r="T87" s="27">
        <f>IF(S87&lt;&gt;"",R87*S87,"")</f>
        <v>2492763456.6437559</v>
      </c>
      <c r="U87" s="16">
        <f t="shared" si="10"/>
        <v>5016.6300194078403</v>
      </c>
      <c r="V87" s="16">
        <f t="shared" si="11"/>
        <v>5016.6300194078403</v>
      </c>
      <c r="W87" s="208">
        <v>32</v>
      </c>
      <c r="X87" s="1485" t="s">
        <v>22</v>
      </c>
      <c r="Y87" s="1485"/>
      <c r="Z87" s="1485"/>
      <c r="AA87" s="1485" t="s">
        <v>22</v>
      </c>
      <c r="AB87" s="1485"/>
      <c r="AC87" s="1485"/>
      <c r="AD87" s="1485" t="s">
        <v>22</v>
      </c>
      <c r="AE87" s="1485"/>
      <c r="AF87" s="1485"/>
      <c r="AG87" s="1388" t="s">
        <v>22</v>
      </c>
      <c r="AH87" s="1485"/>
      <c r="AI87" s="1485"/>
      <c r="AJ87" s="1388" t="str">
        <f>+IF(V87="","",IF(V87&gt;=[7]PARÁMETROS!$D$5,"CUMPLE","NO CUMPLE"))</f>
        <v>CUMPLE</v>
      </c>
      <c r="AK87" s="97"/>
    </row>
    <row r="88" spans="1:37" s="58" customFormat="1" ht="65.099999999999994" customHeight="1" thickBot="1">
      <c r="A88" s="1612"/>
      <c r="B88" s="1510"/>
      <c r="C88" s="19" t="s">
        <v>1789</v>
      </c>
      <c r="D88" s="123">
        <v>187</v>
      </c>
      <c r="E88" s="101" t="str">
        <f>+IFERROR(INDEX([4]CONSOLIDADO!$D$4:$D$108,MATCH('Concur - Exp. General'!C88,[4]CONSOLIDADO!$C$4:$C$108,0)),"")</f>
        <v>C &amp; M CONSULTORES  S.A.</v>
      </c>
      <c r="F88" s="22" t="s">
        <v>517</v>
      </c>
      <c r="G88" s="23" t="s">
        <v>1790</v>
      </c>
      <c r="H88" s="1388" t="s">
        <v>22</v>
      </c>
      <c r="I88" s="1388" t="s">
        <v>22</v>
      </c>
      <c r="J88" s="24">
        <v>0.51</v>
      </c>
      <c r="K88" s="25">
        <v>41878</v>
      </c>
      <c r="L88" s="25" t="s">
        <v>1781</v>
      </c>
      <c r="M88" s="26">
        <v>2015</v>
      </c>
      <c r="N88" s="27">
        <f>+IFERROR(INDEX([7]PARÁMETROS!$B$11:$B$37,MATCH(M88,[7]PARÁMETROS!$A$11:$A$37,0)),"")</f>
        <v>644350</v>
      </c>
      <c r="O88" s="28">
        <v>4983941778</v>
      </c>
      <c r="P88" s="29" t="s">
        <v>151</v>
      </c>
      <c r="Q88" s="19" t="s">
        <v>140</v>
      </c>
      <c r="R88" s="30" t="s">
        <v>140</v>
      </c>
      <c r="S88" s="31">
        <v>1</v>
      </c>
      <c r="T88" s="27">
        <f t="shared" si="9"/>
        <v>4983941778</v>
      </c>
      <c r="U88" s="16">
        <f t="shared" si="10"/>
        <v>7734.8363125630476</v>
      </c>
      <c r="V88" s="16">
        <f t="shared" si="11"/>
        <v>3944.7665194071542</v>
      </c>
      <c r="W88" s="16"/>
      <c r="X88" s="1485"/>
      <c r="Y88" s="1485"/>
      <c r="Z88" s="1485"/>
      <c r="AA88" s="1485"/>
      <c r="AB88" s="1485"/>
      <c r="AC88" s="1485"/>
      <c r="AD88" s="1485"/>
      <c r="AE88" s="1485"/>
      <c r="AF88" s="1485"/>
      <c r="AG88" s="1388" t="s">
        <v>22</v>
      </c>
      <c r="AH88" s="1485"/>
      <c r="AI88" s="1485"/>
      <c r="AJ88" s="1388" t="str">
        <f>+IF(V88="","",IF(V88&gt;=[7]PARÁMETROS!$D$5,"CUMPLE","NO CUMPLE"))</f>
        <v>CUMPLE</v>
      </c>
      <c r="AK88" s="97"/>
    </row>
    <row r="89" spans="1:37" s="58" customFormat="1" ht="65.099999999999994" customHeight="1" thickBot="1">
      <c r="A89" s="1612"/>
      <c r="B89" s="1509" t="s">
        <v>1791</v>
      </c>
      <c r="C89" s="81" t="s">
        <v>410</v>
      </c>
      <c r="D89" s="226">
        <v>125</v>
      </c>
      <c r="E89" s="101" t="str">
        <f>+IFERROR(INDEX([4]CONSOLIDADO!$D$4:$D$108,MATCH('Concur - Exp. General'!C89,[4]CONSOLIDADO!$C$4:$C$108,0)),"")</f>
        <v>GC&amp;Q INGENIEROS CONSULTORES S.A.S.</v>
      </c>
      <c r="F89" s="84" t="s">
        <v>517</v>
      </c>
      <c r="G89" s="85" t="s">
        <v>1060</v>
      </c>
      <c r="H89" s="1393" t="s">
        <v>22</v>
      </c>
      <c r="I89" s="1393" t="s">
        <v>22</v>
      </c>
      <c r="J89" s="86">
        <v>0.6</v>
      </c>
      <c r="K89" s="87">
        <v>41075</v>
      </c>
      <c r="L89" s="87" t="s">
        <v>1781</v>
      </c>
      <c r="M89" s="88">
        <v>2014</v>
      </c>
      <c r="N89" s="89">
        <f>+IFERROR(INDEX([7]PARÁMETROS!$B$11:$B$37,MATCH(M89,[7]PARÁMETROS!$A$11:$A$37,0)),"")</f>
        <v>616000</v>
      </c>
      <c r="O89" s="90">
        <v>20766942881</v>
      </c>
      <c r="P89" s="91" t="s">
        <v>151</v>
      </c>
      <c r="Q89" s="81" t="s">
        <v>140</v>
      </c>
      <c r="R89" s="92" t="s">
        <v>140</v>
      </c>
      <c r="S89" s="93">
        <v>1</v>
      </c>
      <c r="T89" s="89">
        <f t="shared" si="9"/>
        <v>20766942881</v>
      </c>
      <c r="U89" s="94">
        <f t="shared" si="10"/>
        <v>33712.569612012987</v>
      </c>
      <c r="V89" s="94">
        <f t="shared" si="11"/>
        <v>20227.541767207793</v>
      </c>
      <c r="W89" s="94"/>
      <c r="X89" s="1484"/>
      <c r="Y89" s="1484"/>
      <c r="Z89" s="1484"/>
      <c r="AA89" s="1484"/>
      <c r="AB89" s="1484"/>
      <c r="AC89" s="1484"/>
      <c r="AD89" s="1484"/>
      <c r="AE89" s="1484"/>
      <c r="AF89" s="1484"/>
      <c r="AG89" s="1393" t="s">
        <v>22</v>
      </c>
      <c r="AH89" s="1484" t="str">
        <f>IF(V89="","",IF(SUM(V89:V92)&gt;=[7]PARÁMETROS!$H$5,"CUMPLE","NO CUMPLE"))</f>
        <v>CUMPLE</v>
      </c>
      <c r="AI89" s="1484" t="str">
        <f>IF((V89+V90)="","",IF((V89+V90)&gt;=[7]PARÁMETROS!$F$5,"CUMPLE","NO CUMPLE"))</f>
        <v>CUMPLE</v>
      </c>
      <c r="AJ89" s="1393" t="str">
        <f>+IF(V89="","",IF(V89&gt;=[7]PARÁMETROS!$D$5,"CUMPLE","NO CUMPLE"))</f>
        <v>CUMPLE</v>
      </c>
      <c r="AK89" s="96"/>
    </row>
    <row r="90" spans="1:37" s="58" customFormat="1" ht="65.099999999999994" customHeight="1" thickBot="1">
      <c r="A90" s="1612"/>
      <c r="B90" s="1510"/>
      <c r="C90" s="19" t="s">
        <v>410</v>
      </c>
      <c r="D90" s="227">
        <v>130</v>
      </c>
      <c r="E90" s="101" t="str">
        <f>+IFERROR(INDEX([4]CONSOLIDADO!$D$4:$D$108,MATCH('Concur - Exp. General'!C90,[4]CONSOLIDADO!$C$4:$C$108,0)),"")</f>
        <v>GC&amp;Q INGENIEROS CONSULTORES S.A.S.</v>
      </c>
      <c r="F90" s="22" t="s">
        <v>1792</v>
      </c>
      <c r="G90" s="22" t="s">
        <v>1062</v>
      </c>
      <c r="H90" s="1388" t="s">
        <v>22</v>
      </c>
      <c r="I90" s="1388" t="s">
        <v>22</v>
      </c>
      <c r="J90" s="34">
        <v>1</v>
      </c>
      <c r="K90" s="25">
        <v>39671</v>
      </c>
      <c r="L90" s="25">
        <v>40273</v>
      </c>
      <c r="M90" s="26">
        <f t="shared" si="8"/>
        <v>2010</v>
      </c>
      <c r="N90" s="27">
        <f>+IFERROR(INDEX([7]PARÁMETROS!$B$11:$B$37,MATCH(M90,[7]PARÁMETROS!$A$11:$A$37,0)),"")</f>
        <v>515000</v>
      </c>
      <c r="O90" s="35">
        <v>612800000</v>
      </c>
      <c r="P90" s="27" t="s">
        <v>177</v>
      </c>
      <c r="Q90" s="19">
        <v>1.8699999999999999E-3</v>
      </c>
      <c r="R90" s="30">
        <f>+O90*Q90</f>
        <v>1145936</v>
      </c>
      <c r="S90" s="31">
        <v>1921.88</v>
      </c>
      <c r="T90" s="27">
        <f>IF(S90&lt;&gt;"",R90*S90,"")</f>
        <v>2202351479.6800003</v>
      </c>
      <c r="U90" s="16">
        <f t="shared" si="10"/>
        <v>4276.4106401553408</v>
      </c>
      <c r="V90" s="16">
        <f t="shared" si="11"/>
        <v>4276.4106401553408</v>
      </c>
      <c r="W90" s="16"/>
      <c r="X90" s="1485"/>
      <c r="Y90" s="1485"/>
      <c r="Z90" s="1485"/>
      <c r="AA90" s="1485"/>
      <c r="AB90" s="1485"/>
      <c r="AC90" s="1485"/>
      <c r="AD90" s="1485"/>
      <c r="AE90" s="1485"/>
      <c r="AF90" s="1485"/>
      <c r="AG90" s="1388" t="s">
        <v>22</v>
      </c>
      <c r="AH90" s="1485"/>
      <c r="AI90" s="1485"/>
      <c r="AJ90" s="1388" t="str">
        <f>+IF(V90="","",IF(V90&gt;=[7]PARÁMETROS!$D$5,"CUMPLE","NO CUMPLE"))</f>
        <v>CUMPLE</v>
      </c>
      <c r="AK90" s="97"/>
    </row>
    <row r="91" spans="1:37" s="58" customFormat="1" ht="65.099999999999994" customHeight="1" thickBot="1">
      <c r="A91" s="1612"/>
      <c r="B91" s="1510"/>
      <c r="C91" s="19" t="s">
        <v>401</v>
      </c>
      <c r="D91" s="227">
        <v>137</v>
      </c>
      <c r="E91" s="101" t="str">
        <f>+IFERROR(INDEX([4]CONSOLIDADO!$D$4:$D$108,MATCH('Concur - Exp. General'!C91,[4]CONSOLIDADO!$C$4:$C$108,0)),"")</f>
        <v>GRUPO METRO COLOMBIA (GMC INGENIEROS S.A.)</v>
      </c>
      <c r="F91" s="22" t="s">
        <v>1793</v>
      </c>
      <c r="G91" s="228" t="s">
        <v>1794</v>
      </c>
      <c r="H91" s="1388" t="s">
        <v>22</v>
      </c>
      <c r="I91" s="1388" t="s">
        <v>22</v>
      </c>
      <c r="J91" s="24">
        <v>0.9</v>
      </c>
      <c r="K91" s="25">
        <v>39167</v>
      </c>
      <c r="L91" s="25">
        <v>39758</v>
      </c>
      <c r="M91" s="26">
        <f t="shared" si="8"/>
        <v>2008</v>
      </c>
      <c r="N91" s="27">
        <f>+IFERROR(INDEX([7]PARÁMETROS!$B$11:$B$37,MATCH(M91,[7]PARÁMETROS!$A$11:$A$37,0)),"")</f>
        <v>461500</v>
      </c>
      <c r="O91" s="28">
        <v>1609517781</v>
      </c>
      <c r="P91" s="29" t="s">
        <v>151</v>
      </c>
      <c r="Q91" s="19" t="s">
        <v>140</v>
      </c>
      <c r="R91" s="30" t="s">
        <v>140</v>
      </c>
      <c r="S91" s="31">
        <v>1</v>
      </c>
      <c r="T91" s="27">
        <f t="shared" si="9"/>
        <v>1609517781</v>
      </c>
      <c r="U91" s="16">
        <f t="shared" si="10"/>
        <v>3487.5791570964248</v>
      </c>
      <c r="V91" s="16">
        <f t="shared" si="11"/>
        <v>3138.8212413867823</v>
      </c>
      <c r="W91" s="208">
        <v>41</v>
      </c>
      <c r="X91" s="1485" t="s">
        <v>22</v>
      </c>
      <c r="Y91" s="1485"/>
      <c r="Z91" s="1485"/>
      <c r="AA91" s="1485" t="s">
        <v>22</v>
      </c>
      <c r="AB91" s="1485"/>
      <c r="AC91" s="1485"/>
      <c r="AD91" s="1485" t="s">
        <v>22</v>
      </c>
      <c r="AE91" s="1485"/>
      <c r="AF91" s="1485"/>
      <c r="AG91" s="1388" t="s">
        <v>22</v>
      </c>
      <c r="AH91" s="1485"/>
      <c r="AI91" s="1485"/>
      <c r="AJ91" s="1388" t="str">
        <f>+IF(V91="","",IF(V91&gt;=[7]PARÁMETROS!$D$5,"CUMPLE","NO CUMPLE"))</f>
        <v>CUMPLE</v>
      </c>
      <c r="AK91" s="97"/>
    </row>
    <row r="92" spans="1:37" s="58" customFormat="1" ht="65.099999999999994" customHeight="1" thickBot="1">
      <c r="A92" s="1612"/>
      <c r="B92" s="1510"/>
      <c r="C92" s="19" t="s">
        <v>401</v>
      </c>
      <c r="D92" s="229">
        <v>144</v>
      </c>
      <c r="E92" s="101" t="str">
        <f>+IFERROR(INDEX([4]CONSOLIDADO!$D$4:$D$108,MATCH('Concur - Exp. General'!C92,[4]CONSOLIDADO!$C$4:$C$108,0)),"")</f>
        <v>GRUPO METRO COLOMBIA (GMC INGENIEROS S.A.)</v>
      </c>
      <c r="F92" s="22" t="s">
        <v>1674</v>
      </c>
      <c r="G92" s="228" t="s">
        <v>1795</v>
      </c>
      <c r="H92" s="1388" t="s">
        <v>22</v>
      </c>
      <c r="I92" s="1388" t="s">
        <v>22</v>
      </c>
      <c r="J92" s="24">
        <v>0.9</v>
      </c>
      <c r="K92" s="25">
        <v>41523</v>
      </c>
      <c r="L92" s="25">
        <v>42094</v>
      </c>
      <c r="M92" s="26">
        <f t="shared" si="8"/>
        <v>2015</v>
      </c>
      <c r="N92" s="27">
        <f>+IFERROR(INDEX([7]PARÁMETROS!$B$11:$B$37,MATCH(M92,[7]PARÁMETROS!$A$11:$A$37,0)),"")</f>
        <v>644350</v>
      </c>
      <c r="O92" s="28">
        <v>4539581069</v>
      </c>
      <c r="P92" s="29" t="s">
        <v>151</v>
      </c>
      <c r="Q92" s="19" t="s">
        <v>140</v>
      </c>
      <c r="R92" s="30" t="s">
        <v>140</v>
      </c>
      <c r="S92" s="31">
        <v>1</v>
      </c>
      <c r="T92" s="27">
        <f t="shared" si="9"/>
        <v>4539581069</v>
      </c>
      <c r="U92" s="16">
        <f t="shared" si="10"/>
        <v>7045.2100085357333</v>
      </c>
      <c r="V92" s="16">
        <f t="shared" si="11"/>
        <v>6340.6890076821601</v>
      </c>
      <c r="W92" s="208">
        <v>61</v>
      </c>
      <c r="X92" s="1485" t="s">
        <v>22</v>
      </c>
      <c r="Y92" s="1485"/>
      <c r="Z92" s="1485"/>
      <c r="AA92" s="1485" t="s">
        <v>22</v>
      </c>
      <c r="AB92" s="1485"/>
      <c r="AC92" s="1485"/>
      <c r="AD92" s="1485" t="s">
        <v>22</v>
      </c>
      <c r="AE92" s="1485"/>
      <c r="AF92" s="1485"/>
      <c r="AG92" s="1388" t="s">
        <v>22</v>
      </c>
      <c r="AH92" s="1485"/>
      <c r="AI92" s="1485"/>
      <c r="AJ92" s="1388" t="str">
        <f>+IF(V92="","",IF(V92&gt;=[7]PARÁMETROS!$D$5,"CUMPLE","NO CUMPLE"))</f>
        <v>CUMPLE</v>
      </c>
      <c r="AK92" s="97"/>
    </row>
    <row r="93" spans="1:37" s="58" customFormat="1" ht="65.099999999999994" customHeight="1" thickBot="1">
      <c r="A93" s="1612"/>
      <c r="B93" s="1509" t="s">
        <v>1796</v>
      </c>
      <c r="C93" s="81" t="s">
        <v>416</v>
      </c>
      <c r="D93" s="230">
        <v>155</v>
      </c>
      <c r="E93" s="101" t="str">
        <f>+IFERROR(INDEX([4]CONSOLIDADO!$D$4:$D$108,MATCH('Concur - Exp. General'!C93,[4]CONSOLIDADO!$C$4:$C$108,0)),"")</f>
        <v>IV INGENIEROS CONSULTORES E INTERVENTOR S.A.S.</v>
      </c>
      <c r="F93" s="84" t="s">
        <v>1797</v>
      </c>
      <c r="G93" s="85" t="s">
        <v>1798</v>
      </c>
      <c r="H93" s="1393" t="s">
        <v>22</v>
      </c>
      <c r="I93" s="1393" t="s">
        <v>22</v>
      </c>
      <c r="J93" s="86">
        <v>1</v>
      </c>
      <c r="K93" s="87">
        <v>37774</v>
      </c>
      <c r="L93" s="87">
        <v>38597</v>
      </c>
      <c r="M93" s="88">
        <f t="shared" si="8"/>
        <v>2005</v>
      </c>
      <c r="N93" s="89">
        <f>+IFERROR(INDEX([7]PARÁMETROS!$B$11:$B$37,MATCH(M93,[7]PARÁMETROS!$A$11:$A$37,0)),"")</f>
        <v>381500</v>
      </c>
      <c r="O93" s="90">
        <v>1207476.71</v>
      </c>
      <c r="P93" s="91" t="s">
        <v>142</v>
      </c>
      <c r="Q93" s="81">
        <v>1.2487999999999999</v>
      </c>
      <c r="R93" s="92">
        <f>+O93*Q93</f>
        <v>1507896.915448</v>
      </c>
      <c r="S93" s="93">
        <v>2298.85</v>
      </c>
      <c r="T93" s="89">
        <f>IF(S93&lt;&gt;"",R93*S93,"")</f>
        <v>3466428824.0776343</v>
      </c>
      <c r="U93" s="94">
        <f t="shared" si="10"/>
        <v>9086.3140867041529</v>
      </c>
      <c r="V93" s="94">
        <f t="shared" si="11"/>
        <v>9086.3140867041529</v>
      </c>
      <c r="W93" s="207">
        <v>23</v>
      </c>
      <c r="X93" s="1484" t="s">
        <v>22</v>
      </c>
      <c r="Y93" s="1484"/>
      <c r="Z93" s="1484"/>
      <c r="AA93" s="1484" t="s">
        <v>22</v>
      </c>
      <c r="AB93" s="1484"/>
      <c r="AC93" s="1484"/>
      <c r="AD93" s="1484" t="s">
        <v>22</v>
      </c>
      <c r="AE93" s="1484"/>
      <c r="AF93" s="1484"/>
      <c r="AG93" s="1393" t="s">
        <v>22</v>
      </c>
      <c r="AH93" s="1484" t="str">
        <f>IF(V93="","",IF(SUM(V93:V98)&gt;=[7]PARÁMETROS!$H$5,"CUMPLE","NO CUMPLE"))</f>
        <v>CUMPLE</v>
      </c>
      <c r="AI93" s="1484" t="str">
        <f>IF((V93+V94)="","",IF((V96+V97+V98)&gt;=[7]PARÁMETROS!$F$5,"CUMPLE","NO CUMPLE"))</f>
        <v>CUMPLE</v>
      </c>
      <c r="AJ93" s="1393" t="str">
        <f>+IF(V93="","",IF(V93&gt;=[7]PARÁMETROS!$D$5,"CUMPLE","NO CUMPLE"))</f>
        <v>CUMPLE</v>
      </c>
      <c r="AK93" s="96"/>
    </row>
    <row r="94" spans="1:37" s="58" customFormat="1" ht="65.099999999999994" customHeight="1" thickBot="1">
      <c r="A94" s="1612"/>
      <c r="B94" s="1510"/>
      <c r="C94" s="19" t="s">
        <v>416</v>
      </c>
      <c r="D94" s="226">
        <v>160</v>
      </c>
      <c r="E94" s="101" t="str">
        <f>+IFERROR(INDEX([4]CONSOLIDADO!$D$4:$D$108,MATCH('Concur - Exp. General'!C94,[4]CONSOLIDADO!$C$4:$C$108,0)),"")</f>
        <v>IV INGENIEROS CONSULTORES E INTERVENTOR S.A.S.</v>
      </c>
      <c r="F94" s="22" t="s">
        <v>1797</v>
      </c>
      <c r="G94" s="72" t="s">
        <v>1799</v>
      </c>
      <c r="H94" s="1388" t="s">
        <v>22</v>
      </c>
      <c r="I94" s="1388" t="s">
        <v>22</v>
      </c>
      <c r="J94" s="24">
        <v>1</v>
      </c>
      <c r="K94" s="25">
        <v>39329</v>
      </c>
      <c r="L94" s="25">
        <v>40578</v>
      </c>
      <c r="M94" s="26">
        <f t="shared" si="8"/>
        <v>2011</v>
      </c>
      <c r="N94" s="27">
        <f>+IFERROR(INDEX([7]PARÁMETROS!$B$11:$B$37,MATCH(M94,[7]PARÁMETROS!$A$11:$A$37,0)),"")</f>
        <v>535600</v>
      </c>
      <c r="O94" s="28">
        <v>1551350.29</v>
      </c>
      <c r="P94" s="29" t="s">
        <v>142</v>
      </c>
      <c r="Q94" s="19">
        <v>1.3747400000000001</v>
      </c>
      <c r="R94" s="30">
        <f>+Q94*O94</f>
        <v>2132703.2976746</v>
      </c>
      <c r="S94" s="31">
        <v>1863.03</v>
      </c>
      <c r="T94" s="27">
        <f>IF(S94&lt;&gt;"",R94*S94,"")</f>
        <v>3973290224.6667099</v>
      </c>
      <c r="U94" s="16">
        <f t="shared" si="10"/>
        <v>7418.3910094598768</v>
      </c>
      <c r="V94" s="16">
        <f t="shared" si="11"/>
        <v>7418.3910094598768</v>
      </c>
      <c r="W94" s="208">
        <v>21</v>
      </c>
      <c r="X94" s="1485" t="s">
        <v>22</v>
      </c>
      <c r="Y94" s="1485"/>
      <c r="Z94" s="1485"/>
      <c r="AA94" s="1485" t="s">
        <v>22</v>
      </c>
      <c r="AB94" s="1485"/>
      <c r="AC94" s="1485"/>
      <c r="AD94" s="1485" t="s">
        <v>22</v>
      </c>
      <c r="AE94" s="1485"/>
      <c r="AF94" s="1485"/>
      <c r="AG94" s="1388" t="s">
        <v>22</v>
      </c>
      <c r="AH94" s="1485"/>
      <c r="AI94" s="1485"/>
      <c r="AJ94" s="1388" t="str">
        <f>+IF(V94="","",IF(V94&gt;=[7]PARÁMETROS!$D$5,"CUMPLE","NO CUMPLE"))</f>
        <v>CUMPLE</v>
      </c>
      <c r="AK94" s="122"/>
    </row>
    <row r="95" spans="1:37" s="58" customFormat="1" ht="65.099999999999994" customHeight="1" thickBot="1">
      <c r="A95" s="1612"/>
      <c r="B95" s="1510"/>
      <c r="C95" s="19" t="s">
        <v>425</v>
      </c>
      <c r="D95" s="226">
        <v>201</v>
      </c>
      <c r="E95" s="101" t="str">
        <f>+IFERROR(INDEX([4]CONSOLIDADO!$D$4:$D$108,MATCH('Concur - Exp. General'!C95,[4]CONSOLIDADO!$C$4:$C$108,0)),"")</f>
        <v>CELQO S.A.S.</v>
      </c>
      <c r="F95" s="22" t="s">
        <v>949</v>
      </c>
      <c r="G95" s="23" t="s">
        <v>1800</v>
      </c>
      <c r="H95" s="1388" t="s">
        <v>22</v>
      </c>
      <c r="I95" s="1388" t="s">
        <v>22</v>
      </c>
      <c r="J95" s="24">
        <v>0.75</v>
      </c>
      <c r="K95" s="25">
        <v>38684</v>
      </c>
      <c r="L95" s="25">
        <v>39690</v>
      </c>
      <c r="M95" s="26">
        <f t="shared" si="8"/>
        <v>2008</v>
      </c>
      <c r="N95" s="27">
        <f>+IFERROR(INDEX([7]PARÁMETROS!$B$11:$B$37,MATCH(M95,[7]PARÁMETROS!$A$11:$A$37,0)),"")</f>
        <v>461500</v>
      </c>
      <c r="O95" s="28">
        <v>1688370055.5</v>
      </c>
      <c r="P95" s="29" t="s">
        <v>1801</v>
      </c>
      <c r="Q95" s="19" t="s">
        <v>140</v>
      </c>
      <c r="R95" s="30" t="s">
        <v>140</v>
      </c>
      <c r="S95" s="31">
        <v>1</v>
      </c>
      <c r="T95" s="27">
        <f>IF(S95&lt;&gt;"",O95*S95,"")</f>
        <v>1688370055.5</v>
      </c>
      <c r="U95" s="16">
        <f t="shared" si="10"/>
        <v>3658.4399902491873</v>
      </c>
      <c r="V95" s="16">
        <f t="shared" si="11"/>
        <v>2743.8299926868904</v>
      </c>
      <c r="W95" s="208">
        <v>5</v>
      </c>
      <c r="X95" s="1485" t="s">
        <v>22</v>
      </c>
      <c r="Y95" s="1485"/>
      <c r="Z95" s="1485"/>
      <c r="AA95" s="1485" t="s">
        <v>22</v>
      </c>
      <c r="AB95" s="1485"/>
      <c r="AC95" s="1485"/>
      <c r="AD95" s="1485" t="s">
        <v>22</v>
      </c>
      <c r="AE95" s="1485"/>
      <c r="AF95" s="1485"/>
      <c r="AG95" s="1388" t="s">
        <v>22</v>
      </c>
      <c r="AH95" s="1485"/>
      <c r="AI95" s="1485"/>
      <c r="AJ95" s="1388" t="str">
        <f>+IF(V95="","",IF(V95&gt;=[7]PARÁMETROS!$D$5,"CUMPLE","NO CUMPLE"))</f>
        <v>CUMPLE</v>
      </c>
      <c r="AK95" s="97"/>
    </row>
    <row r="96" spans="1:37" s="58" customFormat="1" ht="65.099999999999994" customHeight="1" thickBot="1">
      <c r="A96" s="1612"/>
      <c r="B96" s="1510"/>
      <c r="C96" s="19" t="s">
        <v>1802</v>
      </c>
      <c r="D96" s="226">
        <v>247</v>
      </c>
      <c r="E96" s="101" t="s">
        <v>1803</v>
      </c>
      <c r="F96" s="22" t="s">
        <v>1674</v>
      </c>
      <c r="G96" s="23" t="s">
        <v>1804</v>
      </c>
      <c r="H96" s="1388" t="s">
        <v>22</v>
      </c>
      <c r="I96" s="1388" t="s">
        <v>22</v>
      </c>
      <c r="J96" s="24">
        <v>0.51</v>
      </c>
      <c r="K96" s="25">
        <v>38770</v>
      </c>
      <c r="L96" s="25">
        <v>39778</v>
      </c>
      <c r="M96" s="26">
        <f t="shared" si="8"/>
        <v>2008</v>
      </c>
      <c r="N96" s="27">
        <f>+IFERROR(INDEX([7]PARÁMETROS!$B$11:$B$37,MATCH(M96,[7]PARÁMETROS!$A$11:$A$37,0)),"")</f>
        <v>461500</v>
      </c>
      <c r="O96" s="28">
        <v>3501850677</v>
      </c>
      <c r="P96" s="29" t="s">
        <v>1801</v>
      </c>
      <c r="Q96" s="19" t="s">
        <v>140</v>
      </c>
      <c r="R96" s="30" t="s">
        <v>140</v>
      </c>
      <c r="S96" s="31">
        <v>1</v>
      </c>
      <c r="T96" s="27">
        <f t="shared" si="9"/>
        <v>3501850677</v>
      </c>
      <c r="U96" s="16">
        <f t="shared" si="10"/>
        <v>7587.9754647887321</v>
      </c>
      <c r="V96" s="16">
        <f t="shared" si="11"/>
        <v>3869.8674870422533</v>
      </c>
      <c r="W96" s="208">
        <v>3</v>
      </c>
      <c r="X96" s="1485" t="s">
        <v>22</v>
      </c>
      <c r="Y96" s="1485"/>
      <c r="Z96" s="1485"/>
      <c r="AA96" s="1485" t="s">
        <v>22</v>
      </c>
      <c r="AB96" s="1485"/>
      <c r="AC96" s="1485"/>
      <c r="AD96" s="1485" t="s">
        <v>22</v>
      </c>
      <c r="AE96" s="1485"/>
      <c r="AF96" s="1485"/>
      <c r="AG96" s="1388" t="s">
        <v>22</v>
      </c>
      <c r="AH96" s="1485"/>
      <c r="AI96" s="1485"/>
      <c r="AJ96" s="1388" t="str">
        <f>+IF(V96="","",IF(V96&gt;=[7]PARÁMETROS!$D$5,"CUMPLE","NO CUMPLE"))</f>
        <v>CUMPLE</v>
      </c>
      <c r="AK96" s="97"/>
    </row>
    <row r="97" spans="1:37" s="58" customFormat="1" ht="65.099999999999994" customHeight="1" thickBot="1">
      <c r="A97" s="1612"/>
      <c r="B97" s="1510"/>
      <c r="C97" s="19" t="s">
        <v>1802</v>
      </c>
      <c r="D97" s="226">
        <v>313</v>
      </c>
      <c r="E97" s="101" t="s">
        <v>1803</v>
      </c>
      <c r="F97" s="22" t="s">
        <v>1217</v>
      </c>
      <c r="G97" s="23" t="s">
        <v>1805</v>
      </c>
      <c r="H97" s="1388" t="s">
        <v>22</v>
      </c>
      <c r="I97" s="1388" t="s">
        <v>22</v>
      </c>
      <c r="J97" s="24">
        <v>1</v>
      </c>
      <c r="K97" s="25">
        <v>40474</v>
      </c>
      <c r="L97" s="25">
        <v>41173</v>
      </c>
      <c r="M97" s="26">
        <f t="shared" si="8"/>
        <v>2012</v>
      </c>
      <c r="N97" s="27">
        <f>+IFERROR(INDEX([7]PARÁMETROS!$B$11:$B$37,MATCH(M97,[7]PARÁMETROS!$A$11:$A$37,0)),"")</f>
        <v>566700</v>
      </c>
      <c r="O97" s="28">
        <v>3241542005</v>
      </c>
      <c r="P97" s="29" t="s">
        <v>1801</v>
      </c>
      <c r="Q97" s="19" t="s">
        <v>140</v>
      </c>
      <c r="R97" s="30" t="s">
        <v>140</v>
      </c>
      <c r="S97" s="31">
        <v>1</v>
      </c>
      <c r="T97" s="27">
        <f t="shared" si="9"/>
        <v>3241542005</v>
      </c>
      <c r="U97" s="16">
        <f t="shared" si="10"/>
        <v>5720.0317716604904</v>
      </c>
      <c r="V97" s="16">
        <f t="shared" si="11"/>
        <v>5720.0317716604904</v>
      </c>
      <c r="W97" s="208">
        <v>32</v>
      </c>
      <c r="X97" s="1485" t="s">
        <v>22</v>
      </c>
      <c r="Y97" s="1485"/>
      <c r="Z97" s="1485"/>
      <c r="AA97" s="1485" t="s">
        <v>22</v>
      </c>
      <c r="AB97" s="1485"/>
      <c r="AC97" s="1485"/>
      <c r="AD97" s="1485" t="s">
        <v>22</v>
      </c>
      <c r="AE97" s="1485"/>
      <c r="AF97" s="1485"/>
      <c r="AG97" s="1388" t="s">
        <v>22</v>
      </c>
      <c r="AH97" s="1485"/>
      <c r="AI97" s="1485"/>
      <c r="AJ97" s="1388" t="str">
        <f>+IF(V97="","",IF(V97&gt;=[7]PARÁMETROS!$D$5,"CUMPLE","NO CUMPLE"))</f>
        <v>CUMPLE</v>
      </c>
      <c r="AK97" s="97"/>
    </row>
    <row r="98" spans="1:37" s="58" customFormat="1" ht="65.099999999999994" customHeight="1" thickBot="1">
      <c r="A98" s="1612"/>
      <c r="B98" s="1511"/>
      <c r="C98" s="99" t="s">
        <v>1802</v>
      </c>
      <c r="D98" s="231">
        <v>372</v>
      </c>
      <c r="E98" s="101" t="s">
        <v>1803</v>
      </c>
      <c r="F98" s="102" t="s">
        <v>1806</v>
      </c>
      <c r="G98" s="103" t="s">
        <v>1807</v>
      </c>
      <c r="H98" s="1392" t="s">
        <v>22</v>
      </c>
      <c r="I98" s="1392" t="s">
        <v>22</v>
      </c>
      <c r="J98" s="104">
        <v>1</v>
      </c>
      <c r="K98" s="105">
        <v>36910</v>
      </c>
      <c r="L98" s="105">
        <v>38050</v>
      </c>
      <c r="M98" s="106">
        <f t="shared" si="8"/>
        <v>2004</v>
      </c>
      <c r="N98" s="107">
        <f>+IFERROR(INDEX([7]PARÁMETROS!$B$11:$B$37,MATCH(M98,[7]PARÁMETROS!$A$11:$A$37,0)),"")</f>
        <v>358000</v>
      </c>
      <c r="O98" s="108">
        <v>913974294</v>
      </c>
      <c r="P98" s="109" t="s">
        <v>1801</v>
      </c>
      <c r="Q98" s="99" t="s">
        <v>140</v>
      </c>
      <c r="R98" s="110" t="s">
        <v>140</v>
      </c>
      <c r="S98" s="111">
        <v>1</v>
      </c>
      <c r="T98" s="107">
        <f t="shared" si="9"/>
        <v>913974294</v>
      </c>
      <c r="U98" s="112">
        <f t="shared" si="10"/>
        <v>2553.0008212290504</v>
      </c>
      <c r="V98" s="112">
        <f t="shared" si="11"/>
        <v>2553.0008212290504</v>
      </c>
      <c r="W98" s="213">
        <v>14</v>
      </c>
      <c r="X98" s="1486" t="s">
        <v>22</v>
      </c>
      <c r="Y98" s="1486"/>
      <c r="Z98" s="1486"/>
      <c r="AA98" s="1486" t="s">
        <v>22</v>
      </c>
      <c r="AB98" s="1486"/>
      <c r="AC98" s="1486"/>
      <c r="AD98" s="1486" t="s">
        <v>22</v>
      </c>
      <c r="AE98" s="1486"/>
      <c r="AF98" s="1486"/>
      <c r="AG98" s="1392" t="s">
        <v>22</v>
      </c>
      <c r="AH98" s="1486"/>
      <c r="AI98" s="1486"/>
      <c r="AJ98" s="1392" t="str">
        <f>+IF(V98="","",IF(V98&gt;=[7]PARÁMETROS!$D$5,"CUMPLE","NO CUMPLE"))</f>
        <v>CUMPLE</v>
      </c>
      <c r="AK98" s="113"/>
    </row>
    <row r="99" spans="1:37" s="58" customFormat="1" ht="65.099999999999994" customHeight="1" thickBot="1">
      <c r="A99" s="1612"/>
      <c r="B99" s="1509" t="s">
        <v>1808</v>
      </c>
      <c r="C99" s="81" t="s">
        <v>436</v>
      </c>
      <c r="D99" s="230">
        <v>110</v>
      </c>
      <c r="E99" s="101" t="str">
        <f>+IFERROR(INDEX([4]CONSOLIDADO!$D$4:$D$108,MATCH('Concur - Exp. General'!C99,[4]CONSOLIDADO!$C$4:$C$108,0)),"")</f>
        <v>BAG ENGINEERING CONSULTANCY GROUP S.A.S.</v>
      </c>
      <c r="F99" s="84" t="s">
        <v>1809</v>
      </c>
      <c r="G99" s="85" t="s">
        <v>1810</v>
      </c>
      <c r="H99" s="1393" t="s">
        <v>22</v>
      </c>
      <c r="I99" s="1393" t="s">
        <v>22</v>
      </c>
      <c r="J99" s="86">
        <v>0.5</v>
      </c>
      <c r="K99" s="87">
        <v>39722</v>
      </c>
      <c r="L99" s="87">
        <v>41211</v>
      </c>
      <c r="M99" s="88">
        <f t="shared" si="8"/>
        <v>2012</v>
      </c>
      <c r="N99" s="89">
        <f>+IFERROR(INDEX([7]PARÁMETROS!$B$11:$B$37,MATCH(M99,[7]PARÁMETROS!$A$11:$A$37,0)),"")</f>
        <v>566700</v>
      </c>
      <c r="O99" s="90">
        <v>2738296</v>
      </c>
      <c r="P99" s="91" t="s">
        <v>142</v>
      </c>
      <c r="Q99" s="81">
        <v>1.29355</v>
      </c>
      <c r="R99" s="92">
        <f>+O99*Q99</f>
        <v>3542122.7908000001</v>
      </c>
      <c r="S99" s="93">
        <v>1823.18</v>
      </c>
      <c r="T99" s="89">
        <f>IF(S99&lt;&gt;"",R99*S99,"")</f>
        <v>6457927429.7307444</v>
      </c>
      <c r="U99" s="94">
        <f t="shared" si="10"/>
        <v>11395.672189396055</v>
      </c>
      <c r="V99" s="94">
        <f t="shared" si="11"/>
        <v>5697.8360946980274</v>
      </c>
      <c r="W99" s="207">
        <v>16</v>
      </c>
      <c r="X99" s="1484" t="s">
        <v>22</v>
      </c>
      <c r="Y99" s="1484"/>
      <c r="Z99" s="1484"/>
      <c r="AA99" s="1484" t="s">
        <v>22</v>
      </c>
      <c r="AB99" s="1484"/>
      <c r="AC99" s="1484"/>
      <c r="AD99" s="1484" t="s">
        <v>22</v>
      </c>
      <c r="AE99" s="1484"/>
      <c r="AF99" s="1484"/>
      <c r="AG99" s="1393" t="s">
        <v>22</v>
      </c>
      <c r="AH99" s="1484" t="str">
        <f>IF(V99="","",IF(SUM(V99:V102)&gt;=[7]PARÁMETROS!$H$5,"CUMPLE","NO CUMPLE"))</f>
        <v>CUMPLE</v>
      </c>
      <c r="AI99" s="1484" t="str">
        <f>IF(V99+V100+V101="","",IF(V99+V100+V101&gt;=[7]PARÁMETROS!$F$5,"CUMPLE","NO CUMPLE"))</f>
        <v>CUMPLE</v>
      </c>
      <c r="AJ99" s="1393" t="str">
        <f>+IF(V99="","",IF(V99&gt;=[7]PARÁMETROS!$D$5,"CUMPLE","NO CUMPLE"))</f>
        <v>CUMPLE</v>
      </c>
      <c r="AK99" s="96"/>
    </row>
    <row r="100" spans="1:37" s="58" customFormat="1" ht="65.099999999999994" customHeight="1" thickBot="1">
      <c r="A100" s="1612"/>
      <c r="B100" s="1510"/>
      <c r="C100" s="19" t="s">
        <v>436</v>
      </c>
      <c r="D100" s="226">
        <v>118</v>
      </c>
      <c r="E100" s="101" t="str">
        <f>+IFERROR(INDEX([4]CONSOLIDADO!$D$4:$D$108,MATCH('Concur - Exp. General'!C100,[4]CONSOLIDADO!$C$4:$C$108,0)),"")</f>
        <v>BAG ENGINEERING CONSULTANCY GROUP S.A.S.</v>
      </c>
      <c r="F100" s="22" t="s">
        <v>1811</v>
      </c>
      <c r="G100" s="23" t="s">
        <v>1812</v>
      </c>
      <c r="H100" s="1388" t="s">
        <v>22</v>
      </c>
      <c r="I100" s="1388" t="s">
        <v>22</v>
      </c>
      <c r="J100" s="24">
        <v>0.5</v>
      </c>
      <c r="K100" s="25">
        <v>39328</v>
      </c>
      <c r="L100" s="25">
        <v>41486</v>
      </c>
      <c r="M100" s="26">
        <f t="shared" si="8"/>
        <v>2013</v>
      </c>
      <c r="N100" s="27">
        <f>+IFERROR(INDEX([7]PARÁMETROS!$B$11:$B$37,MATCH(M100,[7]PARÁMETROS!$A$11:$A$37,0)),"")</f>
        <v>589500</v>
      </c>
      <c r="O100" s="28">
        <v>2913489.22</v>
      </c>
      <c r="P100" s="29" t="s">
        <v>142</v>
      </c>
      <c r="Q100" s="19">
        <v>1.3262400000000001</v>
      </c>
      <c r="R100" s="30">
        <f>+O100*Q100</f>
        <v>3863985.9431328005</v>
      </c>
      <c r="S100" s="31">
        <v>1890.33</v>
      </c>
      <c r="T100" s="27">
        <f>IF(S100&lt;&gt;"",R100*S100,"")</f>
        <v>7304208547.8822269</v>
      </c>
      <c r="U100" s="16">
        <f t="shared" si="10"/>
        <v>12390.514924312514</v>
      </c>
      <c r="V100" s="16">
        <f t="shared" si="11"/>
        <v>6195.2574621562571</v>
      </c>
      <c r="W100" s="208">
        <v>20</v>
      </c>
      <c r="X100" s="1485" t="s">
        <v>22</v>
      </c>
      <c r="Y100" s="1485"/>
      <c r="Z100" s="1485"/>
      <c r="AA100" s="1485" t="s">
        <v>22</v>
      </c>
      <c r="AB100" s="1485"/>
      <c r="AC100" s="1485"/>
      <c r="AD100" s="1485" t="s">
        <v>22</v>
      </c>
      <c r="AE100" s="1485"/>
      <c r="AF100" s="1485"/>
      <c r="AG100" s="1388" t="s">
        <v>22</v>
      </c>
      <c r="AH100" s="1485"/>
      <c r="AI100" s="1485"/>
      <c r="AJ100" s="1388" t="str">
        <f>+IF(V100="","",IF(V100&gt;=[7]PARÁMETROS!$D$5,"CUMPLE","NO CUMPLE"))</f>
        <v>CUMPLE</v>
      </c>
      <c r="AK100" s="97"/>
    </row>
    <row r="101" spans="1:37" s="58" customFormat="1" ht="65.099999999999994" customHeight="1" thickBot="1">
      <c r="A101" s="1612"/>
      <c r="B101" s="1510"/>
      <c r="C101" s="19" t="s">
        <v>436</v>
      </c>
      <c r="D101" s="226">
        <v>127</v>
      </c>
      <c r="E101" s="101" t="str">
        <f>+IFERROR(INDEX([4]CONSOLIDADO!$D$4:$D$108,MATCH('Concur - Exp. General'!C101,[4]CONSOLIDADO!$C$4:$C$108,0)),"")</f>
        <v>BAG ENGINEERING CONSULTANCY GROUP S.A.S.</v>
      </c>
      <c r="F101" s="37" t="s">
        <v>1813</v>
      </c>
      <c r="G101" s="23" t="s">
        <v>1814</v>
      </c>
      <c r="H101" s="1388" t="s">
        <v>22</v>
      </c>
      <c r="I101" s="1388" t="s">
        <v>22</v>
      </c>
      <c r="J101" s="38">
        <v>0.5</v>
      </c>
      <c r="K101" s="25">
        <v>39575</v>
      </c>
      <c r="L101" s="25">
        <v>40663</v>
      </c>
      <c r="M101" s="26">
        <f t="shared" si="8"/>
        <v>2011</v>
      </c>
      <c r="N101" s="27">
        <f>+IFERROR(INDEX([7]PARÁMETROS!$B$11:$B$37,MATCH(M101,[7]PARÁMETROS!$A$11:$A$37,0)),"")</f>
        <v>535600</v>
      </c>
      <c r="O101" s="28">
        <v>4410425.8600000003</v>
      </c>
      <c r="P101" s="29" t="s">
        <v>142</v>
      </c>
      <c r="Q101" s="19">
        <v>1.4837899999999999</v>
      </c>
      <c r="R101" s="30">
        <f>+O101*Q101</f>
        <v>6544145.7868094007</v>
      </c>
      <c r="S101" s="31">
        <v>1768.19</v>
      </c>
      <c r="T101" s="27">
        <f>IF(S101&lt;&gt;"",R101*S101,"")</f>
        <v>11571293138.778515</v>
      </c>
      <c r="U101" s="16">
        <f t="shared" si="10"/>
        <v>21604.356121692523</v>
      </c>
      <c r="V101" s="16">
        <f t="shared" si="11"/>
        <v>10802.178060846261</v>
      </c>
      <c r="W101" s="208">
        <v>24</v>
      </c>
      <c r="X101" s="1485" t="s">
        <v>22</v>
      </c>
      <c r="Y101" s="1485"/>
      <c r="Z101" s="1485"/>
      <c r="AA101" s="1485" t="s">
        <v>22</v>
      </c>
      <c r="AB101" s="1485"/>
      <c r="AC101" s="1485"/>
      <c r="AD101" s="1485" t="s">
        <v>22</v>
      </c>
      <c r="AE101" s="1485"/>
      <c r="AF101" s="1485"/>
      <c r="AG101" s="1388" t="s">
        <v>22</v>
      </c>
      <c r="AH101" s="1485"/>
      <c r="AI101" s="1485"/>
      <c r="AJ101" s="1388" t="str">
        <f>+IF(V101="","",IF(V101&gt;=[7]PARÁMETROS!$D$5,"CUMPLE","NO CUMPLE"))</f>
        <v>CUMPLE</v>
      </c>
      <c r="AK101" s="97"/>
    </row>
    <row r="102" spans="1:37" s="58" customFormat="1" ht="65.099999999999994" customHeight="1" thickBot="1">
      <c r="A102" s="1612"/>
      <c r="B102" s="1510"/>
      <c r="C102" s="19" t="s">
        <v>441</v>
      </c>
      <c r="D102" s="231">
        <v>132</v>
      </c>
      <c r="E102" s="101" t="str">
        <f>+IFERROR(INDEX([4]CONSOLIDADO!$D$4:$D$108,MATCH('Concur - Exp. General'!C102,[4]CONSOLIDADO!$C$4:$C$108,0)),"")</f>
        <v>INGENIEROS PROYECTOS CONSULTORIAS IPC S.A.S.</v>
      </c>
      <c r="F102" s="22" t="s">
        <v>442</v>
      </c>
      <c r="G102" s="23" t="s">
        <v>1815</v>
      </c>
      <c r="H102" s="1388" t="s">
        <v>22</v>
      </c>
      <c r="I102" s="1388" t="s">
        <v>22</v>
      </c>
      <c r="J102" s="39">
        <v>0.15</v>
      </c>
      <c r="K102" s="40">
        <v>38397</v>
      </c>
      <c r="L102" s="41">
        <v>39933</v>
      </c>
      <c r="M102" s="26">
        <f t="shared" si="8"/>
        <v>2009</v>
      </c>
      <c r="N102" s="27">
        <f>+IFERROR(INDEX([7]PARÁMETROS!$B$11:$B$37,MATCH(M102,[7]PARÁMETROS!$A$11:$A$37,0)),"")</f>
        <v>496900</v>
      </c>
      <c r="O102" s="232">
        <v>8552787844</v>
      </c>
      <c r="P102" s="29" t="s">
        <v>1801</v>
      </c>
      <c r="Q102" s="29" t="s">
        <v>140</v>
      </c>
      <c r="R102" s="29" t="s">
        <v>140</v>
      </c>
      <c r="S102" s="29">
        <v>1</v>
      </c>
      <c r="T102" s="27">
        <f t="shared" si="9"/>
        <v>8552787844</v>
      </c>
      <c r="U102" s="16">
        <f t="shared" si="10"/>
        <v>17212.29189776615</v>
      </c>
      <c r="V102" s="16">
        <f t="shared" si="11"/>
        <v>2581.8437846649226</v>
      </c>
      <c r="W102" s="210">
        <v>5</v>
      </c>
      <c r="X102" s="1485"/>
      <c r="Y102" s="1485"/>
      <c r="Z102" s="1485"/>
      <c r="AA102" s="1485"/>
      <c r="AB102" s="1485"/>
      <c r="AC102" s="1485"/>
      <c r="AD102" s="1485" t="s">
        <v>22</v>
      </c>
      <c r="AE102" s="1485"/>
      <c r="AF102" s="1485"/>
      <c r="AG102" s="1388" t="s">
        <v>22</v>
      </c>
      <c r="AH102" s="1485"/>
      <c r="AI102" s="1485"/>
      <c r="AJ102" s="1388" t="str">
        <f>+IF(V102="","",IF(V102&gt;=[7]PARÁMETROS!$D$5,"CUMPLE","NO CUMPLE"))</f>
        <v>CUMPLE</v>
      </c>
      <c r="AK102" s="97"/>
    </row>
    <row r="103" spans="1:37" s="58" customFormat="1" ht="65.099999999999994" customHeight="1" thickBot="1">
      <c r="A103" s="1612"/>
      <c r="B103" s="1509" t="s">
        <v>1816</v>
      </c>
      <c r="C103" s="81" t="s">
        <v>455</v>
      </c>
      <c r="D103" s="226">
        <v>140</v>
      </c>
      <c r="E103" s="101" t="str">
        <f>+IFERROR(INDEX([4]CONSOLIDADO!$D$4:$D$108,MATCH('Concur - Exp. General'!C103,[4]CONSOLIDADO!$C$4:$C$108,0)),"")</f>
        <v>B&amp;C S.A.</v>
      </c>
      <c r="F103" s="84" t="s">
        <v>442</v>
      </c>
      <c r="G103" s="85" t="s">
        <v>1109</v>
      </c>
      <c r="H103" s="1393" t="s">
        <v>22</v>
      </c>
      <c r="I103" s="1393" t="s">
        <v>22</v>
      </c>
      <c r="J103" s="86">
        <v>0.5</v>
      </c>
      <c r="K103" s="87">
        <v>36333</v>
      </c>
      <c r="L103" s="87">
        <v>38915</v>
      </c>
      <c r="M103" s="88">
        <f t="shared" si="8"/>
        <v>2006</v>
      </c>
      <c r="N103" s="89">
        <f>+IFERROR(INDEX([7]PARÁMETROS!$B$11:$B$37,MATCH(M103,[7]PARÁMETROS!$A$11:$A$37,0)),"")</f>
        <v>408000</v>
      </c>
      <c r="O103" s="90">
        <v>19941780178.799999</v>
      </c>
      <c r="P103" s="91" t="s">
        <v>1801</v>
      </c>
      <c r="Q103" s="81" t="s">
        <v>140</v>
      </c>
      <c r="R103" s="92" t="s">
        <v>140</v>
      </c>
      <c r="S103" s="93">
        <v>1</v>
      </c>
      <c r="T103" s="89">
        <f t="shared" si="9"/>
        <v>19941780178.799999</v>
      </c>
      <c r="U103" s="94">
        <f t="shared" si="10"/>
        <v>48876.912202941174</v>
      </c>
      <c r="V103" s="94">
        <f t="shared" si="11"/>
        <v>24438.456101470587</v>
      </c>
      <c r="W103" s="207">
        <v>19</v>
      </c>
      <c r="X103" s="1499" t="s">
        <v>22</v>
      </c>
      <c r="Y103" s="1500"/>
      <c r="Z103" s="1501"/>
      <c r="AA103" s="1499" t="s">
        <v>22</v>
      </c>
      <c r="AB103" s="1500"/>
      <c r="AC103" s="1501"/>
      <c r="AD103" s="1499" t="s">
        <v>22</v>
      </c>
      <c r="AE103" s="1500"/>
      <c r="AF103" s="1501"/>
      <c r="AG103" s="1393" t="s">
        <v>22</v>
      </c>
      <c r="AH103" s="1484" t="str">
        <f>IF(V103="","",IF(SUM(V103:V108)&gt;=[7]PARÁMETROS!$H$5,"CUMPLE","NO CUMPLE"))</f>
        <v>CUMPLE</v>
      </c>
      <c r="AI103" s="1484" t="str">
        <f>IF(V103+V104+V105="","",IF(V103+V104+V79&gt;=[7]PARÁMETROS!$F$5,"CUMPLE","NO CUMPLE"))</f>
        <v>CUMPLE</v>
      </c>
      <c r="AJ103" s="1393" t="str">
        <f>+IF(V103="","",IF(V103&gt;=[7]PARÁMETROS!$D$5,"CUMPLE","NO CUMPLE"))</f>
        <v>CUMPLE</v>
      </c>
      <c r="AK103" s="96"/>
    </row>
    <row r="104" spans="1:37" s="58" customFormat="1" ht="65.099999999999994" customHeight="1" thickBot="1">
      <c r="A104" s="1612"/>
      <c r="B104" s="1510"/>
      <c r="C104" s="19" t="s">
        <v>455</v>
      </c>
      <c r="D104" s="226">
        <v>148</v>
      </c>
      <c r="E104" s="101" t="str">
        <f>+IFERROR(INDEX([4]CONSOLIDADO!$D$4:$D$108,MATCH('Concur - Exp. General'!C104,[4]CONSOLIDADO!$C$4:$C$108,0)),"")</f>
        <v>B&amp;C S.A.</v>
      </c>
      <c r="F104" s="22" t="s">
        <v>517</v>
      </c>
      <c r="G104" s="23" t="s">
        <v>1817</v>
      </c>
      <c r="H104" s="1388" t="s">
        <v>22</v>
      </c>
      <c r="I104" s="1388" t="s">
        <v>22</v>
      </c>
      <c r="J104" s="24">
        <v>0.3</v>
      </c>
      <c r="K104" s="25">
        <v>39934</v>
      </c>
      <c r="L104" s="25">
        <v>41029</v>
      </c>
      <c r="M104" s="26">
        <f t="shared" si="8"/>
        <v>2012</v>
      </c>
      <c r="N104" s="27">
        <f>+IFERROR(INDEX([7]PARÁMETROS!$B$11:$B$37,MATCH(M104,[7]PARÁMETROS!$A$11:$A$37,0)),"")</f>
        <v>566700</v>
      </c>
      <c r="O104" s="28">
        <v>9410306392</v>
      </c>
      <c r="P104" s="29" t="s">
        <v>1801</v>
      </c>
      <c r="Q104" s="19" t="s">
        <v>140</v>
      </c>
      <c r="R104" s="30" t="s">
        <v>140</v>
      </c>
      <c r="S104" s="31">
        <v>1</v>
      </c>
      <c r="T104" s="27">
        <f t="shared" si="9"/>
        <v>9410306392</v>
      </c>
      <c r="U104" s="16">
        <f t="shared" si="10"/>
        <v>16605.446253749778</v>
      </c>
      <c r="V104" s="16">
        <f t="shared" si="11"/>
        <v>4981.6338761249335</v>
      </c>
      <c r="W104" s="208">
        <v>2</v>
      </c>
      <c r="X104" s="1496" t="s">
        <v>22</v>
      </c>
      <c r="Y104" s="1497"/>
      <c r="Z104" s="1498"/>
      <c r="AA104" s="1496" t="s">
        <v>22</v>
      </c>
      <c r="AB104" s="1497"/>
      <c r="AC104" s="1498"/>
      <c r="AD104" s="1496" t="s">
        <v>22</v>
      </c>
      <c r="AE104" s="1497"/>
      <c r="AF104" s="1498"/>
      <c r="AG104" s="1388" t="s">
        <v>22</v>
      </c>
      <c r="AH104" s="1485"/>
      <c r="AI104" s="1485"/>
      <c r="AJ104" s="1388" t="str">
        <f>+IF(V104="","",IF(V104&gt;=[7]PARÁMETROS!$D$5,"CUMPLE","NO CUMPLE"))</f>
        <v>CUMPLE</v>
      </c>
      <c r="AK104" s="97"/>
    </row>
    <row r="105" spans="1:37" s="58" customFormat="1" ht="65.099999999999994" customHeight="1" thickBot="1">
      <c r="A105" s="1612"/>
      <c r="B105" s="1510"/>
      <c r="C105" s="19" t="s">
        <v>455</v>
      </c>
      <c r="D105" s="226">
        <v>152</v>
      </c>
      <c r="E105" s="101" t="str">
        <f>+IFERROR(INDEX([4]CONSOLIDADO!$D$4:$D$108,MATCH('Concur - Exp. General'!C105,[4]CONSOLIDADO!$C$4:$C$108,0)),"")</f>
        <v>B&amp;C S.A.</v>
      </c>
      <c r="F105" s="22" t="s">
        <v>442</v>
      </c>
      <c r="G105" s="23" t="s">
        <v>577</v>
      </c>
      <c r="H105" s="1388" t="s">
        <v>22</v>
      </c>
      <c r="I105" s="1388" t="s">
        <v>22</v>
      </c>
      <c r="J105" s="24">
        <v>0.5</v>
      </c>
      <c r="K105" s="25">
        <v>38916</v>
      </c>
      <c r="L105" s="25">
        <v>40267</v>
      </c>
      <c r="M105" s="26">
        <f t="shared" si="8"/>
        <v>2010</v>
      </c>
      <c r="N105" s="27">
        <f>+IFERROR(INDEX([7]PARÁMETROS!$B$11:$B$37,MATCH(M105,[7]PARÁMETROS!$A$11:$A$37,0)),"")</f>
        <v>515000</v>
      </c>
      <c r="O105" s="28">
        <v>7564702533</v>
      </c>
      <c r="P105" s="29" t="s">
        <v>1801</v>
      </c>
      <c r="Q105" s="19" t="s">
        <v>140</v>
      </c>
      <c r="R105" s="30" t="s">
        <v>140</v>
      </c>
      <c r="S105" s="31">
        <v>1</v>
      </c>
      <c r="T105" s="27">
        <f t="shared" si="9"/>
        <v>7564702533</v>
      </c>
      <c r="U105" s="16">
        <f t="shared" si="10"/>
        <v>14688.742782524272</v>
      </c>
      <c r="V105" s="16">
        <f t="shared" si="11"/>
        <v>7344.3713912621361</v>
      </c>
      <c r="W105" s="208">
        <v>15</v>
      </c>
      <c r="X105" s="1485"/>
      <c r="Y105" s="1485"/>
      <c r="Z105" s="1485"/>
      <c r="AA105" s="1485" t="s">
        <v>22</v>
      </c>
      <c r="AB105" s="1485"/>
      <c r="AC105" s="1485"/>
      <c r="AD105" s="1485" t="s">
        <v>22</v>
      </c>
      <c r="AE105" s="1485"/>
      <c r="AF105" s="1485"/>
      <c r="AG105" s="1388" t="s">
        <v>22</v>
      </c>
      <c r="AH105" s="1485"/>
      <c r="AI105" s="1485"/>
      <c r="AJ105" s="1388" t="str">
        <f>+IF(V105="","",IF(V105&gt;=[7]PARÁMETROS!$D$5,"CUMPLE","NO CUMPLE"))</f>
        <v>CUMPLE</v>
      </c>
      <c r="AK105" s="97"/>
    </row>
    <row r="106" spans="1:37" s="58" customFormat="1" ht="65.099999999999994" customHeight="1" thickBot="1">
      <c r="A106" s="1612"/>
      <c r="B106" s="1510"/>
      <c r="C106" s="19" t="s">
        <v>451</v>
      </c>
      <c r="D106" s="226">
        <v>156</v>
      </c>
      <c r="E106" s="101" t="str">
        <f>+IFERROR(INDEX([4]CONSOLIDADO!$D$4:$D$108,MATCH('Concur - Exp. General'!C106,[4]CONSOLIDADO!$C$4:$C$108,0)),"")</f>
        <v>DIEGO FERNANDO FONSECA CHAVES</v>
      </c>
      <c r="F106" s="22" t="s">
        <v>1793</v>
      </c>
      <c r="G106" s="23" t="s">
        <v>583</v>
      </c>
      <c r="H106" s="1388" t="s">
        <v>22</v>
      </c>
      <c r="I106" s="1388" t="s">
        <v>22</v>
      </c>
      <c r="J106" s="24">
        <v>0.5</v>
      </c>
      <c r="K106" s="25">
        <v>40137</v>
      </c>
      <c r="L106" s="25">
        <v>41232</v>
      </c>
      <c r="M106" s="26">
        <f t="shared" si="8"/>
        <v>2012</v>
      </c>
      <c r="N106" s="27">
        <f>+IFERROR(INDEX([7]PARÁMETROS!$B$11:$B$37,MATCH(M106,[7]PARÁMETROS!$A$11:$A$37,0)),"")</f>
        <v>566700</v>
      </c>
      <c r="O106" s="28">
        <v>4761160509</v>
      </c>
      <c r="P106" s="29" t="s">
        <v>1801</v>
      </c>
      <c r="Q106" s="19" t="s">
        <v>140</v>
      </c>
      <c r="R106" s="30" t="s">
        <v>140</v>
      </c>
      <c r="S106" s="31">
        <v>1</v>
      </c>
      <c r="T106" s="27">
        <f t="shared" si="9"/>
        <v>4761160509</v>
      </c>
      <c r="U106" s="16">
        <f t="shared" si="10"/>
        <v>8401.5537480148232</v>
      </c>
      <c r="V106" s="16">
        <f t="shared" si="11"/>
        <v>4200.7768740074116</v>
      </c>
      <c r="W106" s="208">
        <v>1</v>
      </c>
      <c r="X106" s="1485" t="s">
        <v>22</v>
      </c>
      <c r="Y106" s="1485"/>
      <c r="Z106" s="1485"/>
      <c r="AA106" s="1485" t="s">
        <v>22</v>
      </c>
      <c r="AB106" s="1485"/>
      <c r="AC106" s="1485"/>
      <c r="AD106" s="1485" t="s">
        <v>22</v>
      </c>
      <c r="AE106" s="1485"/>
      <c r="AF106" s="1485"/>
      <c r="AG106" s="1388" t="s">
        <v>22</v>
      </c>
      <c r="AH106" s="1485"/>
      <c r="AI106" s="1485"/>
      <c r="AJ106" s="1388" t="str">
        <f>+IF(V106="","",IF(V106&gt;=[7]PARÁMETROS!$D$5,"CUMPLE","NO CUMPLE"))</f>
        <v>CUMPLE</v>
      </c>
      <c r="AK106" s="97"/>
    </row>
    <row r="107" spans="1:37" s="58" customFormat="1" ht="65.099999999999994" customHeight="1" thickBot="1">
      <c r="A107" s="1612"/>
      <c r="B107" s="1510"/>
      <c r="C107" s="19" t="s">
        <v>451</v>
      </c>
      <c r="D107" s="226">
        <v>192</v>
      </c>
      <c r="E107" s="101" t="str">
        <f>+IFERROR(INDEX([4]CONSOLIDADO!$D$4:$D$108,MATCH('Concur - Exp. General'!C107,[4]CONSOLIDADO!$C$4:$C$108,0)),"")</f>
        <v>DIEGO FERNANDO FONSECA CHAVES</v>
      </c>
      <c r="F107" s="22" t="s">
        <v>1793</v>
      </c>
      <c r="G107" s="23" t="s">
        <v>587</v>
      </c>
      <c r="H107" s="1388" t="s">
        <v>22</v>
      </c>
      <c r="I107" s="1388" t="s">
        <v>22</v>
      </c>
      <c r="J107" s="24">
        <v>0.4</v>
      </c>
      <c r="K107" s="25">
        <v>40143</v>
      </c>
      <c r="L107" s="25">
        <v>41183</v>
      </c>
      <c r="M107" s="26">
        <f t="shared" si="8"/>
        <v>2012</v>
      </c>
      <c r="N107" s="27">
        <f>+IFERROR(INDEX([7]PARÁMETROS!$B$11:$B$37,MATCH(M107,[7]PARÁMETROS!$A$11:$A$37,0)),"")</f>
        <v>566700</v>
      </c>
      <c r="O107" s="28">
        <v>4331349652</v>
      </c>
      <c r="P107" s="29" t="s">
        <v>1801</v>
      </c>
      <c r="Q107" s="19" t="s">
        <v>140</v>
      </c>
      <c r="R107" s="30" t="s">
        <v>140</v>
      </c>
      <c r="S107" s="31">
        <v>1</v>
      </c>
      <c r="T107" s="27">
        <f t="shared" si="9"/>
        <v>4331349652</v>
      </c>
      <c r="U107" s="16">
        <f t="shared" si="10"/>
        <v>7643.1086147873657</v>
      </c>
      <c r="V107" s="16">
        <f t="shared" si="11"/>
        <v>3057.2434459149463</v>
      </c>
      <c r="W107" s="208">
        <v>8</v>
      </c>
      <c r="X107" s="1485"/>
      <c r="Y107" s="1485"/>
      <c r="Z107" s="1485"/>
      <c r="AA107" s="1485" t="s">
        <v>22</v>
      </c>
      <c r="AB107" s="1485"/>
      <c r="AC107" s="1485"/>
      <c r="AD107" s="1485" t="s">
        <v>22</v>
      </c>
      <c r="AE107" s="1485"/>
      <c r="AF107" s="1485"/>
      <c r="AG107" s="1388" t="s">
        <v>22</v>
      </c>
      <c r="AH107" s="1485"/>
      <c r="AI107" s="1485"/>
      <c r="AJ107" s="1388" t="str">
        <f>+IF(V107="","",IF(V107&gt;=[7]PARÁMETROS!$D$5,"CUMPLE","NO CUMPLE"))</f>
        <v>CUMPLE</v>
      </c>
      <c r="AK107" s="97"/>
    </row>
    <row r="108" spans="1:37" s="58" customFormat="1" ht="65.099999999999994" customHeight="1" thickBot="1">
      <c r="A108" s="1612"/>
      <c r="B108" s="1511"/>
      <c r="C108" s="99" t="s">
        <v>451</v>
      </c>
      <c r="D108" s="226">
        <v>197</v>
      </c>
      <c r="E108" s="101" t="str">
        <f>+IFERROR(INDEX([4]CONSOLIDADO!$D$4:$D$108,MATCH('Concur - Exp. General'!C108,[4]CONSOLIDADO!$C$4:$C$108,0)),"")</f>
        <v>DIEGO FERNANDO FONSECA CHAVES</v>
      </c>
      <c r="F108" s="102" t="s">
        <v>1818</v>
      </c>
      <c r="G108" s="103" t="s">
        <v>1819</v>
      </c>
      <c r="H108" s="1392" t="s">
        <v>22</v>
      </c>
      <c r="I108" s="1392" t="s">
        <v>22</v>
      </c>
      <c r="J108" s="104">
        <v>1</v>
      </c>
      <c r="K108" s="105">
        <v>40268</v>
      </c>
      <c r="L108" s="105">
        <v>40847</v>
      </c>
      <c r="M108" s="106">
        <f t="shared" si="8"/>
        <v>2011</v>
      </c>
      <c r="N108" s="107">
        <f>+IFERROR(INDEX([7]PARÁMETROS!$B$11:$B$37,MATCH(M108,[7]PARÁMETROS!$A$11:$A$37,0)),"")</f>
        <v>535600</v>
      </c>
      <c r="O108" s="108">
        <v>1576786280</v>
      </c>
      <c r="P108" s="109" t="s">
        <v>1801</v>
      </c>
      <c r="Q108" s="99" t="s">
        <v>140</v>
      </c>
      <c r="R108" s="110" t="s">
        <v>140</v>
      </c>
      <c r="S108" s="111">
        <v>1</v>
      </c>
      <c r="T108" s="107">
        <f t="shared" si="9"/>
        <v>1576786280</v>
      </c>
      <c r="U108" s="112">
        <f t="shared" si="10"/>
        <v>2943.9624346527257</v>
      </c>
      <c r="V108" s="112">
        <f t="shared" si="11"/>
        <v>2943.9624346527257</v>
      </c>
      <c r="W108" s="213">
        <v>10</v>
      </c>
      <c r="X108" s="1486"/>
      <c r="Y108" s="1486"/>
      <c r="Z108" s="1486"/>
      <c r="AA108" s="1486" t="s">
        <v>22</v>
      </c>
      <c r="AB108" s="1486"/>
      <c r="AC108" s="1486"/>
      <c r="AD108" s="1486" t="s">
        <v>22</v>
      </c>
      <c r="AE108" s="1486"/>
      <c r="AF108" s="1486"/>
      <c r="AG108" s="1392" t="s">
        <v>22</v>
      </c>
      <c r="AH108" s="1486"/>
      <c r="AI108" s="1486"/>
      <c r="AJ108" s="1392" t="str">
        <f>+IF(V108="","",IF(V108&gt;=[7]PARÁMETROS!$D$5,"CUMPLE","NO CUMPLE"))</f>
        <v>CUMPLE</v>
      </c>
      <c r="AK108" s="113"/>
    </row>
    <row r="109" spans="1:37" s="58" customFormat="1" ht="65.099999999999994" customHeight="1" thickBot="1">
      <c r="A109" s="1612"/>
      <c r="B109" s="1509" t="s">
        <v>1820</v>
      </c>
      <c r="C109" s="81" t="s">
        <v>464</v>
      </c>
      <c r="D109" s="169">
        <v>198</v>
      </c>
      <c r="E109" s="101" t="str">
        <f>+IFERROR(INDEX([4]CONSOLIDADO!$D$4:$D$108,MATCH('Concur - Exp. General'!C109,[4]CONSOLIDADO!$C$4:$C$108,0)),"")</f>
        <v>INTERVENTORIAS Y DISEÑOS S.A.</v>
      </c>
      <c r="F109" s="196" t="s">
        <v>355</v>
      </c>
      <c r="G109" s="197" t="s">
        <v>1821</v>
      </c>
      <c r="H109" s="1393" t="s">
        <v>22</v>
      </c>
      <c r="I109" s="1393" t="s">
        <v>22</v>
      </c>
      <c r="J109" s="198">
        <v>1</v>
      </c>
      <c r="K109" s="47">
        <v>39934</v>
      </c>
      <c r="L109" s="47">
        <v>40724</v>
      </c>
      <c r="M109" s="26">
        <f t="shared" si="8"/>
        <v>2011</v>
      </c>
      <c r="N109" s="27">
        <f>+IFERROR(INDEX([7]PARÁMETROS!$B$11:$B$37,MATCH(M109,[7]PARÁMETROS!$A$11:$A$37,0)),"")</f>
        <v>535600</v>
      </c>
      <c r="O109" s="48">
        <v>9389034669</v>
      </c>
      <c r="P109" s="49" t="s">
        <v>1801</v>
      </c>
      <c r="Q109" s="19" t="s">
        <v>140</v>
      </c>
      <c r="R109" s="30" t="s">
        <v>140</v>
      </c>
      <c r="S109" s="31">
        <v>1</v>
      </c>
      <c r="T109" s="27">
        <f t="shared" si="9"/>
        <v>9389034669</v>
      </c>
      <c r="U109" s="16">
        <f t="shared" si="10"/>
        <v>17529.937768857355</v>
      </c>
      <c r="V109" s="16">
        <f t="shared" si="11"/>
        <v>17529.937768857355</v>
      </c>
      <c r="W109" s="207">
        <v>10</v>
      </c>
      <c r="X109" s="1484" t="s">
        <v>22</v>
      </c>
      <c r="Y109" s="1484"/>
      <c r="Z109" s="1484"/>
      <c r="AA109" s="1484" t="s">
        <v>22</v>
      </c>
      <c r="AB109" s="1484"/>
      <c r="AC109" s="1484"/>
      <c r="AD109" s="1484" t="s">
        <v>22</v>
      </c>
      <c r="AE109" s="1484"/>
      <c r="AF109" s="1484"/>
      <c r="AG109" s="1393" t="s">
        <v>22</v>
      </c>
      <c r="AH109" s="1484" t="str">
        <f>IF(V109="","",IF(SUM(V109:V111)&gt;=[7]PARÁMETROS!$H$5,"CUMPLE","NO CUMPLE"))</f>
        <v>CUMPLE</v>
      </c>
      <c r="AI109" s="1484" t="str">
        <f>IF(V109+V110="","",IF(V109+V110&gt;=[7]PARÁMETROS!$F$5,"CUMPLE","NO CUMPLE"))</f>
        <v>CUMPLE</v>
      </c>
      <c r="AJ109" s="1393" t="str">
        <f>+IF(V109="","",IF(V109&gt;=[7]PARÁMETROS!$D$5,"CUMPLE","NO CUMPLE"))</f>
        <v>CUMPLE</v>
      </c>
      <c r="AK109" s="96"/>
    </row>
    <row r="110" spans="1:37" s="58" customFormat="1" ht="65.099999999999994" customHeight="1" thickBot="1">
      <c r="A110" s="1612"/>
      <c r="B110" s="1510"/>
      <c r="C110" s="19" t="s">
        <v>464</v>
      </c>
      <c r="D110" s="170">
        <v>305</v>
      </c>
      <c r="E110" s="101" t="str">
        <f>+IFERROR(INDEX([4]CONSOLIDADO!$D$4:$D$108,MATCH('Concur - Exp. General'!C110,[4]CONSOLIDADO!$C$4:$C$108,0)),"")</f>
        <v>INTERVENTORIAS Y DISEÑOS S.A.</v>
      </c>
      <c r="F110" s="22" t="s">
        <v>493</v>
      </c>
      <c r="G110" s="23" t="s">
        <v>1822</v>
      </c>
      <c r="H110" s="1388" t="s">
        <v>22</v>
      </c>
      <c r="I110" s="1388" t="s">
        <v>22</v>
      </c>
      <c r="J110" s="24">
        <v>0.5</v>
      </c>
      <c r="K110" s="74">
        <v>37411</v>
      </c>
      <c r="L110" s="74">
        <v>38776</v>
      </c>
      <c r="M110" s="116">
        <f t="shared" si="8"/>
        <v>2006</v>
      </c>
      <c r="N110" s="75">
        <f>+IFERROR(INDEX([7]PARÁMETROS!$B$11:$B$37,MATCH(M110,[7]PARÁMETROS!$A$11:$A$37,0)),"")</f>
        <v>408000</v>
      </c>
      <c r="O110" s="76">
        <v>3791186167</v>
      </c>
      <c r="P110" s="77" t="s">
        <v>1801</v>
      </c>
      <c r="Q110" s="68" t="s">
        <v>140</v>
      </c>
      <c r="R110" s="78" t="s">
        <v>140</v>
      </c>
      <c r="S110" s="79">
        <v>1</v>
      </c>
      <c r="T110" s="75">
        <f t="shared" si="9"/>
        <v>3791186167</v>
      </c>
      <c r="U110" s="80">
        <f t="shared" si="10"/>
        <v>9292.1229583333334</v>
      </c>
      <c r="V110" s="80">
        <f t="shared" si="11"/>
        <v>4646.0614791666667</v>
      </c>
      <c r="W110" s="208">
        <v>25</v>
      </c>
      <c r="X110" s="1485"/>
      <c r="Y110" s="1485"/>
      <c r="Z110" s="1485"/>
      <c r="AA110" s="1485" t="s">
        <v>22</v>
      </c>
      <c r="AB110" s="1485"/>
      <c r="AC110" s="1485"/>
      <c r="AD110" s="1485"/>
      <c r="AE110" s="1485"/>
      <c r="AF110" s="1485"/>
      <c r="AG110" s="1388" t="s">
        <v>22</v>
      </c>
      <c r="AH110" s="1485"/>
      <c r="AI110" s="1485"/>
      <c r="AJ110" s="1388" t="str">
        <f>+IF(V110="","",IF(V110&gt;=[7]PARÁMETROS!$D$5,"CUMPLE","NO CUMPLE"))</f>
        <v>CUMPLE</v>
      </c>
      <c r="AK110" s="97"/>
    </row>
    <row r="111" spans="1:37" s="58" customFormat="1" ht="65.099999999999994" customHeight="1" thickBot="1">
      <c r="A111" s="1612"/>
      <c r="B111" s="1510"/>
      <c r="C111" s="19" t="s">
        <v>1823</v>
      </c>
      <c r="D111" s="170">
        <v>341</v>
      </c>
      <c r="E111" s="101" t="str">
        <f>+IFERROR(INDEX([4]CONSOLIDADO!$D$4:$D$108,MATCH('Concur - Exp. General'!C111,[4]CONSOLIDADO!$C$4:$C$108,0)),"")</f>
        <v>ESTRUCTURADOR COLOMBIA S.A.S.</v>
      </c>
      <c r="F111" s="22" t="s">
        <v>493</v>
      </c>
      <c r="G111" s="23" t="s">
        <v>1824</v>
      </c>
      <c r="H111" s="1388" t="s">
        <v>22</v>
      </c>
      <c r="I111" s="1388" t="s">
        <v>22</v>
      </c>
      <c r="J111" s="24">
        <v>0.15</v>
      </c>
      <c r="K111" s="25">
        <v>40487</v>
      </c>
      <c r="L111" s="25" t="s">
        <v>440</v>
      </c>
      <c r="M111" s="26">
        <v>2015</v>
      </c>
      <c r="N111" s="27">
        <f>+IFERROR(INDEX([7]PARÁMETROS!$B$11:$B$37,MATCH(M111,[7]PARÁMETROS!$A$11:$A$37,0)),"")</f>
        <v>644350</v>
      </c>
      <c r="O111" s="28">
        <v>25305101612</v>
      </c>
      <c r="P111" s="29" t="s">
        <v>1801</v>
      </c>
      <c r="Q111" s="19" t="s">
        <v>140</v>
      </c>
      <c r="R111" s="30" t="s">
        <v>140</v>
      </c>
      <c r="S111" s="31">
        <v>1</v>
      </c>
      <c r="T111" s="27">
        <f t="shared" si="9"/>
        <v>25305101612</v>
      </c>
      <c r="U111" s="16">
        <f t="shared" si="10"/>
        <v>39272.292406300927</v>
      </c>
      <c r="V111" s="16">
        <f t="shared" si="11"/>
        <v>5890.8438609451387</v>
      </c>
      <c r="W111" s="16"/>
      <c r="X111" s="1485"/>
      <c r="Y111" s="1485"/>
      <c r="Z111" s="1485"/>
      <c r="AA111" s="1485"/>
      <c r="AB111" s="1485"/>
      <c r="AC111" s="1485"/>
      <c r="AD111" s="1485"/>
      <c r="AE111" s="1485"/>
      <c r="AF111" s="1485"/>
      <c r="AG111" s="1388" t="s">
        <v>22</v>
      </c>
      <c r="AH111" s="1485"/>
      <c r="AI111" s="1485"/>
      <c r="AJ111" s="1388" t="str">
        <f>+IF(V111="","",IF(V111&gt;=[7]PARÁMETROS!$D$5,"CUMPLE","NO CUMPLE"))</f>
        <v>CUMPLE</v>
      </c>
      <c r="AK111" s="97"/>
    </row>
    <row r="112" spans="1:37" s="58" customFormat="1" ht="65.099999999999994" customHeight="1" thickBot="1">
      <c r="A112" s="1612"/>
      <c r="B112" s="1509" t="s">
        <v>1825</v>
      </c>
      <c r="C112" s="233" t="s">
        <v>473</v>
      </c>
      <c r="D112" s="234">
        <v>95</v>
      </c>
      <c r="E112" s="101" t="str">
        <f>+IFERROR(INDEX([4]CONSOLIDADO!$D$4:$D$108,MATCH('Concur - Exp. General'!C112,[4]CONSOLIDADO!$C$4:$C$108,0)),"")</f>
        <v>GRUSAMAR INGENIERIA Y CONSULTING SL SUCURSAL EN COLOMBIA</v>
      </c>
      <c r="F112" s="235" t="s">
        <v>517</v>
      </c>
      <c r="G112" s="236" t="s">
        <v>1826</v>
      </c>
      <c r="H112" s="1397" t="s">
        <v>22</v>
      </c>
      <c r="I112" s="1397" t="s">
        <v>22</v>
      </c>
      <c r="J112" s="237">
        <v>0.35</v>
      </c>
      <c r="K112" s="238">
        <v>41075</v>
      </c>
      <c r="L112" s="238" t="s">
        <v>1781</v>
      </c>
      <c r="M112" s="239">
        <v>2015</v>
      </c>
      <c r="N112" s="240">
        <f>+IFERROR(INDEX([8]PARÁMETROS!$B$11:$B$37,MATCH(M112,[8]PARÁMETROS!$A$11:$A$37,0)),"")</f>
        <v>644350</v>
      </c>
      <c r="O112" s="241">
        <v>7418064916</v>
      </c>
      <c r="P112" s="242" t="s">
        <v>1801</v>
      </c>
      <c r="Q112" s="233" t="s">
        <v>140</v>
      </c>
      <c r="R112" s="243" t="s">
        <v>140</v>
      </c>
      <c r="S112" s="244">
        <v>1</v>
      </c>
      <c r="T112" s="240">
        <f t="shared" si="9"/>
        <v>7418064916</v>
      </c>
      <c r="U112" s="245">
        <f t="shared" si="10"/>
        <v>11512.477560332118</v>
      </c>
      <c r="V112" s="245">
        <f t="shared" si="11"/>
        <v>4029.3671461162407</v>
      </c>
      <c r="W112" s="94"/>
      <c r="X112" s="1484"/>
      <c r="Y112" s="1484"/>
      <c r="Z112" s="1484"/>
      <c r="AA112" s="1484"/>
      <c r="AB112" s="1484"/>
      <c r="AC112" s="1484"/>
      <c r="AD112" s="1484"/>
      <c r="AE112" s="1484"/>
      <c r="AF112" s="1484"/>
      <c r="AG112" s="1393" t="s">
        <v>22</v>
      </c>
      <c r="AH112" s="1484" t="str">
        <f>IF(V112="","",IF(SUM(V112:V115)&gt;=[7]PARÁMETROS!$H$5,"CUMPLE","NO CUMPLE"))</f>
        <v>CUMPLE</v>
      </c>
      <c r="AI112" s="1484" t="str">
        <f>IF(V112+V113+V114="","",IF(V112+V113+V114&gt;=[7]PARÁMETROS!$F$5,"CUMPLE","NO CUMPLE"))</f>
        <v>CUMPLE</v>
      </c>
      <c r="AJ112" s="1393" t="str">
        <f>+IF(V112="","",IF(V112&gt;=[7]PARÁMETROS!$D$5,"CUMPLE","NO CUMPLE"))</f>
        <v>CUMPLE</v>
      </c>
      <c r="AK112" s="96"/>
    </row>
    <row r="113" spans="1:40" s="58" customFormat="1" ht="65.099999999999994" customHeight="1" thickBot="1">
      <c r="A113" s="1612"/>
      <c r="B113" s="1510"/>
      <c r="C113" s="19" t="s">
        <v>473</v>
      </c>
      <c r="D113" s="170">
        <v>141</v>
      </c>
      <c r="E113" s="101" t="str">
        <f>+IFERROR(INDEX([4]CONSOLIDADO!$D$4:$D$108,MATCH('Concur - Exp. General'!C113,[4]CONSOLIDADO!$C$4:$C$108,0)),"")</f>
        <v>GRUSAMAR INGENIERIA Y CONSULTING SL SUCURSAL EN COLOMBIA</v>
      </c>
      <c r="F113" s="22" t="s">
        <v>214</v>
      </c>
      <c r="G113" s="23" t="s">
        <v>1827</v>
      </c>
      <c r="H113" s="1388" t="s">
        <v>22</v>
      </c>
      <c r="I113" s="1388" t="s">
        <v>22</v>
      </c>
      <c r="J113" s="24">
        <v>1</v>
      </c>
      <c r="K113" s="25">
        <v>39295</v>
      </c>
      <c r="L113" s="25">
        <v>40209</v>
      </c>
      <c r="M113" s="26">
        <f t="shared" si="8"/>
        <v>2010</v>
      </c>
      <c r="N113" s="27">
        <f>+IFERROR(INDEX([7]PARÁMETROS!$B$11:$B$37,MATCH(M113,[7]PARÁMETROS!$A$11:$A$37,0)),"")</f>
        <v>515000</v>
      </c>
      <c r="O113" s="28">
        <v>1403754.99</v>
      </c>
      <c r="P113" s="29" t="s">
        <v>142</v>
      </c>
      <c r="Q113" s="19">
        <v>1.38575</v>
      </c>
      <c r="R113" s="30">
        <f>+O113*Q113</f>
        <v>1945253.4773925</v>
      </c>
      <c r="S113" s="31">
        <v>1982.29</v>
      </c>
      <c r="T113" s="27">
        <f>IF(S113&lt;&gt;"",R113*S113,"")</f>
        <v>3856056515.7003789</v>
      </c>
      <c r="U113" s="16">
        <f t="shared" si="10"/>
        <v>7487.4883800007356</v>
      </c>
      <c r="V113" s="16">
        <f t="shared" si="11"/>
        <v>7487.4883800007356</v>
      </c>
      <c r="W113" s="208">
        <v>5</v>
      </c>
      <c r="X113" s="1485" t="s">
        <v>22</v>
      </c>
      <c r="Y113" s="1485"/>
      <c r="Z113" s="1485"/>
      <c r="AA113" s="1485" t="s">
        <v>22</v>
      </c>
      <c r="AB113" s="1485"/>
      <c r="AC113" s="1485"/>
      <c r="AD113" s="1485" t="s">
        <v>22</v>
      </c>
      <c r="AE113" s="1485"/>
      <c r="AF113" s="1485"/>
      <c r="AG113" s="1388" t="s">
        <v>22</v>
      </c>
      <c r="AH113" s="1485"/>
      <c r="AI113" s="1485"/>
      <c r="AJ113" s="1388" t="str">
        <f>+IF(V113="","",IF(V113&gt;=[7]PARÁMETROS!$D$5,"CUMPLE","NO CUMPLE"))</f>
        <v>CUMPLE</v>
      </c>
      <c r="AK113" s="97"/>
    </row>
    <row r="114" spans="1:40" s="58" customFormat="1" ht="65.099999999999994" customHeight="1" thickBot="1">
      <c r="A114" s="1612"/>
      <c r="B114" s="1510"/>
      <c r="C114" s="19" t="s">
        <v>473</v>
      </c>
      <c r="D114" s="170">
        <v>146</v>
      </c>
      <c r="E114" s="101" t="str">
        <f>+IFERROR(INDEX([4]CONSOLIDADO!$D$4:$D$108,MATCH('Concur - Exp. General'!C114,[4]CONSOLIDADO!$C$4:$C$108,0)),"")</f>
        <v>GRUSAMAR INGENIERIA Y CONSULTING SL SUCURSAL EN COLOMBIA</v>
      </c>
      <c r="F114" s="22" t="s">
        <v>214</v>
      </c>
      <c r="G114" s="23" t="s">
        <v>1828</v>
      </c>
      <c r="H114" s="1388" t="s">
        <v>22</v>
      </c>
      <c r="I114" s="1388" t="s">
        <v>22</v>
      </c>
      <c r="J114" s="24">
        <v>1</v>
      </c>
      <c r="K114" s="25">
        <v>39385</v>
      </c>
      <c r="L114" s="25">
        <v>41182</v>
      </c>
      <c r="M114" s="26">
        <f t="shared" si="8"/>
        <v>2012</v>
      </c>
      <c r="N114" s="27">
        <f>+IFERROR(INDEX([7]PARÁMETROS!$B$11:$B$37,MATCH(M114,[7]PARÁMETROS!$A$11:$A$37,0)),"")</f>
        <v>566700</v>
      </c>
      <c r="O114" s="28">
        <v>1943712.48</v>
      </c>
      <c r="P114" s="29" t="s">
        <v>142</v>
      </c>
      <c r="Q114" s="19">
        <v>1.2855399999999999</v>
      </c>
      <c r="R114" s="30">
        <f>+O114*Q114</f>
        <v>2498720.1415391997</v>
      </c>
      <c r="S114" s="31">
        <v>1800.52</v>
      </c>
      <c r="T114" s="27">
        <f>IF(S114&lt;&gt;"",R114*S114,"")</f>
        <v>4498995589.2441597</v>
      </c>
      <c r="U114" s="16">
        <f t="shared" si="10"/>
        <v>7938.9369847258858</v>
      </c>
      <c r="V114" s="16">
        <f t="shared" si="11"/>
        <v>7938.9369847258858</v>
      </c>
      <c r="W114" s="208">
        <v>20</v>
      </c>
      <c r="X114" s="1485" t="s">
        <v>22</v>
      </c>
      <c r="Y114" s="1485"/>
      <c r="Z114" s="1485"/>
      <c r="AA114" s="1485" t="s">
        <v>22</v>
      </c>
      <c r="AB114" s="1485"/>
      <c r="AC114" s="1485"/>
      <c r="AD114" s="1485" t="s">
        <v>22</v>
      </c>
      <c r="AE114" s="1485"/>
      <c r="AF114" s="1485"/>
      <c r="AG114" s="1388" t="s">
        <v>22</v>
      </c>
      <c r="AH114" s="1485"/>
      <c r="AI114" s="1485"/>
      <c r="AJ114" s="1388" t="str">
        <f>+IF(V114="","",IF(V114&gt;=[7]PARÁMETROS!$D$5,"CUMPLE","NO CUMPLE"))</f>
        <v>CUMPLE</v>
      </c>
      <c r="AK114" s="97"/>
    </row>
    <row r="115" spans="1:40" s="58" customFormat="1" ht="65.099999999999994" customHeight="1" thickBot="1">
      <c r="A115" s="1612"/>
      <c r="B115" s="1510"/>
      <c r="C115" s="19" t="s">
        <v>1829</v>
      </c>
      <c r="D115" s="170">
        <v>152</v>
      </c>
      <c r="E115" s="101" t="str">
        <f>+IFERROR(INDEX([4]CONSOLIDADO!$D$4:$D$108,MATCH('Concur - Exp. General'!C115,[4]CONSOLIDADO!$C$4:$C$108,0)),"")</f>
        <v>JUAN AMADO LIZARAZO</v>
      </c>
      <c r="F115" s="22" t="s">
        <v>493</v>
      </c>
      <c r="G115" s="23" t="s">
        <v>1830</v>
      </c>
      <c r="H115" s="1388" t="s">
        <v>22</v>
      </c>
      <c r="I115" s="1388" t="s">
        <v>22</v>
      </c>
      <c r="J115" s="24">
        <v>0.75</v>
      </c>
      <c r="K115" s="25">
        <v>38327</v>
      </c>
      <c r="L115" s="25">
        <v>40668</v>
      </c>
      <c r="M115" s="26">
        <f t="shared" si="8"/>
        <v>2011</v>
      </c>
      <c r="N115" s="27">
        <f>+IFERROR(INDEX([7]PARÁMETROS!$B$11:$B$37,MATCH(M115,[7]PARÁMETROS!$A$11:$A$37,0)),"")</f>
        <v>535600</v>
      </c>
      <c r="O115" s="28">
        <v>6564670351</v>
      </c>
      <c r="P115" s="29" t="s">
        <v>1801</v>
      </c>
      <c r="Q115" s="19" t="s">
        <v>140</v>
      </c>
      <c r="R115" s="30" t="s">
        <v>140</v>
      </c>
      <c r="S115" s="31">
        <v>1</v>
      </c>
      <c r="T115" s="27">
        <f t="shared" si="9"/>
        <v>6564670351</v>
      </c>
      <c r="U115" s="16">
        <f t="shared" si="10"/>
        <v>12256.66607729649</v>
      </c>
      <c r="V115" s="16">
        <f t="shared" si="11"/>
        <v>9192.4995579723673</v>
      </c>
      <c r="W115" s="208">
        <v>20</v>
      </c>
      <c r="X115" s="1485"/>
      <c r="Y115" s="1485"/>
      <c r="Z115" s="1485"/>
      <c r="AA115" s="1485"/>
      <c r="AB115" s="1485"/>
      <c r="AC115" s="1485"/>
      <c r="AD115" s="1485" t="s">
        <v>22</v>
      </c>
      <c r="AE115" s="1485"/>
      <c r="AF115" s="1485"/>
      <c r="AG115" s="1388" t="s">
        <v>22</v>
      </c>
      <c r="AH115" s="1485"/>
      <c r="AI115" s="1485"/>
      <c r="AJ115" s="1388" t="str">
        <f>+IF(V115="","",IF(V115&gt;=[7]PARÁMETROS!$D$5,"CUMPLE","NO CUMPLE"))</f>
        <v>CUMPLE</v>
      </c>
      <c r="AK115" s="97"/>
    </row>
    <row r="116" spans="1:40" s="58" customFormat="1" ht="65.099999999999994" customHeight="1" thickBot="1">
      <c r="A116" s="1612"/>
      <c r="B116" s="1509" t="s">
        <v>1831</v>
      </c>
      <c r="C116" s="81" t="s">
        <v>477</v>
      </c>
      <c r="D116" s="82"/>
      <c r="E116" s="101" t="str">
        <f>+IFERROR(INDEX([4]CONSOLIDADO!$D$4:$D$108,MATCH('Concur - Exp. General'!C116,[4]CONSOLIDADO!$C$4:$C$108,0)),"")</f>
        <v>JOYCO</v>
      </c>
      <c r="F116" s="22" t="s">
        <v>442</v>
      </c>
      <c r="G116" s="23" t="s">
        <v>1832</v>
      </c>
      <c r="H116" s="1388" t="s">
        <v>22</v>
      </c>
      <c r="I116" s="1388" t="s">
        <v>22</v>
      </c>
      <c r="J116" s="24">
        <v>1</v>
      </c>
      <c r="K116" s="25">
        <v>38321</v>
      </c>
      <c r="L116" s="25">
        <v>39901</v>
      </c>
      <c r="M116" s="26">
        <f>IF(L116="","",YEAR(L116))</f>
        <v>2009</v>
      </c>
      <c r="N116" s="27">
        <f>+IFERROR(INDEX([9]PARÁMETROS!$B$11:$B$37,MATCH(M116,[9]PARÁMETROS!$A$11:$A$37,0)),"")</f>
        <v>496900</v>
      </c>
      <c r="O116" s="28">
        <v>1676200327</v>
      </c>
      <c r="P116" s="91" t="s">
        <v>151</v>
      </c>
      <c r="Q116" s="81" t="s">
        <v>140</v>
      </c>
      <c r="R116" s="92" t="s">
        <v>140</v>
      </c>
      <c r="S116" s="93">
        <v>1</v>
      </c>
      <c r="T116" s="89">
        <f>IF(S116&lt;&gt;"",O116*S116,"")</f>
        <v>1676200327</v>
      </c>
      <c r="U116" s="94">
        <f>+IFERROR(T116/N116,"")</f>
        <v>3373.3152082914066</v>
      </c>
      <c r="V116" s="94">
        <f>IFERROR(U116*J116,"")</f>
        <v>3373.3152082914066</v>
      </c>
      <c r="W116" s="95">
        <v>45</v>
      </c>
      <c r="X116" s="1484" t="s">
        <v>22</v>
      </c>
      <c r="Y116" s="1484"/>
      <c r="Z116" s="1484"/>
      <c r="AA116" s="1484" t="s">
        <v>22</v>
      </c>
      <c r="AB116" s="1484"/>
      <c r="AC116" s="1484"/>
      <c r="AD116" s="1484"/>
      <c r="AE116" s="1484"/>
      <c r="AF116" s="1484"/>
      <c r="AG116" s="1484" t="s">
        <v>22</v>
      </c>
      <c r="AH116" s="1484"/>
      <c r="AI116" s="1484"/>
      <c r="AJ116" s="1393" t="s">
        <v>22</v>
      </c>
      <c r="AK116" s="1484" t="str">
        <f>IF(V116="","",IF(SUM(V116:V121)&gt;=[9]PARÁMETROS!$H$5,"CUMPLE","NO CUMPLE"))</f>
        <v>CUMPLE</v>
      </c>
      <c r="AL116" s="1484" t="s">
        <v>304</v>
      </c>
      <c r="AM116" s="1393" t="str">
        <f>+IF(V116="","",IF(V116&gt;=[9]PARÁMETROS!$D$5,"CUMPLE","NO CUMPLE"))</f>
        <v>CUMPLE</v>
      </c>
      <c r="AN116" s="96"/>
    </row>
    <row r="117" spans="1:40" s="58" customFormat="1" ht="65.099999999999994" customHeight="1" thickBot="1">
      <c r="A117" s="1612"/>
      <c r="B117" s="1510"/>
      <c r="C117" s="19" t="s">
        <v>477</v>
      </c>
      <c r="D117" s="20"/>
      <c r="E117" s="101" t="str">
        <f>+IFERROR(INDEX([4]CONSOLIDADO!$D$4:$D$108,MATCH('Concur - Exp. General'!C117,[4]CONSOLIDADO!$C$4:$C$108,0)),"")</f>
        <v>JOYCO</v>
      </c>
      <c r="F117" s="22" t="s">
        <v>1833</v>
      </c>
      <c r="G117" s="23" t="s">
        <v>1834</v>
      </c>
      <c r="H117" s="1388" t="s">
        <v>22</v>
      </c>
      <c r="I117" s="1388" t="s">
        <v>22</v>
      </c>
      <c r="J117" s="34">
        <v>1</v>
      </c>
      <c r="K117" s="25">
        <v>38658</v>
      </c>
      <c r="L117" s="25">
        <v>39813</v>
      </c>
      <c r="M117" s="26">
        <f t="shared" ref="M117:M158" si="12">IF(L117="","",YEAR(L117))</f>
        <v>2008</v>
      </c>
      <c r="N117" s="27">
        <f>+IFERROR(INDEX([9]PARÁMETROS!$B$11:$B$37,MATCH(M117,[9]PARÁMETROS!$A$11:$A$37,0)),"")</f>
        <v>461500</v>
      </c>
      <c r="O117" s="35">
        <v>2904906735</v>
      </c>
      <c r="P117" s="27" t="s">
        <v>151</v>
      </c>
      <c r="Q117" s="19" t="s">
        <v>140</v>
      </c>
      <c r="R117" s="30" t="s">
        <v>140</v>
      </c>
      <c r="S117" s="31">
        <v>1</v>
      </c>
      <c r="T117" s="27">
        <f t="shared" ref="T117:T158" si="13">IF(S117&lt;&gt;"",O117*S117,"")</f>
        <v>2904906735</v>
      </c>
      <c r="U117" s="16">
        <f t="shared" ref="U117:U158" si="14">+IFERROR(T117/N117,"")</f>
        <v>6294.4891332611051</v>
      </c>
      <c r="V117" s="16">
        <f t="shared" ref="V117:V158" si="15">IFERROR(U117*J117,"")</f>
        <v>6294.4891332611051</v>
      </c>
      <c r="W117" s="32">
        <v>46</v>
      </c>
      <c r="X117" s="1485" t="s">
        <v>22</v>
      </c>
      <c r="Y117" s="1485"/>
      <c r="Z117" s="1485"/>
      <c r="AA117" s="1485" t="s">
        <v>22</v>
      </c>
      <c r="AB117" s="1485"/>
      <c r="AC117" s="1485"/>
      <c r="AD117" s="1485"/>
      <c r="AE117" s="1485"/>
      <c r="AF117" s="1485"/>
      <c r="AG117" s="1485" t="s">
        <v>22</v>
      </c>
      <c r="AH117" s="1485"/>
      <c r="AI117" s="1485"/>
      <c r="AJ117" s="1388" t="s">
        <v>22</v>
      </c>
      <c r="AK117" s="1485"/>
      <c r="AL117" s="1485"/>
      <c r="AM117" s="1388" t="str">
        <f>+IF(V117="","",IF(V117&gt;=[9]PARÁMETROS!$D$5,"CUMPLE","NO CUMPLE"))</f>
        <v>CUMPLE</v>
      </c>
      <c r="AN117" s="97"/>
    </row>
    <row r="118" spans="1:40" s="58" customFormat="1" ht="65.099999999999994" customHeight="1" thickBot="1">
      <c r="A118" s="1612"/>
      <c r="B118" s="1510"/>
      <c r="C118" s="19" t="s">
        <v>477</v>
      </c>
      <c r="D118" s="20"/>
      <c r="E118" s="101" t="str">
        <f>+IFERROR(INDEX([4]CONSOLIDADO!$D$4:$D$108,MATCH('Concur - Exp. General'!C118,[4]CONSOLIDADO!$C$4:$C$108,0)),"")</f>
        <v>JOYCO</v>
      </c>
      <c r="F118" s="22" t="s">
        <v>442</v>
      </c>
      <c r="G118" s="23" t="s">
        <v>1835</v>
      </c>
      <c r="H118" s="1388" t="s">
        <v>22</v>
      </c>
      <c r="I118" s="1388" t="s">
        <v>22</v>
      </c>
      <c r="J118" s="24">
        <v>0.33</v>
      </c>
      <c r="K118" s="25">
        <v>39792</v>
      </c>
      <c r="L118" s="25">
        <v>40977</v>
      </c>
      <c r="M118" s="26">
        <f t="shared" si="12"/>
        <v>2012</v>
      </c>
      <c r="N118" s="27">
        <f>+IFERROR(INDEX([9]PARÁMETROS!$B$11:$B$37,MATCH(M118,[9]PARÁMETROS!$A$11:$A$37,0)),"")</f>
        <v>566700</v>
      </c>
      <c r="O118" s="28">
        <v>4939884563</v>
      </c>
      <c r="P118" s="29" t="s">
        <v>151</v>
      </c>
      <c r="Q118" s="19" t="s">
        <v>140</v>
      </c>
      <c r="R118" s="30" t="s">
        <v>140</v>
      </c>
      <c r="S118" s="31">
        <v>1</v>
      </c>
      <c r="T118" s="27">
        <f t="shared" si="13"/>
        <v>4939884563</v>
      </c>
      <c r="U118" s="16">
        <f t="shared" si="14"/>
        <v>8716.9305858478911</v>
      </c>
      <c r="V118" s="16">
        <f t="shared" si="15"/>
        <v>2876.5870933298042</v>
      </c>
      <c r="W118" s="32">
        <v>67</v>
      </c>
      <c r="X118" s="1485" t="s">
        <v>22</v>
      </c>
      <c r="Y118" s="1485"/>
      <c r="Z118" s="1485"/>
      <c r="AA118" s="1485" t="s">
        <v>22</v>
      </c>
      <c r="AB118" s="1485"/>
      <c r="AC118" s="1485"/>
      <c r="AD118" s="1485"/>
      <c r="AE118" s="1485"/>
      <c r="AF118" s="1485"/>
      <c r="AG118" s="1485" t="s">
        <v>22</v>
      </c>
      <c r="AH118" s="1485"/>
      <c r="AI118" s="1485"/>
      <c r="AJ118" s="1388" t="s">
        <v>22</v>
      </c>
      <c r="AK118" s="1485"/>
      <c r="AL118" s="1485"/>
      <c r="AM118" s="1388" t="str">
        <f>+IF(V118="","",IF(V118&gt;=[9]PARÁMETROS!$D$5,"CUMPLE","NO CUMPLE"))</f>
        <v>CUMPLE</v>
      </c>
      <c r="AN118" s="98"/>
    </row>
    <row r="119" spans="1:40" s="58" customFormat="1" ht="65.099999999999994" customHeight="1" thickBot="1">
      <c r="A119" s="1612"/>
      <c r="B119" s="1510"/>
      <c r="C119" s="19" t="s">
        <v>477</v>
      </c>
      <c r="D119" s="20"/>
      <c r="E119" s="101" t="str">
        <f>+IFERROR(INDEX([4]CONSOLIDADO!$D$4:$D$108,MATCH('Concur - Exp. General'!C119,[4]CONSOLIDADO!$C$4:$C$108,0)),"")</f>
        <v>JOYCO</v>
      </c>
      <c r="F119" s="22" t="s">
        <v>1833</v>
      </c>
      <c r="G119" s="23" t="s">
        <v>1836</v>
      </c>
      <c r="H119" s="1388" t="s">
        <v>22</v>
      </c>
      <c r="I119" s="1388" t="s">
        <v>22</v>
      </c>
      <c r="J119" s="24">
        <v>0.5</v>
      </c>
      <c r="K119" s="25">
        <v>39778</v>
      </c>
      <c r="L119" s="25">
        <v>41496</v>
      </c>
      <c r="M119" s="26">
        <f t="shared" si="12"/>
        <v>2013</v>
      </c>
      <c r="N119" s="27">
        <f>+IFERROR(INDEX([9]PARÁMETROS!$B$11:$B$37,MATCH(M119,[9]PARÁMETROS!$A$11:$A$37,0)),"")</f>
        <v>589500</v>
      </c>
      <c r="O119" s="28">
        <v>5413375107</v>
      </c>
      <c r="P119" s="29" t="s">
        <v>151</v>
      </c>
      <c r="Q119" s="19" t="s">
        <v>140</v>
      </c>
      <c r="R119" s="30" t="s">
        <v>140</v>
      </c>
      <c r="S119" s="31">
        <v>1</v>
      </c>
      <c r="T119" s="27">
        <f t="shared" si="13"/>
        <v>5413375107</v>
      </c>
      <c r="U119" s="16">
        <f t="shared" si="14"/>
        <v>9182.9942442748088</v>
      </c>
      <c r="V119" s="16">
        <f t="shared" si="15"/>
        <v>4591.4971221374044</v>
      </c>
      <c r="W119" s="32">
        <v>66</v>
      </c>
      <c r="X119" s="1485" t="s">
        <v>22</v>
      </c>
      <c r="Y119" s="1485"/>
      <c r="Z119" s="1485"/>
      <c r="AA119" s="1485" t="s">
        <v>22</v>
      </c>
      <c r="AB119" s="1485"/>
      <c r="AC119" s="1485"/>
      <c r="AD119" s="1485"/>
      <c r="AE119" s="1485"/>
      <c r="AF119" s="1485"/>
      <c r="AG119" s="1485" t="s">
        <v>22</v>
      </c>
      <c r="AH119" s="1485"/>
      <c r="AI119" s="1485"/>
      <c r="AJ119" s="1388" t="s">
        <v>22</v>
      </c>
      <c r="AK119" s="1485"/>
      <c r="AL119" s="1485"/>
      <c r="AM119" s="1388" t="str">
        <f>+IF(V119="","",IF(V119&gt;=[9]PARÁMETROS!$D$5,"CUMPLE","NO CUMPLE"))</f>
        <v>CUMPLE</v>
      </c>
      <c r="AN119" s="98"/>
    </row>
    <row r="120" spans="1:40" s="58" customFormat="1" ht="65.099999999999994" customHeight="1" thickBot="1">
      <c r="A120" s="1612"/>
      <c r="B120" s="1510"/>
      <c r="C120" s="19" t="s">
        <v>477</v>
      </c>
      <c r="D120" s="20"/>
      <c r="E120" s="101" t="str">
        <f>+IFERROR(INDEX([4]CONSOLIDADO!$D$4:$D$108,MATCH('Concur - Exp. General'!C120,[4]CONSOLIDADO!$C$4:$C$108,0)),"")</f>
        <v>JOYCO</v>
      </c>
      <c r="F120" s="22" t="s">
        <v>1833</v>
      </c>
      <c r="G120" s="23" t="s">
        <v>1837</v>
      </c>
      <c r="H120" s="1388" t="s">
        <v>22</v>
      </c>
      <c r="I120" s="1388" t="s">
        <v>22</v>
      </c>
      <c r="J120" s="24">
        <v>1</v>
      </c>
      <c r="K120" s="25">
        <v>35171</v>
      </c>
      <c r="L120" s="25">
        <v>36083</v>
      </c>
      <c r="M120" s="26">
        <f t="shared" si="12"/>
        <v>1998</v>
      </c>
      <c r="N120" s="27">
        <f>+IFERROR(INDEX([9]PARÁMETROS!$B$11:$B$37,MATCH(M120,[9]PARÁMETROS!$A$11:$A$37,0)),"")</f>
        <v>203826</v>
      </c>
      <c r="O120" s="28">
        <v>1224631244</v>
      </c>
      <c r="P120" s="29" t="s">
        <v>151</v>
      </c>
      <c r="Q120" s="19" t="s">
        <v>140</v>
      </c>
      <c r="R120" s="30" t="s">
        <v>140</v>
      </c>
      <c r="S120" s="31">
        <v>1</v>
      </c>
      <c r="T120" s="27">
        <f t="shared" si="13"/>
        <v>1224631244</v>
      </c>
      <c r="U120" s="16">
        <f t="shared" si="14"/>
        <v>6008.2189907077609</v>
      </c>
      <c r="V120" s="16">
        <f t="shared" si="15"/>
        <v>6008.2189907077609</v>
      </c>
      <c r="W120" s="32">
        <v>12</v>
      </c>
      <c r="X120" s="1485" t="s">
        <v>22</v>
      </c>
      <c r="Y120" s="1485"/>
      <c r="Z120" s="1485"/>
      <c r="AA120" s="1485" t="s">
        <v>22</v>
      </c>
      <c r="AB120" s="1485"/>
      <c r="AC120" s="1485"/>
      <c r="AD120" s="1485"/>
      <c r="AE120" s="1485"/>
      <c r="AF120" s="1485"/>
      <c r="AG120" s="1485" t="s">
        <v>22</v>
      </c>
      <c r="AH120" s="1485"/>
      <c r="AI120" s="1485"/>
      <c r="AJ120" s="1388" t="s">
        <v>22</v>
      </c>
      <c r="AK120" s="1485"/>
      <c r="AL120" s="1485"/>
      <c r="AM120" s="1388" t="str">
        <f>+IF(V120="","",IF(V120&gt;=[9]PARÁMETROS!$D$5,"CUMPLE","NO CUMPLE"))</f>
        <v>CUMPLE</v>
      </c>
      <c r="AN120" s="98"/>
    </row>
    <row r="121" spans="1:40" s="58" customFormat="1" ht="65.099999999999994" customHeight="1" thickBot="1">
      <c r="A121" s="1612"/>
      <c r="B121" s="1511"/>
      <c r="C121" s="99" t="s">
        <v>477</v>
      </c>
      <c r="D121" s="178"/>
      <c r="E121" s="101" t="str">
        <f>+IFERROR(INDEX([4]CONSOLIDADO!$D$4:$D$108,MATCH('Concur - Exp. General'!C121,[4]CONSOLIDADO!$C$4:$C$108,0)),"")</f>
        <v>JOYCO</v>
      </c>
      <c r="F121" s="102" t="s">
        <v>1833</v>
      </c>
      <c r="G121" s="103" t="s">
        <v>959</v>
      </c>
      <c r="H121" s="1392" t="s">
        <v>22</v>
      </c>
      <c r="I121" s="1392" t="s">
        <v>22</v>
      </c>
      <c r="J121" s="104">
        <v>1</v>
      </c>
      <c r="K121" s="105">
        <v>38673</v>
      </c>
      <c r="L121" s="105">
        <v>39675</v>
      </c>
      <c r="M121" s="106">
        <f t="shared" si="12"/>
        <v>2008</v>
      </c>
      <c r="N121" s="107">
        <f>+IFERROR(INDEX([9]PARÁMETROS!$B$11:$B$37,MATCH(M121,[9]PARÁMETROS!$A$11:$A$37,0)),"")</f>
        <v>461500</v>
      </c>
      <c r="O121" s="108">
        <v>2205036734</v>
      </c>
      <c r="P121" s="109" t="s">
        <v>151</v>
      </c>
      <c r="Q121" s="99" t="s">
        <v>140</v>
      </c>
      <c r="R121" s="110" t="s">
        <v>140</v>
      </c>
      <c r="S121" s="111">
        <v>1</v>
      </c>
      <c r="T121" s="107">
        <f t="shared" si="13"/>
        <v>2205036734</v>
      </c>
      <c r="U121" s="112">
        <f t="shared" si="14"/>
        <v>4777.9777551462621</v>
      </c>
      <c r="V121" s="112">
        <f t="shared" si="15"/>
        <v>4777.9777551462621</v>
      </c>
      <c r="W121" s="213">
        <v>48</v>
      </c>
      <c r="X121" s="1486" t="s">
        <v>22</v>
      </c>
      <c r="Y121" s="1486"/>
      <c r="Z121" s="1486"/>
      <c r="AA121" s="1486" t="s">
        <v>22</v>
      </c>
      <c r="AB121" s="1486"/>
      <c r="AC121" s="1486"/>
      <c r="AD121" s="1486"/>
      <c r="AE121" s="1486"/>
      <c r="AF121" s="1486"/>
      <c r="AG121" s="1486" t="s">
        <v>22</v>
      </c>
      <c r="AH121" s="1486"/>
      <c r="AI121" s="1486"/>
      <c r="AJ121" s="1392" t="s">
        <v>22</v>
      </c>
      <c r="AK121" s="1486"/>
      <c r="AL121" s="1486"/>
      <c r="AM121" s="1392" t="str">
        <f>+IF(V121="","",IF(V121&gt;=[9]PARÁMETROS!$D$5,"CUMPLE","NO CUMPLE"))</f>
        <v>CUMPLE</v>
      </c>
      <c r="AN121" s="113"/>
    </row>
    <row r="122" spans="1:40" s="58" customFormat="1" ht="65.099999999999994" customHeight="1" thickBot="1">
      <c r="A122" s="1612"/>
      <c r="B122" s="1605" t="s">
        <v>1838</v>
      </c>
      <c r="C122" s="68" t="s">
        <v>488</v>
      </c>
      <c r="D122" s="185">
        <v>22</v>
      </c>
      <c r="E122" s="101" t="str">
        <f>+IFERROR(INDEX([4]CONSOLIDADO!$D$4:$D$108,MATCH('Concur - Exp. General'!C122,[4]CONSOLIDADO!$C$4:$C$108,0)),"")</f>
        <v>INGEANDINA CONSULTORES DE INGENIERIA S.A.S.</v>
      </c>
      <c r="F122" s="71" t="s">
        <v>173</v>
      </c>
      <c r="G122" s="72" t="s">
        <v>1839</v>
      </c>
      <c r="H122" s="1394" t="s">
        <v>22</v>
      </c>
      <c r="I122" s="1394" t="s">
        <v>22</v>
      </c>
      <c r="J122" s="73">
        <v>1</v>
      </c>
      <c r="K122" s="74">
        <v>38049</v>
      </c>
      <c r="L122" s="74">
        <v>40545</v>
      </c>
      <c r="M122" s="116">
        <f t="shared" si="12"/>
        <v>2011</v>
      </c>
      <c r="N122" s="75">
        <f>+IFERROR(INDEX([9]PARÁMETROS!$B$11:$B$37,MATCH(M122,[9]PARÁMETROS!$A$11:$A$37,0)),"")</f>
        <v>535600</v>
      </c>
      <c r="O122" s="76">
        <v>4478229438</v>
      </c>
      <c r="P122" s="77" t="s">
        <v>177</v>
      </c>
      <c r="Q122" s="275">
        <v>2.1168008766057332E-3</v>
      </c>
      <c r="R122" s="276">
        <f>+O122*Q122</f>
        <v>9479520</v>
      </c>
      <c r="S122" s="276">
        <v>1913.98</v>
      </c>
      <c r="T122" s="203">
        <f>+R122*S122</f>
        <v>18143611689.599998</v>
      </c>
      <c r="U122" s="80">
        <f t="shared" si="14"/>
        <v>33875.301884988796</v>
      </c>
      <c r="V122" s="80">
        <f t="shared" si="15"/>
        <v>33875.301884988796</v>
      </c>
      <c r="W122" s="277">
        <v>1</v>
      </c>
      <c r="X122" s="1606" t="s">
        <v>22</v>
      </c>
      <c r="Y122" s="1606"/>
      <c r="Z122" s="1606"/>
      <c r="AA122" s="1606" t="s">
        <v>22</v>
      </c>
      <c r="AB122" s="1606"/>
      <c r="AC122" s="1606"/>
      <c r="AD122" s="1508"/>
      <c r="AE122" s="1508"/>
      <c r="AF122" s="1508"/>
      <c r="AG122" s="1606" t="s">
        <v>22</v>
      </c>
      <c r="AH122" s="1606"/>
      <c r="AI122" s="1606"/>
      <c r="AJ122" s="1419" t="s">
        <v>22</v>
      </c>
      <c r="AK122" s="1508" t="str">
        <f>IF(V122="","",IF(SUM(V122:V125)&gt;=[9]PARÁMETROS!$H$5,"CUMPLE","NO CUMPLE"))</f>
        <v>CUMPLE</v>
      </c>
      <c r="AL122" s="1508" t="str">
        <f>IF(V122="","",IF((V122+V123)&gt;=[9]PARÁMETROS!$F$5,"CUMPLE","NO CUMPLE"))</f>
        <v>CUMPLE</v>
      </c>
      <c r="AM122" s="1394" t="str">
        <f>+IF(V122="","",IF(V122&gt;=[9]PARÁMETROS!$D$5,"CUMPLE","NO CUMPLE"))</f>
        <v>CUMPLE</v>
      </c>
      <c r="AN122" s="122" t="s">
        <v>1840</v>
      </c>
    </row>
    <row r="123" spans="1:40" s="58" customFormat="1" ht="65.099999999999994" customHeight="1" thickBot="1">
      <c r="A123" s="1612"/>
      <c r="B123" s="1510"/>
      <c r="C123" s="19" t="s">
        <v>488</v>
      </c>
      <c r="D123" s="170">
        <v>30</v>
      </c>
      <c r="E123" s="101" t="str">
        <f>+IFERROR(INDEX([4]CONSOLIDADO!$D$4:$D$108,MATCH('Concur - Exp. General'!C123,[4]CONSOLIDADO!$C$4:$C$108,0)),"")</f>
        <v>INGEANDINA CONSULTORES DE INGENIERIA S.A.S.</v>
      </c>
      <c r="F123" s="22" t="s">
        <v>173</v>
      </c>
      <c r="G123" s="23" t="s">
        <v>1841</v>
      </c>
      <c r="H123" s="1388" t="s">
        <v>22</v>
      </c>
      <c r="I123" s="1388" t="s">
        <v>22</v>
      </c>
      <c r="J123" s="24">
        <v>0.25</v>
      </c>
      <c r="K123" s="25">
        <v>36363</v>
      </c>
      <c r="L123" s="25">
        <v>37843</v>
      </c>
      <c r="M123" s="26">
        <f t="shared" si="12"/>
        <v>2003</v>
      </c>
      <c r="N123" s="27">
        <f>+IFERROR(INDEX([9]PARÁMETROS!$B$11:$B$37,MATCH(M123,[9]PARÁMETROS!$A$11:$A$37,0)),"")</f>
        <v>332000</v>
      </c>
      <c r="O123" s="278">
        <v>6541364.1500000004</v>
      </c>
      <c r="P123" s="77" t="s">
        <v>179</v>
      </c>
      <c r="Q123" s="276">
        <v>1</v>
      </c>
      <c r="R123" s="276">
        <f>+O123</f>
        <v>6541364.1500000004</v>
      </c>
      <c r="S123" s="276">
        <v>2875.18</v>
      </c>
      <c r="T123" s="279">
        <f>+R123*S123</f>
        <v>18807599376.797001</v>
      </c>
      <c r="U123" s="16">
        <f t="shared" si="14"/>
        <v>56649.395713243975</v>
      </c>
      <c r="V123" s="16">
        <f t="shared" si="15"/>
        <v>14162.348928310994</v>
      </c>
      <c r="W123" s="208">
        <v>3</v>
      </c>
      <c r="X123" s="1485" t="s">
        <v>22</v>
      </c>
      <c r="Y123" s="1485"/>
      <c r="Z123" s="1485"/>
      <c r="AA123" s="1485" t="s">
        <v>22</v>
      </c>
      <c r="AB123" s="1485"/>
      <c r="AC123" s="1485"/>
      <c r="AD123" s="1485"/>
      <c r="AE123" s="1485"/>
      <c r="AF123" s="1485"/>
      <c r="AG123" s="1485" t="s">
        <v>22</v>
      </c>
      <c r="AH123" s="1485"/>
      <c r="AI123" s="1485"/>
      <c r="AJ123" s="1388" t="s">
        <v>22</v>
      </c>
      <c r="AK123" s="1485"/>
      <c r="AL123" s="1485"/>
      <c r="AM123" s="1388" t="str">
        <f>+IF(V123="","",IF(V123&gt;=[9]PARÁMETROS!$D$5,"CUMPLE","NO CUMPLE"))</f>
        <v>CUMPLE</v>
      </c>
      <c r="AN123" s="97"/>
    </row>
    <row r="124" spans="1:40" s="58" customFormat="1" ht="65.099999999999994" customHeight="1" thickBot="1">
      <c r="A124" s="1612"/>
      <c r="B124" s="1510"/>
      <c r="C124" s="19" t="s">
        <v>490</v>
      </c>
      <c r="D124" s="170">
        <v>38</v>
      </c>
      <c r="E124" s="101" t="str">
        <f>+IFERROR(INDEX([4]CONSOLIDADO!$D$4:$D$108,MATCH('Concur - Exp. General'!C124,[4]CONSOLIDADO!$C$4:$C$108,0)),"")</f>
        <v>APPLUS NORCONTROL CONSULTORIA E INGENIERIA S.A.S.</v>
      </c>
      <c r="F124" s="22" t="s">
        <v>1842</v>
      </c>
      <c r="G124" s="23" t="s">
        <v>1843</v>
      </c>
      <c r="H124" s="1388" t="s">
        <v>22</v>
      </c>
      <c r="I124" s="1388" t="s">
        <v>22</v>
      </c>
      <c r="J124" s="24">
        <v>1</v>
      </c>
      <c r="K124" s="25">
        <v>38322</v>
      </c>
      <c r="L124" s="25">
        <v>39233</v>
      </c>
      <c r="M124" s="26">
        <f t="shared" si="12"/>
        <v>2007</v>
      </c>
      <c r="N124" s="27">
        <f>+IFERROR(INDEX([9]PARÁMETROS!$B$11:$B$37,MATCH(M124,[9]PARÁMETROS!$A$11:$A$37,0)),"")</f>
        <v>433700</v>
      </c>
      <c r="O124" s="177">
        <v>911227.35</v>
      </c>
      <c r="P124" s="29" t="s">
        <v>142</v>
      </c>
      <c r="Q124" s="280">
        <v>1.3436600000000001</v>
      </c>
      <c r="R124" s="276">
        <f>+O124*Q124</f>
        <v>1224379.741101</v>
      </c>
      <c r="S124" s="276">
        <v>1930.74</v>
      </c>
      <c r="T124" s="279">
        <f>+R124*S124</f>
        <v>2363958941.3333449</v>
      </c>
      <c r="U124" s="16">
        <f t="shared" si="14"/>
        <v>5450.6777526708438</v>
      </c>
      <c r="V124" s="16">
        <f t="shared" si="15"/>
        <v>5450.6777526708438</v>
      </c>
      <c r="W124" s="208">
        <v>60</v>
      </c>
      <c r="X124" s="1485" t="s">
        <v>129</v>
      </c>
      <c r="Y124" s="1485"/>
      <c r="Z124" s="1485"/>
      <c r="AA124" s="1485" t="s">
        <v>22</v>
      </c>
      <c r="AB124" s="1485"/>
      <c r="AC124" s="1485"/>
      <c r="AD124" s="1485"/>
      <c r="AE124" s="1485"/>
      <c r="AF124" s="1485"/>
      <c r="AG124" s="1485" t="s">
        <v>22</v>
      </c>
      <c r="AH124" s="1485"/>
      <c r="AI124" s="1485"/>
      <c r="AJ124" s="1388" t="s">
        <v>22</v>
      </c>
      <c r="AK124" s="1485"/>
      <c r="AL124" s="1485"/>
      <c r="AM124" s="1388" t="str">
        <f>+IF(V124="","",IF(V124&gt;=[9]PARÁMETROS!$D$5,"CUMPLE","NO CUMPLE"))</f>
        <v>CUMPLE</v>
      </c>
      <c r="AN124" s="97"/>
    </row>
    <row r="125" spans="1:40" s="58" customFormat="1" ht="65.099999999999994" customHeight="1" thickBot="1">
      <c r="A125" s="1612"/>
      <c r="B125" s="1510"/>
      <c r="C125" s="19" t="s">
        <v>490</v>
      </c>
      <c r="D125" s="170">
        <v>44</v>
      </c>
      <c r="E125" s="101" t="str">
        <f>+IFERROR(INDEX([4]CONSOLIDADO!$D$4:$D$108,MATCH('Concur - Exp. General'!C125,[4]CONSOLIDADO!$C$4:$C$108,0)),"")</f>
        <v>APPLUS NORCONTROL CONSULTORIA E INGENIERIA S.A.S.</v>
      </c>
      <c r="F125" s="22" t="s">
        <v>1844</v>
      </c>
      <c r="G125" s="23" t="s">
        <v>1845</v>
      </c>
      <c r="H125" s="1388" t="s">
        <v>22</v>
      </c>
      <c r="I125" s="1388" t="s">
        <v>22</v>
      </c>
      <c r="J125" s="24">
        <v>0.5</v>
      </c>
      <c r="K125" s="25">
        <v>37469</v>
      </c>
      <c r="L125" s="25">
        <v>38533</v>
      </c>
      <c r="M125" s="26">
        <f t="shared" si="12"/>
        <v>2005</v>
      </c>
      <c r="N125" s="27">
        <f>+IFERROR(INDEX([9]PARÁMETROS!$B$11:$B$37,MATCH(M125,[9]PARÁMETROS!$A$11:$A$37,0)),"")</f>
        <v>381500</v>
      </c>
      <c r="O125" s="28">
        <v>1888598</v>
      </c>
      <c r="P125" s="109" t="s">
        <v>142</v>
      </c>
      <c r="Q125" s="281">
        <v>1.2303999999999999</v>
      </c>
      <c r="R125" s="282">
        <f>+O125*Q125</f>
        <v>2323730.9791999999</v>
      </c>
      <c r="S125" s="282">
        <v>2331.81</v>
      </c>
      <c r="T125" s="279">
        <f>+R125*S125</f>
        <v>5418499134.6083517</v>
      </c>
      <c r="U125" s="16">
        <f t="shared" si="14"/>
        <v>14203.143209982572</v>
      </c>
      <c r="V125" s="16">
        <f t="shared" si="15"/>
        <v>7101.5716049912862</v>
      </c>
      <c r="W125" s="208">
        <v>34</v>
      </c>
      <c r="X125" s="1507" t="s">
        <v>22</v>
      </c>
      <c r="Y125" s="1507"/>
      <c r="Z125" s="1507"/>
      <c r="AA125" s="1507" t="s">
        <v>22</v>
      </c>
      <c r="AB125" s="1507"/>
      <c r="AC125" s="1507"/>
      <c r="AD125" s="1485"/>
      <c r="AE125" s="1485"/>
      <c r="AF125" s="1485"/>
      <c r="AG125" s="1507" t="s">
        <v>22</v>
      </c>
      <c r="AH125" s="1507"/>
      <c r="AI125" s="1507"/>
      <c r="AJ125" s="1402" t="s">
        <v>22</v>
      </c>
      <c r="AK125" s="1485"/>
      <c r="AL125" s="1485"/>
      <c r="AM125" s="1388" t="str">
        <f>+IF(V125="","",IF(V125&gt;=[9]PARÁMETROS!$D$5,"CUMPLE","NO CUMPLE"))</f>
        <v>CUMPLE</v>
      </c>
      <c r="AN125" s="97"/>
    </row>
    <row r="126" spans="1:40" s="58" customFormat="1" ht="65.099999999999994" customHeight="1" thickBot="1">
      <c r="A126" s="1612"/>
      <c r="B126" s="1509" t="s">
        <v>1846</v>
      </c>
      <c r="C126" s="81" t="s">
        <v>498</v>
      </c>
      <c r="D126" s="169">
        <v>151</v>
      </c>
      <c r="E126" s="101" t="str">
        <f>+IFERROR(INDEX([4]CONSOLIDADO!$D$4:$D$108,MATCH('Concur - Exp. General'!C126,[4]CONSOLIDADO!$C$4:$C$108,0)),"")</f>
        <v>CONSTRUCTORA A &amp; C SOCIEDAD ANONIMA</v>
      </c>
      <c r="F126" s="84" t="s">
        <v>517</v>
      </c>
      <c r="G126" s="85" t="s">
        <v>1847</v>
      </c>
      <c r="H126" s="1393" t="s">
        <v>22</v>
      </c>
      <c r="I126" s="1393" t="s">
        <v>22</v>
      </c>
      <c r="J126" s="86">
        <v>0.5</v>
      </c>
      <c r="K126" s="87">
        <v>39595</v>
      </c>
      <c r="L126" s="87" t="s">
        <v>440</v>
      </c>
      <c r="M126" s="88">
        <v>2015</v>
      </c>
      <c r="N126" s="89">
        <f>+IFERROR(INDEX([9]PARÁMETROS!$B$11:$B$37,MATCH(M126,[9]PARÁMETROS!$A$11:$A$37,0)),"")</f>
        <v>644350</v>
      </c>
      <c r="O126" s="90">
        <v>36074618420</v>
      </c>
      <c r="P126" s="77" t="s">
        <v>151</v>
      </c>
      <c r="Q126" s="68" t="s">
        <v>140</v>
      </c>
      <c r="R126" s="78" t="s">
        <v>140</v>
      </c>
      <c r="S126" s="79">
        <v>1</v>
      </c>
      <c r="T126" s="89">
        <f t="shared" si="13"/>
        <v>36074618420</v>
      </c>
      <c r="U126" s="94">
        <f t="shared" si="14"/>
        <v>55986.061022736088</v>
      </c>
      <c r="V126" s="94">
        <f t="shared" si="15"/>
        <v>27993.030511368044</v>
      </c>
      <c r="W126" s="207" t="s">
        <v>311</v>
      </c>
      <c r="X126" s="1499" t="s">
        <v>129</v>
      </c>
      <c r="Y126" s="1500"/>
      <c r="Z126" s="1501"/>
      <c r="AA126" s="1499" t="s">
        <v>129</v>
      </c>
      <c r="AB126" s="1500"/>
      <c r="AC126" s="1501"/>
      <c r="AD126" s="1484"/>
      <c r="AE126" s="1484"/>
      <c r="AF126" s="1484"/>
      <c r="AG126" s="1484" t="s">
        <v>129</v>
      </c>
      <c r="AH126" s="1484"/>
      <c r="AI126" s="1484"/>
      <c r="AJ126" s="1393" t="s">
        <v>22</v>
      </c>
      <c r="AK126" s="1484" t="str">
        <f>IF(V126="","",IF(SUM(V126:V131)&gt;=[9]PARÁMETROS!$H$5,"CUMPLE","NO CUMPLE"))</f>
        <v>CUMPLE</v>
      </c>
      <c r="AL126" s="1484" t="str">
        <f>IF(V126="","",IF(V126&gt;=[9]PARÁMETROS!$F$5,"CUMPLE","NO CUMPLE"))</f>
        <v>CUMPLE</v>
      </c>
      <c r="AM126" s="1393" t="str">
        <f>+IF(V126="","",IF(V126&gt;=[9]PARÁMETROS!$D$5,"CUMPLE","NO CUMPLE"))</f>
        <v>CUMPLE</v>
      </c>
      <c r="AN126" s="96"/>
    </row>
    <row r="127" spans="1:40" s="58" customFormat="1" ht="65.099999999999994" customHeight="1" thickBot="1">
      <c r="A127" s="1612"/>
      <c r="B127" s="1510"/>
      <c r="C127" s="19" t="s">
        <v>1848</v>
      </c>
      <c r="D127" s="170">
        <v>162</v>
      </c>
      <c r="E127" s="101" t="str">
        <f>+IFERROR(INDEX([4]CONSOLIDADO!$D$4:$D$108,MATCH('Concur - Exp. General'!C127,[4]CONSOLIDADO!$C$4:$C$108,0)),"")</f>
        <v>GERMAN BALLESTAS BERDEJO</v>
      </c>
      <c r="F127" s="22" t="s">
        <v>448</v>
      </c>
      <c r="G127" s="22" t="s">
        <v>1849</v>
      </c>
      <c r="H127" s="1388" t="s">
        <v>22</v>
      </c>
      <c r="I127" s="1388" t="s">
        <v>22</v>
      </c>
      <c r="J127" s="34">
        <v>0.4</v>
      </c>
      <c r="K127" s="25">
        <v>39157</v>
      </c>
      <c r="L127" s="25">
        <v>39948</v>
      </c>
      <c r="M127" s="26">
        <f t="shared" si="12"/>
        <v>2009</v>
      </c>
      <c r="N127" s="27">
        <f>+IFERROR(INDEX([9]PARÁMETROS!$B$11:$B$37,MATCH(M127,[9]PARÁMETROS!$A$11:$A$37,0)),"")</f>
        <v>496900</v>
      </c>
      <c r="O127" s="35">
        <v>3056044919</v>
      </c>
      <c r="P127" s="77" t="s">
        <v>151</v>
      </c>
      <c r="Q127" s="68" t="s">
        <v>140</v>
      </c>
      <c r="R127" s="78" t="s">
        <v>140</v>
      </c>
      <c r="S127" s="79">
        <v>1</v>
      </c>
      <c r="T127" s="27">
        <f t="shared" si="13"/>
        <v>3056044919</v>
      </c>
      <c r="U127" s="16">
        <f t="shared" si="14"/>
        <v>6150.2212094988936</v>
      </c>
      <c r="V127" s="16">
        <f t="shared" si="15"/>
        <v>2460.0884837995577</v>
      </c>
      <c r="W127" s="208">
        <v>19</v>
      </c>
      <c r="X127" s="1485" t="s">
        <v>129</v>
      </c>
      <c r="Y127" s="1485"/>
      <c r="Z127" s="1485"/>
      <c r="AA127" s="1485" t="s">
        <v>129</v>
      </c>
      <c r="AB127" s="1485"/>
      <c r="AC127" s="1485"/>
      <c r="AD127" s="1485"/>
      <c r="AE127" s="1485"/>
      <c r="AF127" s="1485"/>
      <c r="AG127" s="1485" t="s">
        <v>22</v>
      </c>
      <c r="AH127" s="1485"/>
      <c r="AI127" s="1485"/>
      <c r="AJ127" s="1388" t="s">
        <v>22</v>
      </c>
      <c r="AK127" s="1485"/>
      <c r="AL127" s="1485"/>
      <c r="AM127" s="1388" t="str">
        <f>+IF(V127="","",IF(V127&gt;=[9]PARÁMETROS!$D$5,"CUMPLE","NO CUMPLE"))</f>
        <v>CUMPLE</v>
      </c>
      <c r="AN127" s="97"/>
    </row>
    <row r="128" spans="1:40" s="58" customFormat="1" ht="65.099999999999994" customHeight="1" thickBot="1">
      <c r="A128" s="1612"/>
      <c r="B128" s="1510"/>
      <c r="C128" s="19" t="s">
        <v>503</v>
      </c>
      <c r="D128" s="170">
        <v>165</v>
      </c>
      <c r="E128" s="101" t="str">
        <f>+IFERROR(INDEX([4]CONSOLIDADO!$D$4:$D$108,MATCH('Concur - Exp. General'!C128,[4]CONSOLIDADO!$C$4:$C$108,0)),"")</f>
        <v>COPEBA LTDA</v>
      </c>
      <c r="F128" s="22" t="s">
        <v>1833</v>
      </c>
      <c r="G128" s="23" t="s">
        <v>1850</v>
      </c>
      <c r="H128" s="1388" t="s">
        <v>22</v>
      </c>
      <c r="I128" s="1388" t="s">
        <v>22</v>
      </c>
      <c r="J128" s="24">
        <v>0.75</v>
      </c>
      <c r="K128" s="25">
        <v>38681</v>
      </c>
      <c r="L128" s="25">
        <v>40083</v>
      </c>
      <c r="M128" s="26">
        <f t="shared" si="12"/>
        <v>2009</v>
      </c>
      <c r="N128" s="27">
        <f>+IFERROR(INDEX([9]PARÁMETROS!$B$11:$B$37,MATCH(M128,[9]PARÁMETROS!$A$11:$A$37,0)),"")</f>
        <v>496900</v>
      </c>
      <c r="O128" s="28">
        <v>2040507559</v>
      </c>
      <c r="P128" s="77" t="s">
        <v>151</v>
      </c>
      <c r="Q128" s="68" t="s">
        <v>140</v>
      </c>
      <c r="R128" s="78" t="s">
        <v>140</v>
      </c>
      <c r="S128" s="79">
        <v>1</v>
      </c>
      <c r="T128" s="27">
        <f t="shared" si="13"/>
        <v>2040507559</v>
      </c>
      <c r="U128" s="16">
        <f t="shared" si="14"/>
        <v>4106.4752646407724</v>
      </c>
      <c r="V128" s="16">
        <f t="shared" si="15"/>
        <v>3079.8564484805793</v>
      </c>
      <c r="W128" s="208">
        <v>16</v>
      </c>
      <c r="X128" s="1485" t="s">
        <v>22</v>
      </c>
      <c r="Y128" s="1485"/>
      <c r="Z128" s="1485"/>
      <c r="AA128" s="1485" t="s">
        <v>22</v>
      </c>
      <c r="AB128" s="1485"/>
      <c r="AC128" s="1485"/>
      <c r="AD128" s="1485"/>
      <c r="AE128" s="1485"/>
      <c r="AF128" s="1485"/>
      <c r="AG128" s="1485" t="s">
        <v>22</v>
      </c>
      <c r="AH128" s="1485"/>
      <c r="AI128" s="1485"/>
      <c r="AJ128" s="1388" t="s">
        <v>22</v>
      </c>
      <c r="AK128" s="1485"/>
      <c r="AL128" s="1485"/>
      <c r="AM128" s="1388" t="str">
        <f>+IF(V128="","",IF(V128&gt;=[9]PARÁMETROS!$D$5,"CUMPLE","NO CUMPLE"))</f>
        <v>CUMPLE</v>
      </c>
      <c r="AN128" s="97"/>
    </row>
    <row r="129" spans="1:40" s="58" customFormat="1" ht="65.099999999999994" customHeight="1" thickBot="1">
      <c r="A129" s="1612"/>
      <c r="B129" s="1510"/>
      <c r="C129" s="19" t="s">
        <v>503</v>
      </c>
      <c r="D129" s="170">
        <v>171</v>
      </c>
      <c r="E129" s="101" t="str">
        <f>+IFERROR(INDEX([4]CONSOLIDADO!$D$4:$D$108,MATCH('Concur - Exp. General'!C129,[4]CONSOLIDADO!$C$4:$C$108,0)),"")</f>
        <v>COPEBA LTDA</v>
      </c>
      <c r="F129" s="22" t="s">
        <v>1833</v>
      </c>
      <c r="G129" s="23" t="s">
        <v>1851</v>
      </c>
      <c r="H129" s="1388" t="s">
        <v>22</v>
      </c>
      <c r="I129" s="1388" t="s">
        <v>22</v>
      </c>
      <c r="J129" s="24">
        <v>0.9</v>
      </c>
      <c r="K129" s="25">
        <v>39770</v>
      </c>
      <c r="L129" s="25">
        <v>40711</v>
      </c>
      <c r="M129" s="26">
        <f t="shared" si="12"/>
        <v>2011</v>
      </c>
      <c r="N129" s="27">
        <f>+IFERROR(INDEX([9]PARÁMETROS!$B$11:$B$37,MATCH(M129,[9]PARÁMETROS!$A$11:$A$37,0)),"")</f>
        <v>535600</v>
      </c>
      <c r="O129" s="28">
        <v>2159192501</v>
      </c>
      <c r="P129" s="77" t="s">
        <v>151</v>
      </c>
      <c r="Q129" s="68" t="s">
        <v>140</v>
      </c>
      <c r="R129" s="78" t="s">
        <v>140</v>
      </c>
      <c r="S129" s="79">
        <v>1</v>
      </c>
      <c r="T129" s="27">
        <f t="shared" si="13"/>
        <v>2159192501</v>
      </c>
      <c r="U129" s="16">
        <f t="shared" si="14"/>
        <v>4031.3526904406272</v>
      </c>
      <c r="V129" s="16">
        <f t="shared" si="15"/>
        <v>3628.2174213965645</v>
      </c>
      <c r="W129" s="208">
        <v>22</v>
      </c>
      <c r="X129" s="1485" t="s">
        <v>22</v>
      </c>
      <c r="Y129" s="1485"/>
      <c r="Z129" s="1485"/>
      <c r="AA129" s="1485" t="s">
        <v>22</v>
      </c>
      <c r="AB129" s="1485"/>
      <c r="AC129" s="1485"/>
      <c r="AD129" s="1485"/>
      <c r="AE129" s="1485"/>
      <c r="AF129" s="1485"/>
      <c r="AG129" s="1485" t="s">
        <v>22</v>
      </c>
      <c r="AH129" s="1485"/>
      <c r="AI129" s="1485"/>
      <c r="AJ129" s="1388" t="s">
        <v>22</v>
      </c>
      <c r="AK129" s="1485"/>
      <c r="AL129" s="1485"/>
      <c r="AM129" s="1388" t="str">
        <f>+IF(V129="","",IF(V129&gt;=[9]PARÁMETROS!$D$5,"CUMPLE","NO CUMPLE"))</f>
        <v>CUMPLE</v>
      </c>
      <c r="AN129" s="97"/>
    </row>
    <row r="130" spans="1:40" s="58" customFormat="1" ht="65.099999999999994" customHeight="1" thickBot="1">
      <c r="A130" s="1612"/>
      <c r="B130" s="1510"/>
      <c r="C130" s="19" t="s">
        <v>503</v>
      </c>
      <c r="D130" s="170">
        <v>176</v>
      </c>
      <c r="E130" s="101" t="str">
        <f>+IFERROR(INDEX([4]CONSOLIDADO!$D$4:$D$108,MATCH('Concur - Exp. General'!C130,[4]CONSOLIDADO!$C$4:$C$108,0)),"")</f>
        <v>COPEBA LTDA</v>
      </c>
      <c r="F130" s="22" t="s">
        <v>1833</v>
      </c>
      <c r="G130" s="23" t="s">
        <v>1852</v>
      </c>
      <c r="H130" s="1388" t="s">
        <v>22</v>
      </c>
      <c r="I130" s="1388" t="s">
        <v>22</v>
      </c>
      <c r="J130" s="24">
        <v>1</v>
      </c>
      <c r="K130" s="25">
        <v>37995</v>
      </c>
      <c r="L130" s="25">
        <v>38883</v>
      </c>
      <c r="M130" s="26">
        <f t="shared" si="12"/>
        <v>2006</v>
      </c>
      <c r="N130" s="27">
        <f>+IFERROR(INDEX([9]PARÁMETROS!$B$11:$B$37,MATCH(M130,[9]PARÁMETROS!$A$11:$A$37,0)),"")</f>
        <v>408000</v>
      </c>
      <c r="O130" s="28">
        <v>1167976336</v>
      </c>
      <c r="P130" s="77" t="s">
        <v>151</v>
      </c>
      <c r="Q130" s="68" t="s">
        <v>140</v>
      </c>
      <c r="R130" s="78" t="s">
        <v>140</v>
      </c>
      <c r="S130" s="79">
        <v>1</v>
      </c>
      <c r="T130" s="27">
        <f t="shared" si="13"/>
        <v>1167976336</v>
      </c>
      <c r="U130" s="16">
        <f t="shared" si="14"/>
        <v>2862.6870980392155</v>
      </c>
      <c r="V130" s="16">
        <f t="shared" si="15"/>
        <v>2862.6870980392155</v>
      </c>
      <c r="W130" s="208">
        <v>15</v>
      </c>
      <c r="X130" s="1485" t="s">
        <v>22</v>
      </c>
      <c r="Y130" s="1485"/>
      <c r="Z130" s="1485"/>
      <c r="AA130" s="1485" t="s">
        <v>22</v>
      </c>
      <c r="AB130" s="1485"/>
      <c r="AC130" s="1485"/>
      <c r="AD130" s="1485"/>
      <c r="AE130" s="1485"/>
      <c r="AF130" s="1485"/>
      <c r="AG130" s="1485" t="s">
        <v>22</v>
      </c>
      <c r="AH130" s="1485"/>
      <c r="AI130" s="1485"/>
      <c r="AJ130" s="1388" t="s">
        <v>22</v>
      </c>
      <c r="AK130" s="1485"/>
      <c r="AL130" s="1485"/>
      <c r="AM130" s="1388" t="str">
        <f>+IF(V130="","",IF(V130&gt;=[9]PARÁMETROS!$D$5,"CUMPLE","NO CUMPLE"))</f>
        <v>CUMPLE</v>
      </c>
      <c r="AN130" s="97"/>
    </row>
    <row r="131" spans="1:40" s="58" customFormat="1" ht="65.099999999999994" customHeight="1" thickBot="1">
      <c r="A131" s="1612"/>
      <c r="B131" s="1511"/>
      <c r="C131" s="99" t="s">
        <v>503</v>
      </c>
      <c r="D131" s="178">
        <v>185</v>
      </c>
      <c r="E131" s="101" t="str">
        <f>+IFERROR(INDEX([4]CONSOLIDADO!$D$4:$D$108,MATCH('Concur - Exp. General'!C131,[4]CONSOLIDADO!$C$4:$C$108,0)),"")</f>
        <v>COPEBA LTDA</v>
      </c>
      <c r="F131" s="22" t="s">
        <v>1833</v>
      </c>
      <c r="G131" s="103" t="s">
        <v>1853</v>
      </c>
      <c r="H131" s="1392" t="s">
        <v>22</v>
      </c>
      <c r="I131" s="1392" t="s">
        <v>22</v>
      </c>
      <c r="J131" s="104">
        <v>1</v>
      </c>
      <c r="K131" s="105">
        <v>39847</v>
      </c>
      <c r="L131" s="105">
        <v>40286</v>
      </c>
      <c r="M131" s="106">
        <f t="shared" si="12"/>
        <v>2010</v>
      </c>
      <c r="N131" s="107">
        <f>+IFERROR(INDEX([9]PARÁMETROS!$B$11:$B$37,MATCH(M131,[9]PARÁMETROS!$A$11:$A$37,0)),"")</f>
        <v>515000</v>
      </c>
      <c r="O131" s="108">
        <v>874532190</v>
      </c>
      <c r="P131" s="77" t="s">
        <v>151</v>
      </c>
      <c r="Q131" s="99" t="s">
        <v>140</v>
      </c>
      <c r="R131" s="110" t="s">
        <v>140</v>
      </c>
      <c r="S131" s="111">
        <v>1</v>
      </c>
      <c r="T131" s="107">
        <f>IF(S131&lt;&gt;"",O131*S131,"")</f>
        <v>874532190</v>
      </c>
      <c r="U131" s="112">
        <f t="shared" si="14"/>
        <v>1698.1207572815533</v>
      </c>
      <c r="V131" s="112">
        <f t="shared" si="15"/>
        <v>1698.1207572815533</v>
      </c>
      <c r="W131" s="213">
        <v>26</v>
      </c>
      <c r="X131" s="1485" t="s">
        <v>22</v>
      </c>
      <c r="Y131" s="1485"/>
      <c r="Z131" s="1485"/>
      <c r="AA131" s="1485" t="s">
        <v>22</v>
      </c>
      <c r="AB131" s="1485"/>
      <c r="AC131" s="1485"/>
      <c r="AD131" s="1485"/>
      <c r="AE131" s="1485"/>
      <c r="AF131" s="1485"/>
      <c r="AG131" s="1485" t="s">
        <v>22</v>
      </c>
      <c r="AH131" s="1485"/>
      <c r="AI131" s="1485"/>
      <c r="AJ131" s="1392" t="s">
        <v>22</v>
      </c>
      <c r="AK131" s="1486"/>
      <c r="AL131" s="1486"/>
      <c r="AM131" s="1392" t="str">
        <f>+IF(V131="","",IF(V131&gt;=[9]PARÁMETROS!$D$5,"CUMPLE","NO CUMPLE"))</f>
        <v>NO CUMPLE</v>
      </c>
      <c r="AN131" s="113"/>
    </row>
    <row r="132" spans="1:40" s="58" customFormat="1" ht="65.099999999999994" customHeight="1">
      <c r="A132" s="1612"/>
      <c r="B132" s="1509" t="s">
        <v>1854</v>
      </c>
      <c r="C132" s="81" t="s">
        <v>507</v>
      </c>
      <c r="D132" s="169">
        <v>198</v>
      </c>
      <c r="E132" s="153" t="str">
        <f>+IFERROR(INDEX([4]CONSOLIDADO!$D$4:$D$108,MATCH('Concur - Exp. General'!C132,[4]CONSOLIDADO!$C$4:$C$108,0)),"")</f>
        <v>AYESA COLOMBIA INGENIERIA Y ARQUITECTURA S.A.S.</v>
      </c>
      <c r="F132" s="84" t="s">
        <v>1855</v>
      </c>
      <c r="G132" s="85" t="s">
        <v>1856</v>
      </c>
      <c r="H132" s="1393" t="s">
        <v>22</v>
      </c>
      <c r="I132" s="1393" t="s">
        <v>22</v>
      </c>
      <c r="J132" s="86">
        <v>1</v>
      </c>
      <c r="K132" s="87">
        <v>37591</v>
      </c>
      <c r="L132" s="87">
        <v>40117</v>
      </c>
      <c r="M132" s="88">
        <f t="shared" si="12"/>
        <v>2009</v>
      </c>
      <c r="N132" s="89">
        <f>+IFERROR(INDEX([9]PARÁMETROS!$B$11:$B$37,MATCH(M132,[9]PARÁMETROS!$A$11:$A$37,0)),"")</f>
        <v>496900</v>
      </c>
      <c r="O132" s="176">
        <f>3847834.36+458292.09</f>
        <v>4306126.45</v>
      </c>
      <c r="P132" s="91" t="s">
        <v>142</v>
      </c>
      <c r="Q132" s="283">
        <v>1.48045</v>
      </c>
      <c r="R132" s="276">
        <f>+O132*Q132</f>
        <v>6375004.9029025007</v>
      </c>
      <c r="S132" s="276">
        <v>2004.37</v>
      </c>
      <c r="T132" s="279">
        <f>+R132*S132</f>
        <v>12777868577.230684</v>
      </c>
      <c r="U132" s="94">
        <f t="shared" si="14"/>
        <v>25715.171216000574</v>
      </c>
      <c r="V132" s="94">
        <f t="shared" si="15"/>
        <v>25715.171216000574</v>
      </c>
      <c r="W132" s="207">
        <v>2</v>
      </c>
      <c r="X132" s="1505" t="s">
        <v>22</v>
      </c>
      <c r="Y132" s="1505"/>
      <c r="Z132" s="1505"/>
      <c r="AA132" s="1484" t="s">
        <v>22</v>
      </c>
      <c r="AB132" s="1484"/>
      <c r="AC132" s="1484"/>
      <c r="AD132" s="1484"/>
      <c r="AE132" s="1484"/>
      <c r="AF132" s="1484"/>
      <c r="AG132" s="1484" t="s">
        <v>22</v>
      </c>
      <c r="AH132" s="1484"/>
      <c r="AI132" s="1484"/>
      <c r="AJ132" s="1393" t="s">
        <v>22</v>
      </c>
      <c r="AK132" s="1484" t="str">
        <f>IF(V132="","",IF(SUM(V132:V136)&gt;=[9]PARÁMETROS!$H$5,"CUMPLE","NO CUMPLE"))</f>
        <v>CUMPLE</v>
      </c>
      <c r="AL132" s="1484" t="str">
        <f>IF(V132="","",IF(V132&gt;=[9]PARÁMETROS!$F$5,"CUMPLE","NO CUMPLE"))</f>
        <v>CUMPLE</v>
      </c>
      <c r="AM132" s="1393" t="str">
        <f>+IF(V132="","",IF(V132&gt;=[9]PARÁMETROS!$D$5,"CUMPLE","NO CUMPLE"))</f>
        <v>CUMPLE</v>
      </c>
      <c r="AN132" s="96"/>
    </row>
    <row r="133" spans="1:40" s="58" customFormat="1" ht="65.099999999999994" customHeight="1">
      <c r="A133" s="1612"/>
      <c r="B133" s="1510"/>
      <c r="C133" s="19" t="s">
        <v>512</v>
      </c>
      <c r="D133" s="170">
        <v>207</v>
      </c>
      <c r="E133" s="21" t="s">
        <v>856</v>
      </c>
      <c r="F133" s="22" t="s">
        <v>517</v>
      </c>
      <c r="G133" s="23" t="s">
        <v>1857</v>
      </c>
      <c r="H133" s="1388" t="s">
        <v>22</v>
      </c>
      <c r="I133" s="1388" t="s">
        <v>22</v>
      </c>
      <c r="J133" s="24">
        <v>0.5</v>
      </c>
      <c r="K133" s="25">
        <v>38772</v>
      </c>
      <c r="L133" s="25">
        <v>40656</v>
      </c>
      <c r="M133" s="26">
        <f t="shared" si="12"/>
        <v>2011</v>
      </c>
      <c r="N133" s="27">
        <f>+IFERROR(INDEX([9]PARÁMETROS!$B$11:$B$37,MATCH(M133,[9]PARÁMETROS!$A$11:$A$37,0)),"")</f>
        <v>535600</v>
      </c>
      <c r="O133" s="28">
        <f>2886786280+115909520+305088445+1344646519+141603092</f>
        <v>4794033856</v>
      </c>
      <c r="P133" s="77" t="s">
        <v>151</v>
      </c>
      <c r="Q133" s="19" t="s">
        <v>140</v>
      </c>
      <c r="R133" s="78" t="s">
        <v>140</v>
      </c>
      <c r="S133" s="79">
        <v>1</v>
      </c>
      <c r="T133" s="27">
        <f t="shared" si="13"/>
        <v>4794033856</v>
      </c>
      <c r="U133" s="16">
        <f t="shared" si="14"/>
        <v>8950.7726960418222</v>
      </c>
      <c r="V133" s="16">
        <f t="shared" si="15"/>
        <v>4475.3863480209111</v>
      </c>
      <c r="W133" s="208">
        <v>21</v>
      </c>
      <c r="X133" s="1485" t="s">
        <v>22</v>
      </c>
      <c r="Y133" s="1485"/>
      <c r="Z133" s="1485"/>
      <c r="AA133" s="1485" t="s">
        <v>22</v>
      </c>
      <c r="AB133" s="1485"/>
      <c r="AC133" s="1485"/>
      <c r="AD133" s="1485"/>
      <c r="AE133" s="1485"/>
      <c r="AF133" s="1485"/>
      <c r="AG133" s="1485" t="s">
        <v>22</v>
      </c>
      <c r="AH133" s="1485"/>
      <c r="AI133" s="1485"/>
      <c r="AJ133" s="1388" t="s">
        <v>22</v>
      </c>
      <c r="AK133" s="1485"/>
      <c r="AL133" s="1485"/>
      <c r="AM133" s="1388" t="str">
        <f>+IF(V133="","",IF(V133&gt;=[9]PARÁMETROS!$D$5,"CUMPLE","NO CUMPLE"))</f>
        <v>CUMPLE</v>
      </c>
      <c r="AN133" s="97"/>
    </row>
    <row r="134" spans="1:40" ht="57">
      <c r="A134" s="1612"/>
      <c r="B134" s="1510"/>
      <c r="C134" s="19" t="s">
        <v>512</v>
      </c>
      <c r="D134" s="170">
        <v>212</v>
      </c>
      <c r="E134" s="21" t="s">
        <v>856</v>
      </c>
      <c r="F134" s="22" t="s">
        <v>1833</v>
      </c>
      <c r="G134" s="23" t="s">
        <v>1233</v>
      </c>
      <c r="H134" s="1388" t="s">
        <v>22</v>
      </c>
      <c r="I134" s="1388" t="s">
        <v>22</v>
      </c>
      <c r="J134" s="24">
        <v>0.75</v>
      </c>
      <c r="K134" s="25">
        <v>37308</v>
      </c>
      <c r="L134" s="25">
        <v>37986</v>
      </c>
      <c r="M134" s="26">
        <f t="shared" si="12"/>
        <v>2003</v>
      </c>
      <c r="N134" s="27">
        <f>+IFERROR(INDEX([9]PARÁMETROS!$B$11:$B$37,MATCH(M134,[9]PARÁMETROS!$A$11:$A$37,0)),"")</f>
        <v>332000</v>
      </c>
      <c r="O134" s="28">
        <v>1335742560</v>
      </c>
      <c r="P134" s="77" t="s">
        <v>151</v>
      </c>
      <c r="Q134" s="68" t="s">
        <v>140</v>
      </c>
      <c r="R134" s="78" t="s">
        <v>140</v>
      </c>
      <c r="S134" s="79">
        <v>1</v>
      </c>
      <c r="T134" s="27">
        <f t="shared" si="13"/>
        <v>1335742560</v>
      </c>
      <c r="U134" s="16">
        <f t="shared" si="14"/>
        <v>4023.3209638554217</v>
      </c>
      <c r="V134" s="16">
        <f t="shared" si="15"/>
        <v>3017.4907228915663</v>
      </c>
      <c r="W134" s="208">
        <v>35</v>
      </c>
      <c r="X134" s="1485" t="s">
        <v>129</v>
      </c>
      <c r="Y134" s="1485"/>
      <c r="Z134" s="1485"/>
      <c r="AA134" s="1485" t="s">
        <v>22</v>
      </c>
      <c r="AB134" s="1485"/>
      <c r="AC134" s="1485"/>
      <c r="AD134" s="1485"/>
      <c r="AE134" s="1485"/>
      <c r="AF134" s="1485"/>
      <c r="AG134" s="1485" t="s">
        <v>22</v>
      </c>
      <c r="AH134" s="1485"/>
      <c r="AI134" s="1485"/>
      <c r="AJ134" s="1388" t="s">
        <v>22</v>
      </c>
      <c r="AK134" s="1485"/>
      <c r="AL134" s="1485"/>
      <c r="AM134" s="1388" t="str">
        <f>+IF(V134="","",IF(V134&gt;=[9]PARÁMETROS!$D$5,"CUMPLE","NO CUMPLE"))</f>
        <v>CUMPLE</v>
      </c>
      <c r="AN134" s="97"/>
    </row>
    <row r="135" spans="1:40" ht="57">
      <c r="A135" s="1612"/>
      <c r="B135" s="1510"/>
      <c r="C135" s="19" t="s">
        <v>512</v>
      </c>
      <c r="D135" s="170">
        <v>217</v>
      </c>
      <c r="E135" s="21" t="s">
        <v>856</v>
      </c>
      <c r="F135" s="22" t="s">
        <v>1833</v>
      </c>
      <c r="G135" s="23" t="s">
        <v>1234</v>
      </c>
      <c r="H135" s="1388" t="s">
        <v>22</v>
      </c>
      <c r="I135" s="1388" t="s">
        <v>22</v>
      </c>
      <c r="J135" s="24">
        <v>1</v>
      </c>
      <c r="K135" s="25">
        <v>36992</v>
      </c>
      <c r="L135" s="25">
        <v>37539</v>
      </c>
      <c r="M135" s="26">
        <f t="shared" si="12"/>
        <v>2002</v>
      </c>
      <c r="N135" s="27">
        <f>+IFERROR(INDEX([9]PARÁMETROS!$B$11:$B$37,MATCH(M135,[9]PARÁMETROS!$A$11:$A$37,0)),"")</f>
        <v>309000</v>
      </c>
      <c r="O135" s="28">
        <v>999929000</v>
      </c>
      <c r="P135" s="77" t="s">
        <v>151</v>
      </c>
      <c r="Q135" s="68" t="s">
        <v>140</v>
      </c>
      <c r="R135" s="78" t="s">
        <v>140</v>
      </c>
      <c r="S135" s="79">
        <v>1</v>
      </c>
      <c r="T135" s="27">
        <f t="shared" si="13"/>
        <v>999929000</v>
      </c>
      <c r="U135" s="16">
        <f t="shared" si="14"/>
        <v>3236.0161812297733</v>
      </c>
      <c r="V135" s="16">
        <f t="shared" si="15"/>
        <v>3236.0161812297733</v>
      </c>
      <c r="W135" s="208">
        <v>44</v>
      </c>
      <c r="X135" s="1485" t="s">
        <v>129</v>
      </c>
      <c r="Y135" s="1485"/>
      <c r="Z135" s="1485"/>
      <c r="AA135" s="1485" t="s">
        <v>22</v>
      </c>
      <c r="AB135" s="1485"/>
      <c r="AC135" s="1485"/>
      <c r="AD135" s="1485"/>
      <c r="AE135" s="1485"/>
      <c r="AF135" s="1485"/>
      <c r="AG135" s="1485" t="s">
        <v>22</v>
      </c>
      <c r="AH135" s="1485"/>
      <c r="AI135" s="1485"/>
      <c r="AJ135" s="1388" t="s">
        <v>22</v>
      </c>
      <c r="AK135" s="1485"/>
      <c r="AL135" s="1485"/>
      <c r="AM135" s="1388" t="str">
        <f>+IF(V135="","",IF(V135&gt;=[9]PARÁMETROS!$D$5,"CUMPLE","NO CUMPLE"))</f>
        <v>CUMPLE</v>
      </c>
      <c r="AN135" s="97"/>
    </row>
    <row r="136" spans="1:40" ht="57.75" thickBot="1">
      <c r="A136" s="1612"/>
      <c r="B136" s="1510"/>
      <c r="C136" s="19" t="s">
        <v>512</v>
      </c>
      <c r="D136" s="170">
        <v>221</v>
      </c>
      <c r="E136" s="357" t="s">
        <v>856</v>
      </c>
      <c r="F136" s="22" t="s">
        <v>448</v>
      </c>
      <c r="G136" s="23" t="s">
        <v>1858</v>
      </c>
      <c r="H136" s="1388" t="s">
        <v>22</v>
      </c>
      <c r="I136" s="1388" t="s">
        <v>22</v>
      </c>
      <c r="J136" s="24">
        <v>0.4</v>
      </c>
      <c r="K136" s="25">
        <v>37432</v>
      </c>
      <c r="L136" s="25">
        <v>38352</v>
      </c>
      <c r="M136" s="26">
        <f t="shared" si="12"/>
        <v>2004</v>
      </c>
      <c r="N136" s="27">
        <f>+IFERROR(INDEX([9]PARÁMETROS!$B$11:$B$37,MATCH(M136,[9]PARÁMETROS!$A$11:$A$37,0)),"")</f>
        <v>358000</v>
      </c>
      <c r="O136" s="28">
        <v>2381707955</v>
      </c>
      <c r="P136" s="29" t="s">
        <v>151</v>
      </c>
      <c r="Q136" s="19" t="s">
        <v>140</v>
      </c>
      <c r="R136" s="30" t="s">
        <v>140</v>
      </c>
      <c r="S136" s="31">
        <v>1</v>
      </c>
      <c r="T136" s="27">
        <f t="shared" si="13"/>
        <v>2381707955</v>
      </c>
      <c r="U136" s="16">
        <f t="shared" si="14"/>
        <v>6652.815516759777</v>
      </c>
      <c r="V136" s="16">
        <f t="shared" si="15"/>
        <v>2661.1262067039111</v>
      </c>
      <c r="W136" s="208">
        <v>27</v>
      </c>
      <c r="X136" s="1485" t="s">
        <v>129</v>
      </c>
      <c r="Y136" s="1485"/>
      <c r="Z136" s="1485"/>
      <c r="AA136" s="1485" t="s">
        <v>22</v>
      </c>
      <c r="AB136" s="1485"/>
      <c r="AC136" s="1485"/>
      <c r="AD136" s="1485"/>
      <c r="AE136" s="1485"/>
      <c r="AF136" s="1485"/>
      <c r="AG136" s="1485" t="s">
        <v>22</v>
      </c>
      <c r="AH136" s="1485"/>
      <c r="AI136" s="1485"/>
      <c r="AJ136" s="1388" t="s">
        <v>22</v>
      </c>
      <c r="AK136" s="1485"/>
      <c r="AL136" s="1485"/>
      <c r="AM136" s="1388" t="str">
        <f>+IF(V136="","",IF(V136&gt;=[9]PARÁMETROS!$D$5,"CUMPLE","NO CUMPLE"))</f>
        <v>CUMPLE</v>
      </c>
      <c r="AN136" s="97"/>
    </row>
    <row r="137" spans="1:40" ht="79.5" thickBot="1">
      <c r="A137" s="1612"/>
      <c r="B137" s="1509" t="s">
        <v>1859</v>
      </c>
      <c r="C137" s="81" t="s">
        <v>519</v>
      </c>
      <c r="D137" s="169">
        <v>269</v>
      </c>
      <c r="E137" s="101" t="str">
        <f>+IFERROR(INDEX([4]CONSOLIDADO!$D$4:$D$108,MATCH('Concur - Exp. General'!C137,[4]CONSOLIDADO!$C$4:$C$108,0)),"")</f>
        <v>PROYECTOS CONSTRUCCIONES CIVILES Y VIALES LIMITADA</v>
      </c>
      <c r="F137" s="84" t="s">
        <v>1833</v>
      </c>
      <c r="G137" s="85" t="s">
        <v>1860</v>
      </c>
      <c r="H137" s="1393" t="s">
        <v>22</v>
      </c>
      <c r="I137" s="1393" t="s">
        <v>22</v>
      </c>
      <c r="J137" s="86">
        <v>0.5</v>
      </c>
      <c r="K137" s="87">
        <v>35076</v>
      </c>
      <c r="L137" s="87">
        <v>35881</v>
      </c>
      <c r="M137" s="88">
        <f t="shared" si="12"/>
        <v>1998</v>
      </c>
      <c r="N137" s="89">
        <f>+IFERROR(INDEX([9]PARÁMETROS!$B$11:$B$37,MATCH(M137,[9]PARÁMETROS!$A$11:$A$37,0)),"")</f>
        <v>203826</v>
      </c>
      <c r="O137" s="90">
        <v>1603996630</v>
      </c>
      <c r="P137" s="91" t="s">
        <v>151</v>
      </c>
      <c r="Q137" s="81" t="s">
        <v>140</v>
      </c>
      <c r="R137" s="92" t="s">
        <v>140</v>
      </c>
      <c r="S137" s="93">
        <v>1</v>
      </c>
      <c r="T137" s="89">
        <f t="shared" si="13"/>
        <v>1603996630</v>
      </c>
      <c r="U137" s="94">
        <f t="shared" si="14"/>
        <v>7869.4407484815483</v>
      </c>
      <c r="V137" s="94">
        <f t="shared" si="15"/>
        <v>3934.7203742407742</v>
      </c>
      <c r="W137" s="207">
        <v>101</v>
      </c>
      <c r="X137" s="1484" t="s">
        <v>129</v>
      </c>
      <c r="Y137" s="1484"/>
      <c r="Z137" s="1484"/>
      <c r="AA137" s="1484" t="s">
        <v>22</v>
      </c>
      <c r="AB137" s="1484"/>
      <c r="AC137" s="1484"/>
      <c r="AD137" s="1484"/>
      <c r="AE137" s="1484"/>
      <c r="AF137" s="1484"/>
      <c r="AG137" s="1484" t="s">
        <v>22</v>
      </c>
      <c r="AH137" s="1484"/>
      <c r="AI137" s="1484"/>
      <c r="AJ137" s="1393" t="s">
        <v>22</v>
      </c>
      <c r="AK137" s="1484" t="str">
        <f>IF(V137="","",IF(SUM(V137:V142)&gt;=[9]PARÁMETROS!$H$5,"CUMPLE","NO CUMPLE"))</f>
        <v>CUMPLE</v>
      </c>
      <c r="AL137" s="1484" t="str">
        <f>IF(V137="","",IF((V137+V138+V139)&gt;=[9]PARÁMETROS!$F$5,"CUMPLE","NO CUMPLE"))</f>
        <v>CUMPLE</v>
      </c>
      <c r="AM137" s="1393" t="str">
        <f>+IF(V137="","",IF(V137&gt;=[9]PARÁMETROS!$D$5,"CUMPLE","NO CUMPLE"))</f>
        <v>CUMPLE</v>
      </c>
      <c r="AN137" s="96"/>
    </row>
    <row r="138" spans="1:40" ht="79.5" thickBot="1">
      <c r="A138" s="1612"/>
      <c r="B138" s="1510"/>
      <c r="C138" s="19" t="s">
        <v>519</v>
      </c>
      <c r="D138" s="170">
        <v>272</v>
      </c>
      <c r="E138" s="101" t="str">
        <f>+IFERROR(INDEX([4]CONSOLIDADO!$D$4:$D$108,MATCH('Concur - Exp. General'!C138,[4]CONSOLIDADO!$C$4:$C$108,0)),"")</f>
        <v>PROYECTOS CONSTRUCCIONES CIVILES Y VIALES LIMITADA</v>
      </c>
      <c r="F138" s="22" t="s">
        <v>1833</v>
      </c>
      <c r="G138" s="23" t="s">
        <v>1861</v>
      </c>
      <c r="H138" s="1388" t="s">
        <v>22</v>
      </c>
      <c r="I138" s="1388" t="s">
        <v>22</v>
      </c>
      <c r="J138" s="24">
        <v>0.75</v>
      </c>
      <c r="K138" s="25">
        <v>37411</v>
      </c>
      <c r="L138" s="25">
        <v>38518</v>
      </c>
      <c r="M138" s="26">
        <f t="shared" si="12"/>
        <v>2005</v>
      </c>
      <c r="N138" s="27">
        <f>+IFERROR(INDEX([9]PARÁMETROS!$B$11:$B$37,MATCH(M138,[9]PARÁMETROS!$A$11:$A$37,0)),"")</f>
        <v>381500</v>
      </c>
      <c r="O138" s="28">
        <v>2982660825.3299999</v>
      </c>
      <c r="P138" s="29" t="s">
        <v>151</v>
      </c>
      <c r="Q138" s="19" t="s">
        <v>140</v>
      </c>
      <c r="R138" s="30" t="s">
        <v>140</v>
      </c>
      <c r="S138" s="31">
        <v>1</v>
      </c>
      <c r="T138" s="27">
        <f t="shared" si="13"/>
        <v>2982660825.3299999</v>
      </c>
      <c r="U138" s="16">
        <f t="shared" si="14"/>
        <v>7818.2459379554384</v>
      </c>
      <c r="V138" s="16">
        <f t="shared" si="15"/>
        <v>5863.6844534665788</v>
      </c>
      <c r="W138" s="208">
        <v>130</v>
      </c>
      <c r="X138" s="1485" t="s">
        <v>129</v>
      </c>
      <c r="Y138" s="1485"/>
      <c r="Z138" s="1485"/>
      <c r="AA138" s="1485" t="s">
        <v>22</v>
      </c>
      <c r="AB138" s="1485"/>
      <c r="AC138" s="1485"/>
      <c r="AD138" s="1485"/>
      <c r="AE138" s="1485"/>
      <c r="AF138" s="1485"/>
      <c r="AG138" s="1485" t="s">
        <v>22</v>
      </c>
      <c r="AH138" s="1485"/>
      <c r="AI138" s="1485"/>
      <c r="AJ138" s="1388" t="s">
        <v>22</v>
      </c>
      <c r="AK138" s="1485"/>
      <c r="AL138" s="1485"/>
      <c r="AM138" s="1388" t="str">
        <f>+IF(V138="","",IF(V138&gt;=[9]PARÁMETROS!$D$5,"CUMPLE","NO CUMPLE"))</f>
        <v>CUMPLE</v>
      </c>
      <c r="AN138" s="97"/>
    </row>
    <row r="139" spans="1:40" ht="79.5" thickBot="1">
      <c r="A139" s="1612"/>
      <c r="B139" s="1510"/>
      <c r="C139" s="19" t="s">
        <v>519</v>
      </c>
      <c r="D139" s="170">
        <v>317</v>
      </c>
      <c r="E139" s="101" t="str">
        <f>+IFERROR(INDEX([4]CONSOLIDADO!$D$4:$D$108,MATCH('Concur - Exp. General'!C139,[4]CONSOLIDADO!$C$4:$C$108,0)),"")</f>
        <v>PROYECTOS CONSTRUCCIONES CIVILES Y VIALES LIMITADA</v>
      </c>
      <c r="F139" s="22" t="s">
        <v>1833</v>
      </c>
      <c r="G139" s="23" t="s">
        <v>1862</v>
      </c>
      <c r="H139" s="1388" t="s">
        <v>22</v>
      </c>
      <c r="I139" s="1388" t="s">
        <v>22</v>
      </c>
      <c r="J139" s="38">
        <v>1</v>
      </c>
      <c r="K139" s="25">
        <v>32965</v>
      </c>
      <c r="L139" s="25">
        <v>35064</v>
      </c>
      <c r="M139" s="26">
        <f t="shared" si="12"/>
        <v>1995</v>
      </c>
      <c r="N139" s="27">
        <f>+IFERROR(INDEX([9]PARÁMETROS!$B$11:$B$37,MATCH(M139,[9]PARÁMETROS!$A$11:$A$37,0)),"")</f>
        <v>118933.5</v>
      </c>
      <c r="O139" s="28">
        <v>824463304</v>
      </c>
      <c r="P139" s="29" t="s">
        <v>151</v>
      </c>
      <c r="Q139" s="19" t="s">
        <v>140</v>
      </c>
      <c r="R139" s="30" t="s">
        <v>140</v>
      </c>
      <c r="S139" s="31">
        <v>1</v>
      </c>
      <c r="T139" s="27">
        <f t="shared" si="13"/>
        <v>824463304</v>
      </c>
      <c r="U139" s="16">
        <f t="shared" si="14"/>
        <v>6932.1369000323712</v>
      </c>
      <c r="V139" s="16">
        <f t="shared" si="15"/>
        <v>6932.1369000323712</v>
      </c>
      <c r="W139" s="208">
        <v>131</v>
      </c>
      <c r="X139" s="1485" t="s">
        <v>129</v>
      </c>
      <c r="Y139" s="1485"/>
      <c r="Z139" s="1485"/>
      <c r="AA139" s="1485" t="s">
        <v>22</v>
      </c>
      <c r="AB139" s="1485"/>
      <c r="AC139" s="1485"/>
      <c r="AD139" s="1485"/>
      <c r="AE139" s="1485"/>
      <c r="AF139" s="1485"/>
      <c r="AG139" s="1485" t="s">
        <v>22</v>
      </c>
      <c r="AH139" s="1485"/>
      <c r="AI139" s="1485"/>
      <c r="AJ139" s="1388" t="s">
        <v>22</v>
      </c>
      <c r="AK139" s="1485"/>
      <c r="AL139" s="1485"/>
      <c r="AM139" s="1388" t="str">
        <f>+IF(V139="","",IF(V139&gt;=[9]PARÁMETROS!$D$5,"CUMPLE","NO CUMPLE"))</f>
        <v>CUMPLE</v>
      </c>
      <c r="AN139" s="121"/>
    </row>
    <row r="140" spans="1:40" ht="100.5" thickBot="1">
      <c r="A140" s="1612"/>
      <c r="B140" s="1510"/>
      <c r="C140" s="19" t="s">
        <v>1863</v>
      </c>
      <c r="D140" s="170">
        <v>320</v>
      </c>
      <c r="E140" s="101" t="str">
        <f>+IFERROR(INDEX([4]CONSOLIDADO!$D$4:$D$108,MATCH('Concur - Exp. General'!C140,[4]CONSOLIDADO!$C$4:$C$108,0)),"")</f>
        <v>CAYCO S.A.S.</v>
      </c>
      <c r="F140" s="22" t="s">
        <v>448</v>
      </c>
      <c r="G140" s="23" t="s">
        <v>1864</v>
      </c>
      <c r="H140" s="1388" t="s">
        <v>22</v>
      </c>
      <c r="I140" s="1388" t="s">
        <v>22</v>
      </c>
      <c r="J140" s="39">
        <v>0.1</v>
      </c>
      <c r="K140" s="40">
        <v>39615</v>
      </c>
      <c r="L140" s="41">
        <v>41152</v>
      </c>
      <c r="M140" s="26">
        <f t="shared" si="12"/>
        <v>2012</v>
      </c>
      <c r="N140" s="27">
        <f>+IFERROR(INDEX([9]PARÁMETROS!$B$11:$B$37,MATCH(M140,[9]PARÁMETROS!$A$11:$A$37,0)),"")</f>
        <v>566700</v>
      </c>
      <c r="O140" s="28">
        <v>19146251489</v>
      </c>
      <c r="P140" s="29" t="s">
        <v>151</v>
      </c>
      <c r="Q140" s="29" t="s">
        <v>140</v>
      </c>
      <c r="R140" s="29" t="s">
        <v>140</v>
      </c>
      <c r="S140" s="31">
        <v>1</v>
      </c>
      <c r="T140" s="27">
        <f t="shared" si="13"/>
        <v>19146251489</v>
      </c>
      <c r="U140" s="16">
        <f t="shared" si="14"/>
        <v>33785.515244397386</v>
      </c>
      <c r="V140" s="16">
        <f t="shared" si="15"/>
        <v>3378.5515244397388</v>
      </c>
      <c r="W140" s="210">
        <v>22</v>
      </c>
      <c r="X140" s="1485" t="s">
        <v>22</v>
      </c>
      <c r="Y140" s="1485"/>
      <c r="Z140" s="1485"/>
      <c r="AA140" s="1485" t="s">
        <v>22</v>
      </c>
      <c r="AB140" s="1485"/>
      <c r="AC140" s="1485"/>
      <c r="AD140" s="1485"/>
      <c r="AE140" s="1485"/>
      <c r="AF140" s="1485"/>
      <c r="AG140" s="1485" t="s">
        <v>22</v>
      </c>
      <c r="AH140" s="1485"/>
      <c r="AI140" s="1485"/>
      <c r="AJ140" s="1388" t="s">
        <v>22</v>
      </c>
      <c r="AK140" s="1485"/>
      <c r="AL140" s="1485"/>
      <c r="AM140" s="1388" t="str">
        <f>+IF(V140="","",IF(V140&gt;=[9]PARÁMETROS!$D$5,"CUMPLE","NO CUMPLE"))</f>
        <v>CUMPLE</v>
      </c>
      <c r="AN140" s="97"/>
    </row>
    <row r="141" spans="1:40" ht="86.25" thickBot="1">
      <c r="A141" s="1612"/>
      <c r="B141" s="1510"/>
      <c r="C141" s="19" t="s">
        <v>1863</v>
      </c>
      <c r="D141" s="170">
        <v>332</v>
      </c>
      <c r="E141" s="101" t="str">
        <f>+IFERROR(INDEX([4]CONSOLIDADO!$D$4:$D$108,MATCH('Concur - Exp. General'!C141,[4]CONSOLIDADO!$C$4:$C$108,0)),"")</f>
        <v>CAYCO S.A.S.</v>
      </c>
      <c r="F141" s="22" t="s">
        <v>1833</v>
      </c>
      <c r="G141" s="23" t="s">
        <v>1865</v>
      </c>
      <c r="H141" s="1388" t="s">
        <v>22</v>
      </c>
      <c r="I141" s="1388" t="s">
        <v>22</v>
      </c>
      <c r="J141" s="24">
        <v>0.23</v>
      </c>
      <c r="K141" s="25">
        <v>38650</v>
      </c>
      <c r="L141" s="25">
        <v>39808</v>
      </c>
      <c r="M141" s="26">
        <f t="shared" si="12"/>
        <v>2008</v>
      </c>
      <c r="N141" s="27">
        <f>+IFERROR(INDEX([9]PARÁMETROS!$B$11:$B$37,MATCH(M141,[9]PARÁMETROS!$A$11:$A$37,0)),"")</f>
        <v>461500</v>
      </c>
      <c r="O141" s="28">
        <v>1649106224</v>
      </c>
      <c r="P141" s="29" t="s">
        <v>151</v>
      </c>
      <c r="Q141" s="19" t="s">
        <v>140</v>
      </c>
      <c r="R141" s="30" t="s">
        <v>140</v>
      </c>
      <c r="S141" s="31">
        <v>1</v>
      </c>
      <c r="T141" s="27">
        <f t="shared" si="13"/>
        <v>1649106224</v>
      </c>
      <c r="U141" s="16">
        <f t="shared" si="14"/>
        <v>3573.3612654387866</v>
      </c>
      <c r="V141" s="16">
        <f t="shared" si="15"/>
        <v>821.87309105092095</v>
      </c>
      <c r="W141" s="208">
        <v>4</v>
      </c>
      <c r="X141" s="1485" t="s">
        <v>22</v>
      </c>
      <c r="Y141" s="1485"/>
      <c r="Z141" s="1485"/>
      <c r="AA141" s="1485" t="s">
        <v>22</v>
      </c>
      <c r="AB141" s="1485"/>
      <c r="AC141" s="1485"/>
      <c r="AD141" s="1485"/>
      <c r="AE141" s="1485"/>
      <c r="AF141" s="1485"/>
      <c r="AG141" s="1485" t="s">
        <v>22</v>
      </c>
      <c r="AH141" s="1485"/>
      <c r="AI141" s="1485"/>
      <c r="AJ141" s="1388" t="s">
        <v>22</v>
      </c>
      <c r="AK141" s="1485"/>
      <c r="AL141" s="1485"/>
      <c r="AM141" s="1388" t="str">
        <f>+IF(V141="","",IF(V141&gt;=[9]PARÁMETROS!$D$5,"CUMPLE","NO CUMPLE"))</f>
        <v>NO CUMPLE</v>
      </c>
      <c r="AN141" s="97"/>
    </row>
    <row r="142" spans="1:40" ht="86.25" thickBot="1">
      <c r="A142" s="1612"/>
      <c r="B142" s="1511"/>
      <c r="C142" s="99" t="s">
        <v>1863</v>
      </c>
      <c r="D142" s="178">
        <v>340</v>
      </c>
      <c r="E142" s="101" t="str">
        <f>+IFERROR(INDEX([4]CONSOLIDADO!$D$4:$D$108,MATCH('Concur - Exp. General'!C142,[4]CONSOLIDADO!$C$4:$C$108,0)),"")</f>
        <v>CAYCO S.A.S.</v>
      </c>
      <c r="F142" s="102" t="s">
        <v>1833</v>
      </c>
      <c r="G142" s="103" t="s">
        <v>1866</v>
      </c>
      <c r="H142" s="1392" t="s">
        <v>22</v>
      </c>
      <c r="I142" s="1392" t="s">
        <v>22</v>
      </c>
      <c r="J142" s="104">
        <v>0.23</v>
      </c>
      <c r="K142" s="105">
        <v>38684</v>
      </c>
      <c r="L142" s="105">
        <v>39690</v>
      </c>
      <c r="M142" s="106">
        <f t="shared" si="12"/>
        <v>2008</v>
      </c>
      <c r="N142" s="107">
        <f>+IFERROR(INDEX([9]PARÁMETROS!$B$11:$B$37,MATCH(M142,[9]PARÁMETROS!$A$11:$A$37,0)),"")</f>
        <v>461500</v>
      </c>
      <c r="O142" s="108">
        <v>1688370055.5</v>
      </c>
      <c r="P142" s="109" t="s">
        <v>151</v>
      </c>
      <c r="Q142" s="99" t="s">
        <v>140</v>
      </c>
      <c r="R142" s="110" t="s">
        <v>140</v>
      </c>
      <c r="S142" s="111">
        <v>1</v>
      </c>
      <c r="T142" s="107">
        <f t="shared" si="13"/>
        <v>1688370055.5</v>
      </c>
      <c r="U142" s="112">
        <f t="shared" si="14"/>
        <v>3658.4399902491873</v>
      </c>
      <c r="V142" s="112">
        <f t="shared" si="15"/>
        <v>841.44119775731315</v>
      </c>
      <c r="W142" s="213">
        <v>6</v>
      </c>
      <c r="X142" s="1486" t="s">
        <v>22</v>
      </c>
      <c r="Y142" s="1486"/>
      <c r="Z142" s="1486"/>
      <c r="AA142" s="1486" t="s">
        <v>22</v>
      </c>
      <c r="AB142" s="1486"/>
      <c r="AC142" s="1486"/>
      <c r="AD142" s="1486"/>
      <c r="AE142" s="1486"/>
      <c r="AF142" s="1486"/>
      <c r="AG142" s="1486" t="s">
        <v>22</v>
      </c>
      <c r="AH142" s="1486"/>
      <c r="AI142" s="1486"/>
      <c r="AJ142" s="1392" t="s">
        <v>22</v>
      </c>
      <c r="AK142" s="1486"/>
      <c r="AL142" s="1486"/>
      <c r="AM142" s="1392" t="str">
        <f>+IF(V142="","",IF(V142&gt;=[9]PARÁMETROS!$D$5,"CUMPLE","NO CUMPLE"))</f>
        <v>NO CUMPLE</v>
      </c>
      <c r="AN142" s="113"/>
    </row>
    <row r="143" spans="1:40" ht="57.75" thickBot="1">
      <c r="A143" s="1612"/>
      <c r="B143" s="1509" t="s">
        <v>1867</v>
      </c>
      <c r="C143" s="81" t="s">
        <v>526</v>
      </c>
      <c r="D143" s="169">
        <v>202</v>
      </c>
      <c r="E143" s="101" t="str">
        <f>+IFERROR(INDEX([4]CONSOLIDADO!$D$4:$D$108,MATCH('Concur - Exp. General'!C143,[4]CONSOLIDADO!$C$4:$C$108,0)),"")</f>
        <v>PROGIN SPA</v>
      </c>
      <c r="F143" s="84" t="s">
        <v>1868</v>
      </c>
      <c r="G143" s="85" t="s">
        <v>1869</v>
      </c>
      <c r="H143" s="1393" t="s">
        <v>22</v>
      </c>
      <c r="I143" s="1393" t="s">
        <v>22</v>
      </c>
      <c r="J143" s="284">
        <v>0.60419999999999996</v>
      </c>
      <c r="K143" s="87">
        <v>38397</v>
      </c>
      <c r="L143" s="87">
        <v>40529</v>
      </c>
      <c r="M143" s="88">
        <f t="shared" si="12"/>
        <v>2010</v>
      </c>
      <c r="N143" s="89">
        <f>+IFERROR(INDEX([9]PARÁMETROS!$B$11:$B$37,MATCH(M143,[9]PARÁMETROS!$A$11:$A$37,0)),"")</f>
        <v>515000</v>
      </c>
      <c r="O143" s="285">
        <f>7751254.61</f>
        <v>7751254.6100000003</v>
      </c>
      <c r="P143" s="286" t="s">
        <v>142</v>
      </c>
      <c r="Q143" s="283">
        <v>1.32236</v>
      </c>
      <c r="R143" s="287">
        <f t="shared" ref="R143:R149" si="16">+O143*Q143</f>
        <v>10249949.0460796</v>
      </c>
      <c r="S143" s="276">
        <v>1916.09</v>
      </c>
      <c r="T143" s="279">
        <f t="shared" ref="T143:T149" si="17">+R143*S143</f>
        <v>19639824867.70266</v>
      </c>
      <c r="U143" s="94">
        <f t="shared" si="14"/>
        <v>38135.582267383805</v>
      </c>
      <c r="V143" s="94">
        <f t="shared" si="15"/>
        <v>23041.518805953292</v>
      </c>
      <c r="W143" s="207">
        <v>17</v>
      </c>
      <c r="X143" s="1484" t="s">
        <v>22</v>
      </c>
      <c r="Y143" s="1484"/>
      <c r="Z143" s="1484"/>
      <c r="AA143" s="1484" t="s">
        <v>22</v>
      </c>
      <c r="AB143" s="1484"/>
      <c r="AC143" s="1484"/>
      <c r="AD143" s="1484"/>
      <c r="AE143" s="1484"/>
      <c r="AF143" s="1484"/>
      <c r="AG143" s="1484" t="s">
        <v>22</v>
      </c>
      <c r="AH143" s="1484"/>
      <c r="AI143" s="1484"/>
      <c r="AJ143" s="1393" t="s">
        <v>22</v>
      </c>
      <c r="AK143" s="1484" t="str">
        <f>IF(V143="","",IF(SUM(V143:V146)&gt;=[9]PARÁMETROS!$H$5,"CUMPLE","NO CUMPLE"))</f>
        <v>CUMPLE</v>
      </c>
      <c r="AL143" s="1484" t="str">
        <f>IF(V143="","",IF((V143+V144)&gt;=[9]PARÁMETROS!$F$5,"CUMPLE","NO CUMPLE"))</f>
        <v>CUMPLE</v>
      </c>
      <c r="AM143" s="1393" t="str">
        <f>+IF(V143="","",IF(V143&gt;=[9]PARÁMETROS!$D$5,"CUMPLE","NO CUMPLE"))</f>
        <v>CUMPLE</v>
      </c>
      <c r="AN143" s="96"/>
    </row>
    <row r="144" spans="1:40" ht="29.25" thickBot="1">
      <c r="A144" s="1612"/>
      <c r="B144" s="1510"/>
      <c r="C144" s="19" t="s">
        <v>526</v>
      </c>
      <c r="D144" s="170">
        <v>213</v>
      </c>
      <c r="E144" s="101" t="str">
        <f>+IFERROR(INDEX([4]CONSOLIDADO!$D$4:$D$108,MATCH('Concur - Exp. General'!C144,[4]CONSOLIDADO!$C$4:$C$108,0)),"")</f>
        <v>PROGIN SPA</v>
      </c>
      <c r="F144" s="22" t="s">
        <v>1870</v>
      </c>
      <c r="G144" s="23" t="s">
        <v>1871</v>
      </c>
      <c r="H144" s="1388" t="s">
        <v>22</v>
      </c>
      <c r="I144" s="1388" t="s">
        <v>22</v>
      </c>
      <c r="J144" s="24">
        <v>0.23</v>
      </c>
      <c r="K144" s="25">
        <v>33527</v>
      </c>
      <c r="L144" s="25">
        <v>36734</v>
      </c>
      <c r="M144" s="26">
        <f t="shared" si="12"/>
        <v>2000</v>
      </c>
      <c r="N144" s="27">
        <f>+IFERROR(INDEX([9]PARÁMETROS!$B$11:$B$37,MATCH(M144,[9]PARÁMETROS!$A$11:$A$37,0)),"")</f>
        <v>260100</v>
      </c>
      <c r="O144" s="177">
        <v>113930818.91</v>
      </c>
      <c r="P144" s="29" t="s">
        <v>142</v>
      </c>
      <c r="Q144" s="288">
        <v>0.94181999999999999</v>
      </c>
      <c r="R144" s="289">
        <f t="shared" si="16"/>
        <v>107302323.86581619</v>
      </c>
      <c r="S144" s="276">
        <v>2165.37</v>
      </c>
      <c r="T144" s="279">
        <f t="shared" si="17"/>
        <v>232349233029.32239</v>
      </c>
      <c r="U144" s="16">
        <f t="shared" si="14"/>
        <v>893307.31652949785</v>
      </c>
      <c r="V144" s="16">
        <f t="shared" si="15"/>
        <v>205460.68280178451</v>
      </c>
      <c r="W144" s="208">
        <v>2</v>
      </c>
      <c r="X144" s="1485" t="s">
        <v>22</v>
      </c>
      <c r="Y144" s="1485"/>
      <c r="Z144" s="1485"/>
      <c r="AA144" s="1485" t="s">
        <v>22</v>
      </c>
      <c r="AB144" s="1485"/>
      <c r="AC144" s="1485"/>
      <c r="AD144" s="1485"/>
      <c r="AE144" s="1485"/>
      <c r="AF144" s="1485"/>
      <c r="AG144" s="1485" t="s">
        <v>22</v>
      </c>
      <c r="AH144" s="1485"/>
      <c r="AI144" s="1485"/>
      <c r="AJ144" s="1388" t="s">
        <v>22</v>
      </c>
      <c r="AK144" s="1485"/>
      <c r="AL144" s="1485"/>
      <c r="AM144" s="1388" t="str">
        <f>+IF(V144="","",IF(V144&gt;=[9]PARÁMETROS!$D$5,"CUMPLE","NO CUMPLE"))</f>
        <v>CUMPLE</v>
      </c>
      <c r="AN144" s="97"/>
    </row>
    <row r="145" spans="1:40" ht="72" thickBot="1">
      <c r="A145" s="1612"/>
      <c r="B145" s="1510"/>
      <c r="C145" s="19" t="s">
        <v>536</v>
      </c>
      <c r="D145" s="170">
        <v>245</v>
      </c>
      <c r="E145" s="101" t="str">
        <f>+IFERROR(INDEX([4]CONSOLIDADO!$D$4:$D$108,MATCH('Concur - Exp. General'!C145,[4]CONSOLIDADO!$C$4:$C$108,0)),"")</f>
        <v>D &amp; B INGENIEROS CIVILES S.A.S.</v>
      </c>
      <c r="F145" s="22" t="s">
        <v>1872</v>
      </c>
      <c r="G145" s="23" t="s">
        <v>1873</v>
      </c>
      <c r="H145" s="1388" t="s">
        <v>22</v>
      </c>
      <c r="I145" s="1388" t="s">
        <v>22</v>
      </c>
      <c r="J145" s="24">
        <v>1</v>
      </c>
      <c r="K145" s="25">
        <v>39353</v>
      </c>
      <c r="L145" s="25">
        <v>41273</v>
      </c>
      <c r="M145" s="26">
        <f t="shared" si="12"/>
        <v>2012</v>
      </c>
      <c r="N145" s="27">
        <f>+IFERROR(INDEX([9]PARÁMETROS!$B$11:$B$37,MATCH(M145,[9]PARÁMETROS!$A$11:$A$37,0)),"")</f>
        <v>566700</v>
      </c>
      <c r="O145" s="177">
        <v>25074000000</v>
      </c>
      <c r="P145" s="29" t="s">
        <v>415</v>
      </c>
      <c r="Q145" s="288">
        <v>2.3000000000000001E-4</v>
      </c>
      <c r="R145" s="289">
        <f t="shared" si="16"/>
        <v>5767020</v>
      </c>
      <c r="S145" s="276">
        <v>1768.23</v>
      </c>
      <c r="T145" s="279">
        <f t="shared" si="17"/>
        <v>10197417774.6</v>
      </c>
      <c r="U145" s="16">
        <f t="shared" si="14"/>
        <v>17994.384638433035</v>
      </c>
      <c r="V145" s="16">
        <f t="shared" si="15"/>
        <v>17994.384638433035</v>
      </c>
      <c r="W145" s="208">
        <v>35</v>
      </c>
      <c r="X145" s="1485" t="s">
        <v>22</v>
      </c>
      <c r="Y145" s="1485"/>
      <c r="Z145" s="1485"/>
      <c r="AA145" s="1485" t="s">
        <v>129</v>
      </c>
      <c r="AB145" s="1485"/>
      <c r="AC145" s="1485"/>
      <c r="AD145" s="1485"/>
      <c r="AE145" s="1485"/>
      <c r="AF145" s="1485"/>
      <c r="AG145" s="1485" t="s">
        <v>22</v>
      </c>
      <c r="AH145" s="1485"/>
      <c r="AI145" s="1485"/>
      <c r="AJ145" s="1388" t="s">
        <v>22</v>
      </c>
      <c r="AK145" s="1485"/>
      <c r="AL145" s="1485"/>
      <c r="AM145" s="1388" t="str">
        <f>+IF(V145="","",IF(V145&gt;=[9]PARÁMETROS!$D$5,"CUMPLE","NO CUMPLE"))</f>
        <v>CUMPLE</v>
      </c>
      <c r="AN145" s="97"/>
    </row>
    <row r="146" spans="1:40" ht="79.5" thickBot="1">
      <c r="A146" s="1612"/>
      <c r="B146" s="1510"/>
      <c r="C146" s="19" t="s">
        <v>1874</v>
      </c>
      <c r="D146" s="170">
        <v>249</v>
      </c>
      <c r="E146" s="101" t="str">
        <f>+IFERROR(INDEX([4]CONSOLIDADO!$D$4:$D$108,MATCH('Concur - Exp. General'!C146,[4]CONSOLIDADO!$C$4:$C$108,0)),"")</f>
        <v>INYPSA INFORMES Y PROYECTOS COLOMBIA S.A.S.</v>
      </c>
      <c r="F146" s="22" t="s">
        <v>1842</v>
      </c>
      <c r="G146" s="23" t="s">
        <v>1875</v>
      </c>
      <c r="H146" s="1388" t="s">
        <v>22</v>
      </c>
      <c r="I146" s="1388" t="s">
        <v>22</v>
      </c>
      <c r="J146" s="24">
        <v>1</v>
      </c>
      <c r="K146" s="25">
        <v>38096</v>
      </c>
      <c r="L146" s="25">
        <v>39325</v>
      </c>
      <c r="M146" s="26">
        <v>2004</v>
      </c>
      <c r="N146" s="27">
        <f>+IFERROR(INDEX([9]PARÁMETROS!$B$11:$B$37,MATCH(M146,[9]PARÁMETROS!$A$11:$A$37,0)),"")</f>
        <v>358000</v>
      </c>
      <c r="O146" s="177">
        <v>1579261.69</v>
      </c>
      <c r="P146" s="29" t="s">
        <v>142</v>
      </c>
      <c r="Q146" s="288">
        <v>1.2013</v>
      </c>
      <c r="R146" s="282">
        <f t="shared" si="16"/>
        <v>1897167.0681970001</v>
      </c>
      <c r="S146" s="282">
        <v>2620.19</v>
      </c>
      <c r="T146" s="290">
        <f t="shared" si="17"/>
        <v>4970938180.4190979</v>
      </c>
      <c r="U146" s="16">
        <f t="shared" si="14"/>
        <v>13885.302179941615</v>
      </c>
      <c r="V146" s="16">
        <f t="shared" si="15"/>
        <v>13885.302179941615</v>
      </c>
      <c r="W146" s="208">
        <v>25</v>
      </c>
      <c r="X146" s="1485" t="s">
        <v>129</v>
      </c>
      <c r="Y146" s="1485"/>
      <c r="Z146" s="1485"/>
      <c r="AA146" s="1485" t="s">
        <v>129</v>
      </c>
      <c r="AB146" s="1485"/>
      <c r="AC146" s="1485"/>
      <c r="AD146" s="1485"/>
      <c r="AE146" s="1485"/>
      <c r="AF146" s="1485"/>
      <c r="AG146" s="1485" t="s">
        <v>22</v>
      </c>
      <c r="AH146" s="1485"/>
      <c r="AI146" s="1485"/>
      <c r="AJ146" s="1388" t="s">
        <v>22</v>
      </c>
      <c r="AK146" s="1485"/>
      <c r="AL146" s="1485"/>
      <c r="AM146" s="1388" t="str">
        <f>+IF(V146="","",IF(V146&gt;=[9]PARÁMETROS!$D$5,"CUMPLE","NO CUMPLE"))</f>
        <v>CUMPLE</v>
      </c>
      <c r="AN146" s="97" t="s">
        <v>1876</v>
      </c>
    </row>
    <row r="147" spans="1:40" ht="43.5" thickBot="1">
      <c r="A147" s="1612"/>
      <c r="B147" s="1509" t="s">
        <v>1877</v>
      </c>
      <c r="C147" s="81" t="s">
        <v>540</v>
      </c>
      <c r="D147" s="169">
        <v>155</v>
      </c>
      <c r="E147" s="101" t="str">
        <f>+IFERROR(INDEX([4]CONSOLIDADO!$D$4:$D$108,MATCH('Concur - Exp. General'!C147,[4]CONSOLIDADO!$C$4:$C$108,0)),"")</f>
        <v>EUROCONTROL S.A.</v>
      </c>
      <c r="F147" s="84" t="s">
        <v>1842</v>
      </c>
      <c r="G147" s="85" t="s">
        <v>1878</v>
      </c>
      <c r="H147" s="1393" t="s">
        <v>22</v>
      </c>
      <c r="I147" s="1393" t="s">
        <v>22</v>
      </c>
      <c r="J147" s="86">
        <v>0.5</v>
      </c>
      <c r="K147" s="87">
        <v>38864</v>
      </c>
      <c r="L147" s="87">
        <v>40083</v>
      </c>
      <c r="M147" s="88">
        <f t="shared" si="12"/>
        <v>2009</v>
      </c>
      <c r="N147" s="89">
        <f>+IFERROR(INDEX([9]PARÁMETROS!$B$11:$B$37,MATCH(M147,[9]PARÁMETROS!$A$11:$A$37,0)),"")</f>
        <v>496900</v>
      </c>
      <c r="O147" s="176">
        <f>649309.97*2</f>
        <v>1298619.94</v>
      </c>
      <c r="P147" s="91" t="s">
        <v>142</v>
      </c>
      <c r="Q147" s="81">
        <v>1.4684299999999999</v>
      </c>
      <c r="R147" s="276">
        <f t="shared" si="16"/>
        <v>1906932.4784941997</v>
      </c>
      <c r="S147" s="79">
        <v>1926.59</v>
      </c>
      <c r="T147" s="203">
        <f t="shared" si="17"/>
        <v>3673877043.7421398</v>
      </c>
      <c r="U147" s="94">
        <f t="shared" si="14"/>
        <v>7393.5943725943644</v>
      </c>
      <c r="V147" s="94">
        <f t="shared" si="15"/>
        <v>3696.7971862971822</v>
      </c>
      <c r="W147" s="207" t="s">
        <v>1879</v>
      </c>
      <c r="X147" s="1484"/>
      <c r="Y147" s="1484"/>
      <c r="Z147" s="1484"/>
      <c r="AA147" s="1484"/>
      <c r="AB147" s="1484"/>
      <c r="AC147" s="1484"/>
      <c r="AD147" s="1484"/>
      <c r="AE147" s="1484"/>
      <c r="AF147" s="1484"/>
      <c r="AG147" s="1484"/>
      <c r="AH147" s="1484"/>
      <c r="AI147" s="1484"/>
      <c r="AJ147" s="1393"/>
      <c r="AK147" s="1484" t="str">
        <f>IF(V147="","",IF(SUM(V147:V152)&gt;=[9]PARÁMETROS!$H$5,"CUMPLE","NO CUMPLE"))</f>
        <v>CUMPLE</v>
      </c>
      <c r="AL147" s="1484" t="str">
        <f>IF(V147="","",IF((V147+V148+V149)&gt;=[9]PARÁMETROS!$F$5,"CUMPLE","NO CUMPLE"))</f>
        <v>CUMPLE</v>
      </c>
      <c r="AM147" s="1393" t="str">
        <f>+IF(V147="","",IF(V147&gt;=[9]PARÁMETROS!$D$5,"CUMPLE","NO CUMPLE"))</f>
        <v>CUMPLE</v>
      </c>
      <c r="AN147" s="96"/>
    </row>
    <row r="148" spans="1:40" ht="43.5" thickBot="1">
      <c r="A148" s="1612"/>
      <c r="B148" s="1510"/>
      <c r="C148" s="19" t="s">
        <v>540</v>
      </c>
      <c r="D148" s="170">
        <v>164</v>
      </c>
      <c r="E148" s="101" t="str">
        <f>+IFERROR(INDEX([4]CONSOLIDADO!$D$4:$D$108,MATCH('Concur - Exp. General'!C148,[4]CONSOLIDADO!$C$4:$C$108,0)),"")</f>
        <v>EUROCONTROL S.A.</v>
      </c>
      <c r="F148" s="22" t="s">
        <v>1842</v>
      </c>
      <c r="G148" s="23" t="s">
        <v>1880</v>
      </c>
      <c r="H148" s="1388" t="s">
        <v>22</v>
      </c>
      <c r="I148" s="1388" t="s">
        <v>22</v>
      </c>
      <c r="J148" s="24">
        <v>1</v>
      </c>
      <c r="K148" s="25">
        <v>38661</v>
      </c>
      <c r="L148" s="25">
        <v>40122</v>
      </c>
      <c r="M148" s="26">
        <f t="shared" si="12"/>
        <v>2009</v>
      </c>
      <c r="N148" s="27">
        <f>+IFERROR(INDEX([9]PARÁMETROS!$B$11:$B$37,MATCH(M148,[9]PARÁMETROS!$A$11:$A$37,0)),"")</f>
        <v>496900</v>
      </c>
      <c r="O148" s="177">
        <v>949157.05</v>
      </c>
      <c r="P148" s="29" t="s">
        <v>142</v>
      </c>
      <c r="Q148" s="19">
        <v>1.47681</v>
      </c>
      <c r="R148" s="289">
        <f t="shared" si="16"/>
        <v>1401724.6230105001</v>
      </c>
      <c r="S148" s="31">
        <v>1963.7</v>
      </c>
      <c r="T148" s="279">
        <f t="shared" si="17"/>
        <v>2752566642.205719</v>
      </c>
      <c r="U148" s="16">
        <f t="shared" si="14"/>
        <v>5539.4780483109662</v>
      </c>
      <c r="V148" s="16">
        <f t="shared" si="15"/>
        <v>5539.4780483109662</v>
      </c>
      <c r="W148" s="208" t="s">
        <v>140</v>
      </c>
      <c r="X148" s="1485" t="s">
        <v>129</v>
      </c>
      <c r="Y148" s="1485"/>
      <c r="Z148" s="1485"/>
      <c r="AA148" s="1485" t="s">
        <v>129</v>
      </c>
      <c r="AB148" s="1485"/>
      <c r="AC148" s="1485"/>
      <c r="AD148" s="1485"/>
      <c r="AE148" s="1485"/>
      <c r="AF148" s="1485"/>
      <c r="AG148" s="1485" t="s">
        <v>129</v>
      </c>
      <c r="AH148" s="1485"/>
      <c r="AI148" s="1485"/>
      <c r="AJ148" s="1388" t="s">
        <v>22</v>
      </c>
      <c r="AK148" s="1485"/>
      <c r="AL148" s="1485"/>
      <c r="AM148" s="1388" t="str">
        <f>+IF(V148="","",IF(V148&gt;=[9]PARÁMETROS!$D$5,"CUMPLE","NO CUMPLE"))</f>
        <v>CUMPLE</v>
      </c>
      <c r="AN148" s="97"/>
    </row>
    <row r="149" spans="1:40" ht="43.5" thickBot="1">
      <c r="A149" s="1612"/>
      <c r="B149" s="1510"/>
      <c r="C149" s="19" t="s">
        <v>540</v>
      </c>
      <c r="D149" s="170">
        <v>173</v>
      </c>
      <c r="E149" s="101" t="str">
        <f>+IFERROR(INDEX([4]CONSOLIDADO!$D$4:$D$108,MATCH('Concur - Exp. General'!C149,[4]CONSOLIDADO!$C$4:$C$108,0)),"")</f>
        <v>EUROCONTROL S.A.</v>
      </c>
      <c r="F149" s="22" t="s">
        <v>1842</v>
      </c>
      <c r="G149" s="23" t="s">
        <v>1881</v>
      </c>
      <c r="H149" s="1388" t="s">
        <v>22</v>
      </c>
      <c r="I149" s="1388" t="s">
        <v>22</v>
      </c>
      <c r="J149" s="24">
        <v>1</v>
      </c>
      <c r="K149" s="25">
        <v>38296</v>
      </c>
      <c r="L149" s="25">
        <v>39360</v>
      </c>
      <c r="M149" s="26">
        <f t="shared" si="12"/>
        <v>2007</v>
      </c>
      <c r="N149" s="27">
        <f>+IFERROR(INDEX([9]PARÁMETROS!$B$11:$B$37,MATCH(M149,[9]PARÁMETROS!$A$11:$A$37,0)),"")</f>
        <v>433700</v>
      </c>
      <c r="O149" s="177">
        <v>1248500.53</v>
      </c>
      <c r="P149" s="29" t="s">
        <v>142</v>
      </c>
      <c r="Q149" s="19">
        <v>1.4105700000000001</v>
      </c>
      <c r="R149" s="289">
        <f t="shared" si="16"/>
        <v>1761097.3926021003</v>
      </c>
      <c r="S149" s="31">
        <v>2018.45</v>
      </c>
      <c r="T149" s="279">
        <f t="shared" si="17"/>
        <v>3554687032.0977092</v>
      </c>
      <c r="U149" s="16">
        <f t="shared" si="14"/>
        <v>8196.188683647013</v>
      </c>
      <c r="V149" s="16">
        <f t="shared" si="15"/>
        <v>8196.188683647013</v>
      </c>
      <c r="W149" s="208" t="s">
        <v>140</v>
      </c>
      <c r="X149" s="1485" t="s">
        <v>129</v>
      </c>
      <c r="Y149" s="1485"/>
      <c r="Z149" s="1485"/>
      <c r="AA149" s="1485" t="s">
        <v>129</v>
      </c>
      <c r="AB149" s="1485"/>
      <c r="AC149" s="1485"/>
      <c r="AD149" s="1485"/>
      <c r="AE149" s="1485"/>
      <c r="AF149" s="1485"/>
      <c r="AG149" s="1485" t="s">
        <v>129</v>
      </c>
      <c r="AH149" s="1485"/>
      <c r="AI149" s="1485"/>
      <c r="AJ149" s="1388" t="s">
        <v>22</v>
      </c>
      <c r="AK149" s="1485"/>
      <c r="AL149" s="1485"/>
      <c r="AM149" s="1388" t="str">
        <f>+IF(V149="","",IF(V149&gt;=[9]PARÁMETROS!$D$5,"CUMPLE","NO CUMPLE"))</f>
        <v>CUMPLE</v>
      </c>
      <c r="AN149" s="97"/>
    </row>
    <row r="150" spans="1:40" ht="48" thickBot="1">
      <c r="A150" s="1612"/>
      <c r="B150" s="1510"/>
      <c r="C150" s="19" t="s">
        <v>544</v>
      </c>
      <c r="D150" s="170">
        <v>184</v>
      </c>
      <c r="E150" s="101" t="str">
        <f>+IFERROR(INDEX([4]CONSOLIDADO!$D$4:$D$108,MATCH('Concur - Exp. General'!C150,[4]CONSOLIDADO!$C$4:$C$108,0)),"")</f>
        <v>GARPER INGENIERÍA CIA S.A.S.</v>
      </c>
      <c r="F150" s="44" t="s">
        <v>437</v>
      </c>
      <c r="G150" s="45" t="s">
        <v>1882</v>
      </c>
      <c r="H150" s="1388" t="s">
        <v>22</v>
      </c>
      <c r="I150" s="1388" t="s">
        <v>22</v>
      </c>
      <c r="J150" s="46">
        <v>0.55000000000000004</v>
      </c>
      <c r="K150" s="47">
        <v>34338</v>
      </c>
      <c r="L150" s="47">
        <v>36305</v>
      </c>
      <c r="M150" s="26">
        <f t="shared" si="12"/>
        <v>1999</v>
      </c>
      <c r="N150" s="27">
        <f>+IFERROR(INDEX([9]PARÁMETROS!$B$11:$B$37,MATCH(M150,[9]PARÁMETROS!$A$11:$A$37,0)),"")</f>
        <v>236460</v>
      </c>
      <c r="O150" s="291">
        <v>4491569047</v>
      </c>
      <c r="P150" s="49" t="s">
        <v>151</v>
      </c>
      <c r="Q150" s="19" t="s">
        <v>140</v>
      </c>
      <c r="R150" s="30" t="s">
        <v>140</v>
      </c>
      <c r="S150" s="31">
        <v>1</v>
      </c>
      <c r="T150" s="27">
        <f t="shared" si="13"/>
        <v>4491569047</v>
      </c>
      <c r="U150" s="16">
        <f t="shared" si="14"/>
        <v>18995.04798697454</v>
      </c>
      <c r="V150" s="16">
        <f t="shared" si="15"/>
        <v>10447.276392835998</v>
      </c>
      <c r="W150" s="208">
        <v>2</v>
      </c>
      <c r="X150" s="1485" t="s">
        <v>22</v>
      </c>
      <c r="Y150" s="1485"/>
      <c r="Z150" s="1485"/>
      <c r="AA150" s="1485" t="s">
        <v>22</v>
      </c>
      <c r="AB150" s="1485"/>
      <c r="AC150" s="1485"/>
      <c r="AD150" s="1485"/>
      <c r="AE150" s="1485"/>
      <c r="AF150" s="1485"/>
      <c r="AG150" s="1485" t="s">
        <v>22</v>
      </c>
      <c r="AH150" s="1485"/>
      <c r="AI150" s="1485"/>
      <c r="AJ150" s="1388" t="s">
        <v>22</v>
      </c>
      <c r="AK150" s="1485"/>
      <c r="AL150" s="1485"/>
      <c r="AM150" s="1388" t="str">
        <f>+IF(V150="","",IF(V150&gt;=[9]PARÁMETROS!$D$5,"CUMPLE","NO CUMPLE"))</f>
        <v>CUMPLE</v>
      </c>
      <c r="AN150" s="98"/>
    </row>
    <row r="151" spans="1:40" ht="86.25" thickBot="1">
      <c r="A151" s="1612"/>
      <c r="B151" s="1510"/>
      <c r="C151" s="19" t="s">
        <v>549</v>
      </c>
      <c r="D151" s="170">
        <v>203</v>
      </c>
      <c r="E151" s="101" t="str">
        <f>+IFERROR(INDEX([4]CONSOLIDADO!$D$4:$D$108,MATCH('Concur - Exp. General'!C151,[4]CONSOLIDADO!$C$4:$C$108,0)),"")</f>
        <v>TOP SUELOS INGENIERIA S.A.S.</v>
      </c>
      <c r="F151" s="22" t="s">
        <v>1833</v>
      </c>
      <c r="G151" s="23" t="s">
        <v>1883</v>
      </c>
      <c r="H151" s="1388" t="s">
        <v>22</v>
      </c>
      <c r="I151" s="1388" t="s">
        <v>22</v>
      </c>
      <c r="J151" s="24">
        <v>0.6</v>
      </c>
      <c r="K151" s="25">
        <v>40064</v>
      </c>
      <c r="L151" s="25">
        <v>41999</v>
      </c>
      <c r="M151" s="26">
        <f t="shared" si="12"/>
        <v>2014</v>
      </c>
      <c r="N151" s="27">
        <f>+IFERROR(INDEX([9]PARÁMETROS!$B$11:$B$37,MATCH(M151,[9]PARÁMETROS!$A$11:$A$37,0)),"")</f>
        <v>616000</v>
      </c>
      <c r="O151" s="177">
        <v>8501000000</v>
      </c>
      <c r="P151" s="29" t="s">
        <v>151</v>
      </c>
      <c r="Q151" s="19" t="s">
        <v>140</v>
      </c>
      <c r="R151" s="30" t="s">
        <v>140</v>
      </c>
      <c r="S151" s="31">
        <v>1</v>
      </c>
      <c r="T151" s="27">
        <f t="shared" si="13"/>
        <v>8501000000</v>
      </c>
      <c r="U151" s="16">
        <f t="shared" si="14"/>
        <v>13800.324675324675</v>
      </c>
      <c r="V151" s="16">
        <f t="shared" si="15"/>
        <v>8280.1948051948038</v>
      </c>
      <c r="W151" s="208">
        <v>80</v>
      </c>
      <c r="X151" s="1485" t="s">
        <v>22</v>
      </c>
      <c r="Y151" s="1485"/>
      <c r="Z151" s="1485"/>
      <c r="AA151" s="1485" t="s">
        <v>22</v>
      </c>
      <c r="AB151" s="1485"/>
      <c r="AC151" s="1485"/>
      <c r="AD151" s="1485"/>
      <c r="AE151" s="1485"/>
      <c r="AF151" s="1485"/>
      <c r="AG151" s="1485" t="s">
        <v>22</v>
      </c>
      <c r="AH151" s="1485"/>
      <c r="AI151" s="1485"/>
      <c r="AJ151" s="1388" t="s">
        <v>22</v>
      </c>
      <c r="AK151" s="1485"/>
      <c r="AL151" s="1485"/>
      <c r="AM151" s="1388" t="str">
        <f>+IF(V151="","",IF(V151&gt;=[9]PARÁMETROS!$D$5,"CUMPLE","NO CUMPLE"))</f>
        <v>CUMPLE</v>
      </c>
      <c r="AN151" s="97"/>
    </row>
    <row r="152" spans="1:40" ht="409.6" thickBot="1">
      <c r="A152" s="1612"/>
      <c r="B152" s="1511"/>
      <c r="C152" s="99" t="s">
        <v>549</v>
      </c>
      <c r="D152" s="178">
        <v>209</v>
      </c>
      <c r="E152" s="101" t="str">
        <f>+IFERROR(INDEX([4]CONSOLIDADO!$D$4:$D$108,MATCH('Concur - Exp. General'!C152,[4]CONSOLIDADO!$C$4:$C$108,0)),"")</f>
        <v>TOP SUELOS INGENIERIA S.A.S.</v>
      </c>
      <c r="F152" s="102" t="s">
        <v>1884</v>
      </c>
      <c r="G152" s="103" t="s">
        <v>1885</v>
      </c>
      <c r="H152" s="1392" t="s">
        <v>22</v>
      </c>
      <c r="I152" s="1392" t="s">
        <v>22</v>
      </c>
      <c r="J152" s="104">
        <v>0.65</v>
      </c>
      <c r="K152" s="105">
        <v>38629</v>
      </c>
      <c r="L152" s="105">
        <v>39116</v>
      </c>
      <c r="M152" s="106">
        <f t="shared" si="12"/>
        <v>2007</v>
      </c>
      <c r="N152" s="107">
        <f>+IFERROR(INDEX([9]PARÁMETROS!$B$11:$B$37,MATCH(M152,[9]PARÁMETROS!$A$11:$A$37,0)),"")</f>
        <v>433700</v>
      </c>
      <c r="O152" s="212">
        <v>1810471500</v>
      </c>
      <c r="P152" s="109" t="s">
        <v>151</v>
      </c>
      <c r="Q152" s="99" t="s">
        <v>140</v>
      </c>
      <c r="R152" s="110" t="s">
        <v>140</v>
      </c>
      <c r="S152" s="111">
        <v>1</v>
      </c>
      <c r="T152" s="107">
        <f t="shared" si="13"/>
        <v>1810471500</v>
      </c>
      <c r="U152" s="112"/>
      <c r="V152" s="112"/>
      <c r="W152" s="213">
        <v>14</v>
      </c>
      <c r="X152" s="1486" t="s">
        <v>22</v>
      </c>
      <c r="Y152" s="1486"/>
      <c r="Z152" s="1486"/>
      <c r="AA152" s="1486" t="s">
        <v>22</v>
      </c>
      <c r="AB152" s="1486"/>
      <c r="AC152" s="1486"/>
      <c r="AD152" s="1486"/>
      <c r="AE152" s="1486"/>
      <c r="AF152" s="1486"/>
      <c r="AG152" s="1486" t="s">
        <v>22</v>
      </c>
      <c r="AH152" s="1486"/>
      <c r="AI152" s="1486"/>
      <c r="AJ152" s="1392" t="s">
        <v>22</v>
      </c>
      <c r="AK152" s="1486"/>
      <c r="AL152" s="1486"/>
      <c r="AM152" s="1399" t="s">
        <v>345</v>
      </c>
      <c r="AN152" s="113" t="s">
        <v>1886</v>
      </c>
    </row>
    <row r="153" spans="1:40" ht="86.25" thickBot="1">
      <c r="A153" s="1612"/>
      <c r="B153" s="1509" t="s">
        <v>1887</v>
      </c>
      <c r="C153" s="81" t="s">
        <v>552</v>
      </c>
      <c r="D153" s="169">
        <v>96</v>
      </c>
      <c r="E153" s="101" t="str">
        <f>+IFERROR(INDEX([4]CONSOLIDADO!$D$4:$D$108,MATCH('Concur - Exp. General'!C153,[4]CONSOLIDADO!$C$4:$C$108,0)),"")</f>
        <v>SERVICIOS DE INGENIERIA Y CONSTRUCCION LIMITADA "SERVINC LTDA"</v>
      </c>
      <c r="F153" s="84" t="s">
        <v>900</v>
      </c>
      <c r="G153" s="85" t="s">
        <v>1888</v>
      </c>
      <c r="H153" s="1393" t="s">
        <v>22</v>
      </c>
      <c r="I153" s="1393" t="s">
        <v>22</v>
      </c>
      <c r="J153" s="86">
        <v>0.5</v>
      </c>
      <c r="K153" s="87">
        <v>40331</v>
      </c>
      <c r="L153" s="87">
        <v>41215</v>
      </c>
      <c r="M153" s="88">
        <f t="shared" si="12"/>
        <v>2012</v>
      </c>
      <c r="N153" s="89">
        <f>+IFERROR(INDEX([9]PARÁMETROS!$B$11:$B$37,MATCH(M153,[9]PARÁMETROS!$A$11:$A$37,0)),"")</f>
        <v>566700</v>
      </c>
      <c r="O153" s="90">
        <v>4264498383</v>
      </c>
      <c r="P153" s="91" t="s">
        <v>151</v>
      </c>
      <c r="Q153" s="81" t="s">
        <v>140</v>
      </c>
      <c r="R153" s="92" t="s">
        <v>140</v>
      </c>
      <c r="S153" s="93">
        <v>1</v>
      </c>
      <c r="T153" s="89">
        <f t="shared" si="13"/>
        <v>4264498383</v>
      </c>
      <c r="U153" s="94">
        <f t="shared" si="14"/>
        <v>7525.1427263102169</v>
      </c>
      <c r="V153" s="94">
        <f t="shared" si="15"/>
        <v>3762.5713631551084</v>
      </c>
      <c r="W153" s="207">
        <v>2</v>
      </c>
      <c r="X153" s="1484" t="s">
        <v>22</v>
      </c>
      <c r="Y153" s="1484"/>
      <c r="Z153" s="1484"/>
      <c r="AA153" s="1484" t="s">
        <v>22</v>
      </c>
      <c r="AB153" s="1484"/>
      <c r="AC153" s="1484"/>
      <c r="AD153" s="1484"/>
      <c r="AE153" s="1484"/>
      <c r="AF153" s="1484"/>
      <c r="AG153" s="1484" t="s">
        <v>22</v>
      </c>
      <c r="AH153" s="1484"/>
      <c r="AI153" s="1484"/>
      <c r="AJ153" s="1393" t="s">
        <v>22</v>
      </c>
      <c r="AK153" s="1484" t="str">
        <f>IF(V153="","",IF(SUM(V153:V158)&gt;=[9]PARÁMETROS!$H$5,"CUMPLE","NO CUMPLE"))</f>
        <v>CUMPLE</v>
      </c>
      <c r="AL153" s="1484" t="str">
        <f>IF(V153="","",IF((V153+V154+V155+V156)&gt;=[9]PARÁMETROS!$F$5,"CUMPLE","NO CUMPLE"))</f>
        <v>CUMPLE</v>
      </c>
      <c r="AM153" s="1393" t="str">
        <f>+IF(V153="","",IF(V153&gt;=[9]PARÁMETROS!$D$5,"CUMPLE","NO CUMPLE"))</f>
        <v>CUMPLE</v>
      </c>
      <c r="AN153" s="96"/>
    </row>
    <row r="154" spans="1:40" ht="79.5" thickBot="1">
      <c r="A154" s="1612"/>
      <c r="B154" s="1510"/>
      <c r="C154" s="19" t="s">
        <v>552</v>
      </c>
      <c r="D154" s="170">
        <v>127</v>
      </c>
      <c r="E154" s="101" t="str">
        <f>+IFERROR(INDEX([4]CONSOLIDADO!$D$4:$D$108,MATCH('Concur - Exp. General'!C154,[4]CONSOLIDADO!$C$4:$C$108,0)),"")</f>
        <v>SERVICIOS DE INGENIERIA Y CONSTRUCCION LIMITADA "SERVINC LTDA"</v>
      </c>
      <c r="F154" s="22" t="s">
        <v>517</v>
      </c>
      <c r="G154" s="23" t="s">
        <v>1889</v>
      </c>
      <c r="H154" s="1388" t="s">
        <v>22</v>
      </c>
      <c r="I154" s="1388" t="s">
        <v>22</v>
      </c>
      <c r="J154" s="24">
        <v>0.4</v>
      </c>
      <c r="K154" s="25">
        <v>41075</v>
      </c>
      <c r="L154" s="25" t="s">
        <v>440</v>
      </c>
      <c r="M154" s="26">
        <v>2015</v>
      </c>
      <c r="N154" s="27">
        <f>+IFERROR(INDEX([9]PARÁMETROS!$B$11:$B$37,MATCH(M154,[9]PARÁMETROS!$A$11:$A$37,0)),"")</f>
        <v>644350</v>
      </c>
      <c r="O154" s="28">
        <v>23762347066</v>
      </c>
      <c r="P154" s="29" t="s">
        <v>151</v>
      </c>
      <c r="Q154" s="19" t="s">
        <v>140</v>
      </c>
      <c r="R154" s="30" t="s">
        <v>140</v>
      </c>
      <c r="S154" s="31">
        <v>1</v>
      </c>
      <c r="T154" s="27">
        <f t="shared" si="13"/>
        <v>23762347066</v>
      </c>
      <c r="U154" s="16">
        <f t="shared" si="14"/>
        <v>36878.012052455961</v>
      </c>
      <c r="V154" s="16">
        <f t="shared" si="15"/>
        <v>14751.204820982384</v>
      </c>
      <c r="W154" s="208" t="s">
        <v>1879</v>
      </c>
      <c r="X154" s="1485"/>
      <c r="Y154" s="1485"/>
      <c r="Z154" s="1485"/>
      <c r="AA154" s="1485"/>
      <c r="AB154" s="1485"/>
      <c r="AC154" s="1485"/>
      <c r="AD154" s="1485"/>
      <c r="AE154" s="1485"/>
      <c r="AF154" s="1485"/>
      <c r="AG154" s="1485"/>
      <c r="AH154" s="1485"/>
      <c r="AI154" s="1485"/>
      <c r="AJ154" s="1388"/>
      <c r="AK154" s="1485"/>
      <c r="AL154" s="1485"/>
      <c r="AM154" s="1388" t="str">
        <f>+IF(V154="","",IF(V154&gt;=[9]PARÁMETROS!$D$5,"CUMPLE","NO CUMPLE"))</f>
        <v>CUMPLE</v>
      </c>
      <c r="AN154" s="97"/>
    </row>
    <row r="155" spans="1:40" ht="271.5" thickBot="1">
      <c r="A155" s="1612"/>
      <c r="B155" s="1510"/>
      <c r="C155" s="19" t="s">
        <v>552</v>
      </c>
      <c r="D155" s="170">
        <v>130</v>
      </c>
      <c r="E155" s="101" t="str">
        <f>+IFERROR(INDEX([4]CONSOLIDADO!$D$4:$D$108,MATCH('Concur - Exp. General'!C155,[4]CONSOLIDADO!$C$4:$C$108,0)),"")</f>
        <v>SERVICIOS DE INGENIERIA Y CONSTRUCCION LIMITADA "SERVINC LTDA"</v>
      </c>
      <c r="F155" s="22" t="s">
        <v>900</v>
      </c>
      <c r="G155" s="23" t="s">
        <v>1890</v>
      </c>
      <c r="H155" s="1388" t="s">
        <v>22</v>
      </c>
      <c r="I155" s="1388" t="s">
        <v>22</v>
      </c>
      <c r="J155" s="24">
        <v>0.6</v>
      </c>
      <c r="K155" s="25">
        <v>39351</v>
      </c>
      <c r="L155" s="25">
        <v>40051</v>
      </c>
      <c r="M155" s="26">
        <f t="shared" si="12"/>
        <v>2009</v>
      </c>
      <c r="N155" s="27">
        <f>+IFERROR(INDEX([9]PARÁMETROS!$B$11:$B$37,MATCH(M155,[9]PARÁMETROS!$A$11:$A$37,0)),"")</f>
        <v>496900</v>
      </c>
      <c r="O155" s="28">
        <v>1996592848</v>
      </c>
      <c r="P155" s="29" t="s">
        <v>151</v>
      </c>
      <c r="Q155" s="19" t="s">
        <v>140</v>
      </c>
      <c r="R155" s="30" t="s">
        <v>140</v>
      </c>
      <c r="S155" s="31">
        <v>1</v>
      </c>
      <c r="T155" s="27">
        <f t="shared" si="13"/>
        <v>1996592848</v>
      </c>
      <c r="U155" s="16">
        <f t="shared" si="14"/>
        <v>4018.0979029985911</v>
      </c>
      <c r="V155" s="16">
        <f t="shared" si="15"/>
        <v>2410.8587417991544</v>
      </c>
      <c r="W155" s="208">
        <v>15</v>
      </c>
      <c r="X155" s="1485" t="s">
        <v>22</v>
      </c>
      <c r="Y155" s="1485"/>
      <c r="Z155" s="1485"/>
      <c r="AA155" s="1485" t="s">
        <v>22</v>
      </c>
      <c r="AB155" s="1485"/>
      <c r="AC155" s="1485"/>
      <c r="AD155" s="1485"/>
      <c r="AE155" s="1485"/>
      <c r="AF155" s="1485"/>
      <c r="AG155" s="1485" t="s">
        <v>22</v>
      </c>
      <c r="AH155" s="1485"/>
      <c r="AI155" s="1485"/>
      <c r="AJ155" s="1388" t="s">
        <v>22</v>
      </c>
      <c r="AK155" s="1485"/>
      <c r="AL155" s="1485"/>
      <c r="AM155" s="1388" t="str">
        <f>+IF(V155="","",IF(V155&gt;=[9]PARÁMETROS!$D$5,"CUMPLE","NO CUMPLE"))</f>
        <v>CUMPLE</v>
      </c>
      <c r="AN155" s="97"/>
    </row>
    <row r="156" spans="1:40" ht="214.5" thickBot="1">
      <c r="A156" s="1612"/>
      <c r="B156" s="1510"/>
      <c r="C156" s="19" t="s">
        <v>552</v>
      </c>
      <c r="D156" s="170">
        <v>151</v>
      </c>
      <c r="E156" s="101" t="str">
        <f>+IFERROR(INDEX([4]CONSOLIDADO!$D$4:$D$108,MATCH('Concur - Exp. General'!C156,[4]CONSOLIDADO!$C$4:$C$108,0)),"")</f>
        <v>SERVICIOS DE INGENIERIA Y CONSTRUCCION LIMITADA "SERVINC LTDA"</v>
      </c>
      <c r="F156" s="22" t="s">
        <v>900</v>
      </c>
      <c r="G156" s="23" t="s">
        <v>1891</v>
      </c>
      <c r="H156" s="1388" t="s">
        <v>22</v>
      </c>
      <c r="I156" s="1388" t="s">
        <v>22</v>
      </c>
      <c r="J156" s="24">
        <v>1</v>
      </c>
      <c r="K156" s="25">
        <v>39021</v>
      </c>
      <c r="L156" s="25">
        <v>40480</v>
      </c>
      <c r="M156" s="26">
        <f t="shared" si="12"/>
        <v>2010</v>
      </c>
      <c r="N156" s="27">
        <f>+IFERROR(INDEX([9]PARÁMETROS!$B$11:$B$37,MATCH(M156,[9]PARÁMETROS!$A$11:$A$37,0)),"")</f>
        <v>515000</v>
      </c>
      <c r="O156" s="28">
        <v>5403026800</v>
      </c>
      <c r="P156" s="29" t="s">
        <v>151</v>
      </c>
      <c r="Q156" s="19" t="s">
        <v>140</v>
      </c>
      <c r="R156" s="30" t="s">
        <v>140</v>
      </c>
      <c r="S156" s="31">
        <v>1</v>
      </c>
      <c r="T156" s="27">
        <f t="shared" si="13"/>
        <v>5403026800</v>
      </c>
      <c r="U156" s="16">
        <f t="shared" si="14"/>
        <v>10491.314174757281</v>
      </c>
      <c r="V156" s="16">
        <f t="shared" si="15"/>
        <v>10491.314174757281</v>
      </c>
      <c r="W156" s="208">
        <v>19</v>
      </c>
      <c r="X156" s="1485" t="s">
        <v>22</v>
      </c>
      <c r="Y156" s="1485"/>
      <c r="Z156" s="1485"/>
      <c r="AA156" s="1485" t="s">
        <v>22</v>
      </c>
      <c r="AB156" s="1485"/>
      <c r="AC156" s="1485"/>
      <c r="AD156" s="1485"/>
      <c r="AE156" s="1485"/>
      <c r="AF156" s="1485"/>
      <c r="AG156" s="1485" t="s">
        <v>22</v>
      </c>
      <c r="AH156" s="1485"/>
      <c r="AI156" s="1485"/>
      <c r="AJ156" s="1388" t="s">
        <v>22</v>
      </c>
      <c r="AK156" s="1485"/>
      <c r="AL156" s="1485"/>
      <c r="AM156" s="1388" t="str">
        <f>+IF(V156="","",IF(V156&gt;=[9]PARÁMETROS!$D$5,"CUMPLE","NO CUMPLE"))</f>
        <v>CUMPLE</v>
      </c>
      <c r="AN156" s="97"/>
    </row>
    <row r="157" spans="1:40" ht="57.75" thickBot="1">
      <c r="A157" s="1612"/>
      <c r="B157" s="1510"/>
      <c r="C157" s="19" t="s">
        <v>560</v>
      </c>
      <c r="D157" s="170">
        <v>179</v>
      </c>
      <c r="E157" s="101" t="str">
        <f>+IFERROR(INDEX([4]CONSOLIDADO!$D$4:$D$108,MATCH('Concur - Exp. General'!C157,[4]CONSOLIDADO!$C$4:$C$108,0)),"")</f>
        <v>VQM S.A.S.</v>
      </c>
      <c r="F157" s="22" t="s">
        <v>1833</v>
      </c>
      <c r="G157" s="22" t="s">
        <v>1892</v>
      </c>
      <c r="H157" s="1388" t="s">
        <v>22</v>
      </c>
      <c r="I157" s="1388" t="s">
        <v>22</v>
      </c>
      <c r="J157" s="34">
        <v>0.75</v>
      </c>
      <c r="K157" s="25">
        <v>38672</v>
      </c>
      <c r="L157" s="25">
        <v>39756</v>
      </c>
      <c r="M157" s="26">
        <f t="shared" si="12"/>
        <v>2008</v>
      </c>
      <c r="N157" s="27">
        <f>+IFERROR(INDEX([9]PARÁMETROS!$B$11:$B$37,MATCH(M157,[9]PARÁMETROS!$A$11:$A$37,0)),"")</f>
        <v>461500</v>
      </c>
      <c r="O157" s="35">
        <v>2323578630</v>
      </c>
      <c r="P157" s="27" t="s">
        <v>151</v>
      </c>
      <c r="Q157" s="19" t="s">
        <v>140</v>
      </c>
      <c r="R157" s="30" t="s">
        <v>140</v>
      </c>
      <c r="S157" s="31">
        <v>1</v>
      </c>
      <c r="T157" s="27">
        <f t="shared" si="13"/>
        <v>2323578630</v>
      </c>
      <c r="U157" s="16">
        <f t="shared" si="14"/>
        <v>5034.839934994583</v>
      </c>
      <c r="V157" s="16">
        <f t="shared" si="15"/>
        <v>3776.1299512459373</v>
      </c>
      <c r="W157" s="208">
        <v>8</v>
      </c>
      <c r="X157" s="1485" t="s">
        <v>22</v>
      </c>
      <c r="Y157" s="1485"/>
      <c r="Z157" s="1485"/>
      <c r="AA157" s="1485" t="s">
        <v>22</v>
      </c>
      <c r="AB157" s="1485"/>
      <c r="AC157" s="1485"/>
      <c r="AD157" s="1485"/>
      <c r="AE157" s="1485"/>
      <c r="AF157" s="1485"/>
      <c r="AG157" s="1485" t="s">
        <v>22</v>
      </c>
      <c r="AH157" s="1485"/>
      <c r="AI157" s="1485"/>
      <c r="AJ157" s="1388" t="s">
        <v>22</v>
      </c>
      <c r="AK157" s="1485"/>
      <c r="AL157" s="1485"/>
      <c r="AM157" s="1388" t="str">
        <f>+IF(V157="","",IF(V157&gt;=[9]PARÁMETROS!$D$5,"CUMPLE","NO CUMPLE"))</f>
        <v>CUMPLE</v>
      </c>
      <c r="AN157" s="97"/>
    </row>
    <row r="158" spans="1:40" ht="57.75" thickBot="1">
      <c r="A158" s="1612"/>
      <c r="B158" s="1511"/>
      <c r="C158" s="99" t="s">
        <v>560</v>
      </c>
      <c r="D158" s="178">
        <v>201</v>
      </c>
      <c r="E158" s="101" t="str">
        <f>+IFERROR(INDEX([4]CONSOLIDADO!$D$4:$D$108,MATCH('Concur - Exp. General'!C158,[4]CONSOLIDADO!$C$4:$C$108,0)),"")</f>
        <v>VQM S.A.S.</v>
      </c>
      <c r="F158" s="102" t="s">
        <v>1833</v>
      </c>
      <c r="G158" s="102" t="s">
        <v>1893</v>
      </c>
      <c r="H158" s="1392" t="s">
        <v>22</v>
      </c>
      <c r="I158" s="1392" t="s">
        <v>22</v>
      </c>
      <c r="J158" s="119">
        <v>0.75</v>
      </c>
      <c r="K158" s="105">
        <v>38673</v>
      </c>
      <c r="L158" s="105">
        <v>39960</v>
      </c>
      <c r="M158" s="106">
        <f t="shared" si="12"/>
        <v>2009</v>
      </c>
      <c r="N158" s="107">
        <f>+IFERROR(INDEX([9]PARÁMETROS!$B$11:$B$37,MATCH(M158,[9]PARÁMETROS!$A$11:$A$37,0)),"")</f>
        <v>496900</v>
      </c>
      <c r="O158" s="120">
        <v>1992021088</v>
      </c>
      <c r="P158" s="107" t="s">
        <v>151</v>
      </c>
      <c r="Q158" s="99" t="s">
        <v>140</v>
      </c>
      <c r="R158" s="110" t="s">
        <v>140</v>
      </c>
      <c r="S158" s="111">
        <v>1</v>
      </c>
      <c r="T158" s="107">
        <f t="shared" si="13"/>
        <v>1992021088</v>
      </c>
      <c r="U158" s="112">
        <f t="shared" si="14"/>
        <v>4008.8973395049306</v>
      </c>
      <c r="V158" s="112">
        <f t="shared" si="15"/>
        <v>3006.673004628698</v>
      </c>
      <c r="W158" s="213">
        <v>40</v>
      </c>
      <c r="X158" s="1486" t="s">
        <v>22</v>
      </c>
      <c r="Y158" s="1486"/>
      <c r="Z158" s="1486"/>
      <c r="AA158" s="1486" t="s">
        <v>22</v>
      </c>
      <c r="AB158" s="1486"/>
      <c r="AC158" s="1486"/>
      <c r="AD158" s="1486"/>
      <c r="AE158" s="1486"/>
      <c r="AF158" s="1486"/>
      <c r="AG158" s="1486" t="s">
        <v>22</v>
      </c>
      <c r="AH158" s="1486"/>
      <c r="AI158" s="1486"/>
      <c r="AJ158" s="1392" t="s">
        <v>22</v>
      </c>
      <c r="AK158" s="1486"/>
      <c r="AL158" s="1486"/>
      <c r="AM158" s="1392" t="str">
        <f>+IF(V158="","",IF(V158&gt;=[9]PARÁMETROS!$D$5,"CUMPLE","NO CUMPLE"))</f>
        <v>CUMPLE</v>
      </c>
      <c r="AN158" s="113"/>
    </row>
    <row r="159" spans="1:40" ht="129" thickBot="1">
      <c r="A159" s="1612"/>
      <c r="B159" s="1509" t="s">
        <v>1894</v>
      </c>
      <c r="C159" s="81" t="s">
        <v>569</v>
      </c>
      <c r="D159" s="82">
        <v>191</v>
      </c>
      <c r="E159" s="101" t="str">
        <f>+IFERROR(INDEX([4]CONSOLIDADO!$D$4:$D$108,MATCH('Concur - Exp. General'!C159,[4]CONSOLIDADO!$C$4:$C$108,0)),"")</f>
        <v>GIC GERENCIA INTERVENTORIA Y CONSULTORIA S.A.S.</v>
      </c>
      <c r="F159" s="84" t="s">
        <v>1895</v>
      </c>
      <c r="G159" s="85" t="s">
        <v>1896</v>
      </c>
      <c r="H159" s="1393" t="s">
        <v>22</v>
      </c>
      <c r="I159" s="1393" t="s">
        <v>22</v>
      </c>
      <c r="J159" s="86">
        <v>1</v>
      </c>
      <c r="K159" s="87">
        <v>38733</v>
      </c>
      <c r="L159" s="87">
        <v>39254</v>
      </c>
      <c r="M159" s="88">
        <f>IF(L159="","",YEAR(L159))</f>
        <v>2007</v>
      </c>
      <c r="N159" s="89">
        <f>+IFERROR(INDEX([10]PARÁMETROS!$B$11:$B$37,MATCH(M159,[10]PARÁMETROS!$A$11:$A$37,0)),"")</f>
        <v>433700</v>
      </c>
      <c r="O159" s="90">
        <v>465430.5</v>
      </c>
      <c r="P159" s="91" t="s">
        <v>142</v>
      </c>
      <c r="Q159" s="81">
        <v>1.3425</v>
      </c>
      <c r="R159" s="297">
        <f>+Q159*O159</f>
        <v>624840.44625000004</v>
      </c>
      <c r="S159" s="93">
        <v>1905.13</v>
      </c>
      <c r="T159" s="298">
        <f>IF(S159&lt;&gt;"",R159*S159,"")</f>
        <v>1190402279.3642626</v>
      </c>
      <c r="U159" s="94">
        <f>+IFERROR(T159/N159,"")</f>
        <v>2744.7596941763031</v>
      </c>
      <c r="V159" s="94">
        <f>IFERROR(U159*J159,"")</f>
        <v>2744.7596941763031</v>
      </c>
      <c r="W159" s="1406" t="s">
        <v>1897</v>
      </c>
      <c r="X159" s="1484"/>
      <c r="Y159" s="1484"/>
      <c r="Z159" s="1484"/>
      <c r="AA159" s="1484"/>
      <c r="AB159" s="1484"/>
      <c r="AC159" s="1484"/>
      <c r="AD159" s="1484"/>
      <c r="AE159" s="1484"/>
      <c r="AF159" s="1484"/>
      <c r="AG159" s="1393"/>
      <c r="AH159" s="1484" t="str">
        <f>IF(V159="","",IF(SUM(V159:V164)&gt;=[10]PARÁMETROS!$H$5,"CUMPLE","NO CUMPLE"))</f>
        <v>CUMPLE</v>
      </c>
      <c r="AI159" s="1484" t="str">
        <f>IF(V159="","",IF(V159+V160+V161+V162&gt;=[10]PARÁMETROS!$F$5,"CUMPLE","NO CUMPLE"))</f>
        <v>CUMPLE</v>
      </c>
      <c r="AJ159" s="1397" t="str">
        <f>+IF(V159="","",IF(V159&gt;=[10]PARÁMETROS!$D$5,"CUMPLE","NO CUMPLE"))</f>
        <v>CUMPLE</v>
      </c>
      <c r="AK159" s="96"/>
    </row>
    <row r="160" spans="1:40" ht="129" thickBot="1">
      <c r="A160" s="1612"/>
      <c r="B160" s="1510"/>
      <c r="C160" s="19" t="s">
        <v>569</v>
      </c>
      <c r="D160" s="20">
        <v>200</v>
      </c>
      <c r="E160" s="101" t="str">
        <f>+IFERROR(INDEX([4]CONSOLIDADO!$D$4:$D$108,MATCH('Concur - Exp. General'!C160,[4]CONSOLIDADO!$C$4:$C$108,0)),"")</f>
        <v>GIC GERENCIA INTERVENTORIA Y CONSULTORIA S.A.S.</v>
      </c>
      <c r="F160" s="22" t="s">
        <v>1895</v>
      </c>
      <c r="G160" s="22" t="s">
        <v>1898</v>
      </c>
      <c r="H160" s="1388" t="s">
        <v>22</v>
      </c>
      <c r="I160" s="1388" t="s">
        <v>22</v>
      </c>
      <c r="J160" s="34">
        <v>1</v>
      </c>
      <c r="K160" s="25">
        <v>39839</v>
      </c>
      <c r="L160" s="25">
        <v>40339</v>
      </c>
      <c r="M160" s="26">
        <f t="shared" ref="M160:M218" si="18">IF(L160="","",YEAR(L160))</f>
        <v>2010</v>
      </c>
      <c r="N160" s="27">
        <f>+IFERROR(INDEX([10]PARÁMETROS!$B$11:$B$37,MATCH(M160,[10]PARÁMETROS!$A$11:$A$37,0)),"")</f>
        <v>515000</v>
      </c>
      <c r="O160" s="35">
        <v>864969.84</v>
      </c>
      <c r="P160" s="27" t="s">
        <v>142</v>
      </c>
      <c r="Q160" s="19">
        <v>1.1988799999999999</v>
      </c>
      <c r="R160" s="30">
        <f>+Q160*O160</f>
        <v>1036995.0417792</v>
      </c>
      <c r="S160" s="31">
        <v>1943</v>
      </c>
      <c r="T160" s="27">
        <f>IF(S160&lt;&gt;"",R160*S160,"")</f>
        <v>2014881366.1769855</v>
      </c>
      <c r="U160" s="16">
        <f t="shared" ref="U160:U223" si="19">+IFERROR(T160/N160,"")</f>
        <v>3912.3910022854088</v>
      </c>
      <c r="V160" s="16">
        <f t="shared" ref="V160:V223" si="20">IFERROR(U160*J160,"")</f>
        <v>3912.3910022854088</v>
      </c>
      <c r="W160" s="32" t="s">
        <v>1897</v>
      </c>
      <c r="X160" s="1485"/>
      <c r="Y160" s="1485"/>
      <c r="Z160" s="1485"/>
      <c r="AA160" s="1485"/>
      <c r="AB160" s="1485"/>
      <c r="AC160" s="1485"/>
      <c r="AD160" s="1485"/>
      <c r="AE160" s="1485"/>
      <c r="AF160" s="1485"/>
      <c r="AG160" s="1388"/>
      <c r="AH160" s="1485"/>
      <c r="AI160" s="1485"/>
      <c r="AJ160" s="1388" t="str">
        <f>+IF(V160="","",IF(V160&gt;=[10]PARÁMETROS!$D$5,"CUMPLE","NO CUMPLE"))</f>
        <v>CUMPLE</v>
      </c>
      <c r="AK160" s="97"/>
    </row>
    <row r="161" spans="1:37" ht="129" thickBot="1">
      <c r="A161" s="1612"/>
      <c r="B161" s="1510"/>
      <c r="C161" s="19" t="s">
        <v>569</v>
      </c>
      <c r="D161" s="20">
        <v>209</v>
      </c>
      <c r="E161" s="101" t="str">
        <f>+IFERROR(INDEX([4]CONSOLIDADO!$D$4:$D$108,MATCH('Concur - Exp. General'!C161,[4]CONSOLIDADO!$C$4:$C$108,0)),"")</f>
        <v>GIC GERENCIA INTERVENTORIA Y CONSULTORIA S.A.S.</v>
      </c>
      <c r="F161" s="22" t="s">
        <v>1895</v>
      </c>
      <c r="G161" s="23" t="s">
        <v>1899</v>
      </c>
      <c r="H161" s="1388" t="s">
        <v>22</v>
      </c>
      <c r="I161" s="1388" t="s">
        <v>22</v>
      </c>
      <c r="J161" s="24">
        <v>1</v>
      </c>
      <c r="K161" s="25">
        <v>40400</v>
      </c>
      <c r="L161" s="25">
        <v>40753</v>
      </c>
      <c r="M161" s="26">
        <f t="shared" si="18"/>
        <v>2011</v>
      </c>
      <c r="N161" s="27">
        <f>+IFERROR(INDEX([10]PARÁMETROS!$B$11:$B$37,MATCH(M161,[10]PARÁMETROS!$A$11:$A$37,0)),"")</f>
        <v>535600</v>
      </c>
      <c r="O161" s="28">
        <v>655152.30000000005</v>
      </c>
      <c r="P161" s="27" t="s">
        <v>142</v>
      </c>
      <c r="Q161" s="19">
        <v>1.43323</v>
      </c>
      <c r="R161" s="30">
        <f>+Q161*O161</f>
        <v>938983.93092900002</v>
      </c>
      <c r="S161" s="31">
        <v>1771.15</v>
      </c>
      <c r="T161" s="27">
        <f>IF(S161&lt;&gt;"",R161*S161,"")</f>
        <v>1663081389.2648985</v>
      </c>
      <c r="U161" s="16">
        <f t="shared" si="19"/>
        <v>3105.0810105767337</v>
      </c>
      <c r="V161" s="16">
        <f t="shared" si="20"/>
        <v>3105.0810105767337</v>
      </c>
      <c r="W161" s="32" t="s">
        <v>1897</v>
      </c>
      <c r="X161" s="1485"/>
      <c r="Y161" s="1485"/>
      <c r="Z161" s="1485"/>
      <c r="AA161" s="1485"/>
      <c r="AB161" s="1485"/>
      <c r="AC161" s="1485"/>
      <c r="AD161" s="1485"/>
      <c r="AE161" s="1485"/>
      <c r="AF161" s="1485"/>
      <c r="AG161" s="1388"/>
      <c r="AH161" s="1485"/>
      <c r="AI161" s="1485"/>
      <c r="AJ161" s="1388" t="str">
        <f>+IF(V161="","",IF(V161&gt;=[10]PARÁMETROS!$D$5,"CUMPLE","NO CUMPLE"))</f>
        <v>CUMPLE</v>
      </c>
      <c r="AK161" s="98"/>
    </row>
    <row r="162" spans="1:37" ht="129" thickBot="1">
      <c r="A162" s="1612"/>
      <c r="B162" s="1510"/>
      <c r="C162" s="19" t="s">
        <v>569</v>
      </c>
      <c r="D162" s="20">
        <v>218</v>
      </c>
      <c r="E162" s="101" t="str">
        <f>+IFERROR(INDEX([4]CONSOLIDADO!$D$4:$D$108,MATCH('Concur - Exp. General'!C162,[4]CONSOLIDADO!$C$4:$C$108,0)),"")</f>
        <v>GIC GERENCIA INTERVENTORIA Y CONSULTORIA S.A.S.</v>
      </c>
      <c r="F162" s="22" t="s">
        <v>1895</v>
      </c>
      <c r="G162" s="23" t="s">
        <v>1900</v>
      </c>
      <c r="H162" s="1388" t="s">
        <v>22</v>
      </c>
      <c r="I162" s="1388" t="s">
        <v>22</v>
      </c>
      <c r="J162" s="24">
        <v>1</v>
      </c>
      <c r="K162" s="25">
        <v>37572</v>
      </c>
      <c r="L162" s="25">
        <v>38330</v>
      </c>
      <c r="M162" s="26">
        <f t="shared" si="18"/>
        <v>2004</v>
      </c>
      <c r="N162" s="27">
        <f>+IFERROR(INDEX([10]PARÁMETROS!$B$11:$B$37,MATCH(M162,[10]PARÁMETROS!$A$11:$A$37,0)),"")</f>
        <v>358000</v>
      </c>
      <c r="O162" s="28">
        <v>610050.4</v>
      </c>
      <c r="P162" s="27" t="s">
        <v>142</v>
      </c>
      <c r="Q162" s="19">
        <v>1.3329</v>
      </c>
      <c r="R162" s="30">
        <f>+Q162*O162</f>
        <v>813136.17816000001</v>
      </c>
      <c r="S162" s="31">
        <v>2455.12</v>
      </c>
      <c r="T162" s="27">
        <f>IF(S162&lt;&gt;"",R162*S162,"")</f>
        <v>1996346893.724179</v>
      </c>
      <c r="U162" s="16">
        <f t="shared" si="19"/>
        <v>5576.3879712965891</v>
      </c>
      <c r="V162" s="16">
        <f t="shared" si="20"/>
        <v>5576.3879712965891</v>
      </c>
      <c r="W162" s="32" t="s">
        <v>1897</v>
      </c>
      <c r="X162" s="1496"/>
      <c r="Y162" s="1497"/>
      <c r="Z162" s="1498"/>
      <c r="AA162" s="1496"/>
      <c r="AB162" s="1497"/>
      <c r="AC162" s="1498"/>
      <c r="AD162" s="1496"/>
      <c r="AE162" s="1497"/>
      <c r="AF162" s="1498"/>
      <c r="AG162" s="1388"/>
      <c r="AH162" s="1485"/>
      <c r="AI162" s="1485"/>
      <c r="AJ162" s="1388" t="str">
        <f>+IF(V162="","",IF(V162&gt;=[10]PARÁMETROS!$D$5,"CUMPLE","NO CUMPLE"))</f>
        <v>CUMPLE</v>
      </c>
      <c r="AK162" s="98"/>
    </row>
    <row r="163" spans="1:37" ht="72" thickBot="1">
      <c r="A163" s="1612"/>
      <c r="B163" s="1510"/>
      <c r="C163" s="19" t="s">
        <v>579</v>
      </c>
      <c r="D163" s="20">
        <v>224</v>
      </c>
      <c r="E163" s="101" t="str">
        <f>+IFERROR(INDEX([4]CONSOLIDADO!$D$4:$D$108,MATCH('Concur - Exp. General'!C163,[4]CONSOLIDADO!$C$4:$C$108,0)),"")</f>
        <v>CONSULTORES UNIDOS S.A.</v>
      </c>
      <c r="F163" s="22" t="s">
        <v>517</v>
      </c>
      <c r="G163" s="23" t="s">
        <v>1901</v>
      </c>
      <c r="H163" s="1388" t="s">
        <v>22</v>
      </c>
      <c r="I163" s="1388" t="s">
        <v>22</v>
      </c>
      <c r="J163" s="24">
        <v>0.6</v>
      </c>
      <c r="K163" s="25">
        <v>41649</v>
      </c>
      <c r="L163" s="25">
        <v>42151</v>
      </c>
      <c r="M163" s="26">
        <f t="shared" si="18"/>
        <v>2015</v>
      </c>
      <c r="N163" s="27">
        <f>+IFERROR(INDEX([10]PARÁMETROS!$B$11:$B$37,MATCH(M163,[10]PARÁMETROS!$A$11:$A$37,0)),"")</f>
        <v>644350</v>
      </c>
      <c r="O163" s="28">
        <v>4710651972</v>
      </c>
      <c r="P163" s="27" t="s">
        <v>151</v>
      </c>
      <c r="Q163" s="19" t="s">
        <v>140</v>
      </c>
      <c r="R163" s="30" t="s">
        <v>140</v>
      </c>
      <c r="S163" s="31">
        <v>1</v>
      </c>
      <c r="T163" s="27">
        <f t="shared" ref="T163:T226" si="21">IF(S163&lt;&gt;"",O163*S163,"")</f>
        <v>4710651972</v>
      </c>
      <c r="U163" s="16">
        <f t="shared" si="19"/>
        <v>7310.7037665864827</v>
      </c>
      <c r="V163" s="16">
        <f t="shared" si="20"/>
        <v>4386.4222599518898</v>
      </c>
      <c r="W163" s="32" t="s">
        <v>152</v>
      </c>
      <c r="X163" s="1496"/>
      <c r="Y163" s="1497"/>
      <c r="Z163" s="1498"/>
      <c r="AA163" s="1496"/>
      <c r="AB163" s="1497"/>
      <c r="AC163" s="1498"/>
      <c r="AD163" s="1496"/>
      <c r="AE163" s="1497"/>
      <c r="AF163" s="1498"/>
      <c r="AG163" s="1388"/>
      <c r="AH163" s="1485"/>
      <c r="AI163" s="1485"/>
      <c r="AJ163" s="1388" t="str">
        <f>+IF(V163="","",IF(V163&gt;=[10]PARÁMETROS!$D$5,"CUMPLE","NO CUMPLE"))</f>
        <v>CUMPLE</v>
      </c>
      <c r="AK163" s="98"/>
    </row>
    <row r="164" spans="1:37" ht="43.5" thickBot="1">
      <c r="A164" s="1612"/>
      <c r="B164" s="1511"/>
      <c r="C164" s="99" t="s">
        <v>579</v>
      </c>
      <c r="D164" s="178">
        <v>227</v>
      </c>
      <c r="E164" s="101" t="str">
        <f>+IFERROR(INDEX([4]CONSOLIDADO!$D$4:$D$108,MATCH('Concur - Exp. General'!C164,[4]CONSOLIDADO!$C$4:$C$108,0)),"")</f>
        <v>CONSULTORES UNIDOS S.A.</v>
      </c>
      <c r="F164" s="102" t="s">
        <v>448</v>
      </c>
      <c r="G164" s="103" t="s">
        <v>1902</v>
      </c>
      <c r="H164" s="1392" t="s">
        <v>22</v>
      </c>
      <c r="I164" s="1392" t="s">
        <v>22</v>
      </c>
      <c r="J164" s="104">
        <v>0.55000000000000004</v>
      </c>
      <c r="K164" s="105">
        <v>39860</v>
      </c>
      <c r="L164" s="105">
        <v>41213</v>
      </c>
      <c r="M164" s="106">
        <f t="shared" si="18"/>
        <v>2012</v>
      </c>
      <c r="N164" s="107">
        <f>+IFERROR(INDEX([10]PARÁMETROS!$B$11:$B$37,MATCH(M164,[10]PARÁMETROS!$A$11:$A$37,0)),"")</f>
        <v>566700</v>
      </c>
      <c r="O164" s="108">
        <v>8291206645</v>
      </c>
      <c r="P164" s="109" t="s">
        <v>151</v>
      </c>
      <c r="Q164" s="99" t="s">
        <v>140</v>
      </c>
      <c r="R164" s="110" t="s">
        <v>140</v>
      </c>
      <c r="S164" s="111">
        <v>1</v>
      </c>
      <c r="T164" s="107">
        <f t="shared" si="21"/>
        <v>8291206645</v>
      </c>
      <c r="U164" s="112">
        <f t="shared" si="19"/>
        <v>14630.680509970001</v>
      </c>
      <c r="V164" s="112">
        <f t="shared" si="20"/>
        <v>8046.874280483501</v>
      </c>
      <c r="W164" s="213">
        <v>59</v>
      </c>
      <c r="X164" s="1493" t="s">
        <v>22</v>
      </c>
      <c r="Y164" s="1494"/>
      <c r="Z164" s="1495"/>
      <c r="AA164" s="1493" t="s">
        <v>129</v>
      </c>
      <c r="AB164" s="1494"/>
      <c r="AC164" s="1495"/>
      <c r="AD164" s="1493" t="s">
        <v>129</v>
      </c>
      <c r="AE164" s="1494"/>
      <c r="AF164" s="1495"/>
      <c r="AG164" s="1392" t="s">
        <v>22</v>
      </c>
      <c r="AH164" s="1486"/>
      <c r="AI164" s="1486"/>
      <c r="AJ164" s="1392" t="str">
        <f>+IF(V164="","",IF(V164&gt;=[10]PARÁMETROS!$D$5,"CUMPLE","NO CUMPLE"))</f>
        <v>CUMPLE</v>
      </c>
      <c r="AK164" s="113"/>
    </row>
    <row r="165" spans="1:37" ht="157.5" thickBot="1">
      <c r="A165" s="1612"/>
      <c r="B165" s="1509" t="s">
        <v>1903</v>
      </c>
      <c r="C165" s="81" t="s">
        <v>589</v>
      </c>
      <c r="D165" s="82">
        <v>79</v>
      </c>
      <c r="E165" s="101" t="str">
        <f>+IFERROR(INDEX([4]CONSOLIDADO!$D$4:$D$108,MATCH('Concur - Exp. General'!C165,[4]CONSOLIDADO!$C$4:$C$108,0)),"")</f>
        <v>MAB INGENIERIA DE VALOR S.A.</v>
      </c>
      <c r="F165" s="84" t="s">
        <v>448</v>
      </c>
      <c r="G165" s="72" t="s">
        <v>1904</v>
      </c>
      <c r="H165" s="1393" t="s">
        <v>22</v>
      </c>
      <c r="I165" s="1393" t="s">
        <v>22</v>
      </c>
      <c r="J165" s="86">
        <v>0.7</v>
      </c>
      <c r="K165" s="87">
        <v>39615</v>
      </c>
      <c r="L165" s="87">
        <v>41502</v>
      </c>
      <c r="M165" s="88">
        <f>IF(L165="","",YEAR(L165))</f>
        <v>2013</v>
      </c>
      <c r="N165" s="89">
        <f>+IFERROR(INDEX([10]PARÁMETROS!$B$11:$B$37,MATCH(M165,[10]PARÁMETROS!$A$11:$A$37,0)),"")</f>
        <v>589500</v>
      </c>
      <c r="O165" s="90">
        <v>29607256941</v>
      </c>
      <c r="P165" s="91" t="s">
        <v>151</v>
      </c>
      <c r="Q165" s="81" t="s">
        <v>140</v>
      </c>
      <c r="R165" s="92" t="s">
        <v>140</v>
      </c>
      <c r="S165" s="93">
        <v>1</v>
      </c>
      <c r="T165" s="89">
        <f>IF(S165&lt;&gt;"",O165*S165,"")</f>
        <v>29607256941</v>
      </c>
      <c r="U165" s="94">
        <f>+IFERROR(T165/N165,"")</f>
        <v>50224.354437659036</v>
      </c>
      <c r="V165" s="94">
        <f>IFERROR(U165*J165,"")</f>
        <v>35157.048106361326</v>
      </c>
      <c r="W165" s="95">
        <v>35</v>
      </c>
      <c r="X165" s="1484" t="s">
        <v>22</v>
      </c>
      <c r="Y165" s="1484"/>
      <c r="Z165" s="1484"/>
      <c r="AA165" s="1484" t="s">
        <v>22</v>
      </c>
      <c r="AB165" s="1484"/>
      <c r="AC165" s="1484"/>
      <c r="AD165" s="1484" t="s">
        <v>22</v>
      </c>
      <c r="AE165" s="1484"/>
      <c r="AF165" s="1484"/>
      <c r="AG165" s="1393" t="s">
        <v>22</v>
      </c>
      <c r="AH165" s="1508" t="str">
        <f>IF(V165="","",IF(SUM(V165:V167)&gt;=[10]PARÁMETROS!$H$5,"CUMPLE","NO CUMPLE"))</f>
        <v>CUMPLE</v>
      </c>
      <c r="AI165" s="1508" t="str">
        <f>IF(V165="","",IF(V165&gt;=[10]PARÁMETROS!$F$5,"CUMPLE","NO CUMPLE"))</f>
        <v>CUMPLE</v>
      </c>
      <c r="AJ165" s="1394" t="str">
        <f>+IF(V165="","",IF(V165&gt;=[10]PARÁMETROS!$D$5,"CUMPLE","NO CUMPLE"))</f>
        <v>CUMPLE</v>
      </c>
      <c r="AK165" s="122"/>
    </row>
    <row r="166" spans="1:37" ht="72" thickBot="1">
      <c r="A166" s="1612"/>
      <c r="B166" s="1510"/>
      <c r="C166" s="19" t="s">
        <v>593</v>
      </c>
      <c r="D166" s="20">
        <v>106</v>
      </c>
      <c r="E166" s="101" t="str">
        <f>+IFERROR(INDEX([4]CONSOLIDADO!$D$4:$D$108,MATCH('Concur - Exp. General'!C166,[4]CONSOLIDADO!$C$4:$C$108,0)),"")</f>
        <v>MAB SERVICIOS S.A.S.</v>
      </c>
      <c r="F166" s="22" t="s">
        <v>1563</v>
      </c>
      <c r="G166" s="22" t="s">
        <v>1905</v>
      </c>
      <c r="H166" s="1388" t="s">
        <v>22</v>
      </c>
      <c r="I166" s="1388" t="s">
        <v>22</v>
      </c>
      <c r="J166" s="34">
        <v>0.45</v>
      </c>
      <c r="K166" s="25">
        <v>40339</v>
      </c>
      <c r="L166" s="25">
        <v>41182</v>
      </c>
      <c r="M166" s="26">
        <f>IF(L166="","",YEAR(L166))</f>
        <v>2012</v>
      </c>
      <c r="N166" s="27">
        <f>+IFERROR(INDEX([10]PARÁMETROS!$B$11:$B$37,MATCH(M166,[10]PARÁMETROS!$A$11:$A$37,0)),"")</f>
        <v>566700</v>
      </c>
      <c r="O166" s="35">
        <v>3960376808</v>
      </c>
      <c r="P166" s="27" t="s">
        <v>151</v>
      </c>
      <c r="Q166" s="19" t="s">
        <v>140</v>
      </c>
      <c r="R166" s="30" t="s">
        <v>140</v>
      </c>
      <c r="S166" s="31">
        <v>1</v>
      </c>
      <c r="T166" s="27">
        <v>3404850468</v>
      </c>
      <c r="U166" s="16">
        <f>+IFERROR(T166/N166,"")</f>
        <v>6008.2062255161463</v>
      </c>
      <c r="V166" s="16">
        <f>IFERROR(U166*J166,"")</f>
        <v>2703.6928014822661</v>
      </c>
      <c r="W166" s="32">
        <v>18</v>
      </c>
      <c r="X166" s="1485" t="s">
        <v>22</v>
      </c>
      <c r="Y166" s="1485"/>
      <c r="Z166" s="1485"/>
      <c r="AA166" s="1485" t="s">
        <v>22</v>
      </c>
      <c r="AB166" s="1485"/>
      <c r="AC166" s="1485"/>
      <c r="AD166" s="1485" t="s">
        <v>22</v>
      </c>
      <c r="AE166" s="1485"/>
      <c r="AF166" s="1485"/>
      <c r="AG166" s="1388" t="s">
        <v>22</v>
      </c>
      <c r="AH166" s="1485"/>
      <c r="AI166" s="1485"/>
      <c r="AJ166" s="1388" t="str">
        <f>+IF(V166="","",IF(V166&gt;=[10]PARÁMETROS!$D$5,"CUMPLE","NO CUMPLE"))</f>
        <v>CUMPLE</v>
      </c>
      <c r="AK166" s="97"/>
    </row>
    <row r="167" spans="1:37" ht="43.5" thickBot="1">
      <c r="A167" s="1612"/>
      <c r="B167" s="1510"/>
      <c r="C167" s="19" t="s">
        <v>593</v>
      </c>
      <c r="D167" s="20">
        <v>115</v>
      </c>
      <c r="E167" s="101" t="str">
        <f>+IFERROR(INDEX([4]CONSOLIDADO!$D$4:$D$108,MATCH('Concur - Exp. General'!C167,[4]CONSOLIDADO!$C$4:$C$108,0)),"")</f>
        <v>MAB SERVICIOS S.A.S.</v>
      </c>
      <c r="F167" s="22" t="s">
        <v>949</v>
      </c>
      <c r="G167" s="23" t="s">
        <v>1906</v>
      </c>
      <c r="H167" s="1388" t="s">
        <v>22</v>
      </c>
      <c r="I167" s="1388" t="s">
        <v>22</v>
      </c>
      <c r="J167" s="24">
        <v>0.55000000000000004</v>
      </c>
      <c r="K167" s="25">
        <v>39856</v>
      </c>
      <c r="L167" s="25">
        <v>40979</v>
      </c>
      <c r="M167" s="26">
        <f>IF(L167="","",YEAR(L167))</f>
        <v>2012</v>
      </c>
      <c r="N167" s="27">
        <f>+IFERROR(INDEX([10]PARÁMETROS!$B$11:$B$37,MATCH(M167,[10]PARÁMETROS!$A$11:$A$37,0)),"")</f>
        <v>566700</v>
      </c>
      <c r="O167" s="28">
        <v>3720919329</v>
      </c>
      <c r="P167" s="29" t="s">
        <v>151</v>
      </c>
      <c r="Q167" s="19" t="s">
        <v>140</v>
      </c>
      <c r="R167" s="30" t="s">
        <v>140</v>
      </c>
      <c r="S167" s="31">
        <v>1</v>
      </c>
      <c r="T167" s="27">
        <f>IF(S167&lt;&gt;"",O167*S167,"")</f>
        <v>3720919329</v>
      </c>
      <c r="U167" s="16">
        <f>+IFERROR(T167/N167,"")</f>
        <v>6565.9419957649552</v>
      </c>
      <c r="V167" s="16">
        <f>IFERROR(U167*J167,"")</f>
        <v>3611.2680976707256</v>
      </c>
      <c r="W167" s="32">
        <v>17</v>
      </c>
      <c r="X167" s="1485" t="s">
        <v>22</v>
      </c>
      <c r="Y167" s="1485"/>
      <c r="Z167" s="1485"/>
      <c r="AA167" s="1485" t="s">
        <v>22</v>
      </c>
      <c r="AB167" s="1485"/>
      <c r="AC167" s="1485"/>
      <c r="AD167" s="1485" t="s">
        <v>22</v>
      </c>
      <c r="AE167" s="1485"/>
      <c r="AF167" s="1485"/>
      <c r="AG167" s="1388" t="s">
        <v>22</v>
      </c>
      <c r="AH167" s="1485"/>
      <c r="AI167" s="1485"/>
      <c r="AJ167" s="1388" t="str">
        <f>+IF(V167="","",IF(V167&gt;=[10]PARÁMETROS!$D$5,"CUMPLE","NO CUMPLE"))</f>
        <v>CUMPLE</v>
      </c>
      <c r="AK167" s="98"/>
    </row>
    <row r="168" spans="1:37" ht="129" thickBot="1">
      <c r="A168" s="1612"/>
      <c r="B168" s="1509" t="s">
        <v>1907</v>
      </c>
      <c r="C168" s="81" t="s">
        <v>599</v>
      </c>
      <c r="D168" s="169">
        <v>290</v>
      </c>
      <c r="E168" s="101" t="str">
        <f>+IFERROR(INDEX([4]CONSOLIDADO!$D$4:$D$108,MATCH('Concur - Exp. General'!C168,[4]CONSOLIDADO!$C$4:$C$108,0)),"")</f>
        <v>PABLO EMILIO BRAVO CONSULTORES S.A.S</v>
      </c>
      <c r="F168" s="84" t="s">
        <v>517</v>
      </c>
      <c r="G168" s="85" t="s">
        <v>1908</v>
      </c>
      <c r="H168" s="1393" t="s">
        <v>22</v>
      </c>
      <c r="I168" s="1393" t="s">
        <v>22</v>
      </c>
      <c r="J168" s="284">
        <v>0.33329999999999999</v>
      </c>
      <c r="K168" s="87">
        <v>41011</v>
      </c>
      <c r="L168" s="87">
        <v>42131</v>
      </c>
      <c r="M168" s="88">
        <f t="shared" si="18"/>
        <v>2015</v>
      </c>
      <c r="N168" s="89">
        <f>+IFERROR(INDEX([10]PARÁMETROS!$B$11:$B$37,MATCH(M168,[10]PARÁMETROS!$A$11:$A$37,0)),"")</f>
        <v>644350</v>
      </c>
      <c r="O168" s="90">
        <v>27508341464</v>
      </c>
      <c r="P168" s="91" t="s">
        <v>151</v>
      </c>
      <c r="Q168" s="81" t="s">
        <v>140</v>
      </c>
      <c r="R168" s="92" t="s">
        <v>140</v>
      </c>
      <c r="S168" s="93">
        <v>1</v>
      </c>
      <c r="T168" s="89">
        <f t="shared" si="21"/>
        <v>27508341464</v>
      </c>
      <c r="U168" s="94">
        <f t="shared" si="19"/>
        <v>42691.613973772015</v>
      </c>
      <c r="V168" s="94">
        <f t="shared" si="20"/>
        <v>14229.114937458213</v>
      </c>
      <c r="W168" s="299" t="s">
        <v>152</v>
      </c>
      <c r="X168" s="1484"/>
      <c r="Y168" s="1484"/>
      <c r="Z168" s="1484"/>
      <c r="AA168" s="1484"/>
      <c r="AB168" s="1484"/>
      <c r="AC168" s="1484"/>
      <c r="AD168" s="1484"/>
      <c r="AE168" s="1484"/>
      <c r="AF168" s="1484"/>
      <c r="AG168" s="1393"/>
      <c r="AH168" s="1484" t="str">
        <f>IF(V168="","",IF(SUM(V168:V173)&gt;=[10]PARÁMETROS!$H$5,"CUMPLE","NO CUMPLE"))</f>
        <v>CUMPLE</v>
      </c>
      <c r="AI168" s="1484" t="str">
        <f>IF(V168="","",IF(V168+V169+V170&gt;=[10]PARÁMETROS!$F$5,"CUMPLE","NO CUMPLE"))</f>
        <v>CUMPLE</v>
      </c>
      <c r="AJ168" s="1393" t="str">
        <f>+IF(V168="","",IF(V168&gt;=[10]PARÁMETROS!$D$5,"CUMPLE","NO CUMPLE"))</f>
        <v>CUMPLE</v>
      </c>
      <c r="AK168" s="96"/>
    </row>
    <row r="169" spans="1:37" ht="63.75" thickBot="1">
      <c r="A169" s="1612"/>
      <c r="B169" s="1510"/>
      <c r="C169" s="19" t="s">
        <v>599</v>
      </c>
      <c r="D169" s="170">
        <v>341</v>
      </c>
      <c r="E169" s="101" t="str">
        <f>+IFERROR(INDEX([4]CONSOLIDADO!$D$4:$D$108,MATCH('Concur - Exp. General'!C169,[4]CONSOLIDADO!$C$4:$C$108,0)),"")</f>
        <v>PABLO EMILIO BRAVO CONSULTORES S.A.S</v>
      </c>
      <c r="F169" s="22" t="s">
        <v>949</v>
      </c>
      <c r="G169" s="22" t="s">
        <v>1909</v>
      </c>
      <c r="H169" s="1388" t="s">
        <v>22</v>
      </c>
      <c r="I169" s="1388" t="s">
        <v>22</v>
      </c>
      <c r="J169" s="34">
        <v>0.5</v>
      </c>
      <c r="K169" s="25">
        <v>36312</v>
      </c>
      <c r="L169" s="25">
        <v>37833</v>
      </c>
      <c r="M169" s="26">
        <f t="shared" si="18"/>
        <v>2003</v>
      </c>
      <c r="N169" s="27">
        <f>+IFERROR(INDEX([10]PARÁMETROS!$B$11:$B$37,MATCH(M169,[10]PARÁMETROS!$A$11:$A$37,0)),"")</f>
        <v>332000</v>
      </c>
      <c r="O169" s="35">
        <v>5331439397</v>
      </c>
      <c r="P169" s="27" t="s">
        <v>151</v>
      </c>
      <c r="Q169" s="19" t="s">
        <v>140</v>
      </c>
      <c r="R169" s="30" t="s">
        <v>140</v>
      </c>
      <c r="S169" s="31">
        <v>1</v>
      </c>
      <c r="T169" s="27">
        <f t="shared" si="21"/>
        <v>5331439397</v>
      </c>
      <c r="U169" s="16">
        <f t="shared" si="19"/>
        <v>16058.55240060241</v>
      </c>
      <c r="V169" s="16">
        <f t="shared" si="20"/>
        <v>8029.2762003012049</v>
      </c>
      <c r="W169" s="16" t="s">
        <v>152</v>
      </c>
      <c r="X169" s="1485"/>
      <c r="Y169" s="1485"/>
      <c r="Z169" s="1485"/>
      <c r="AA169" s="1485"/>
      <c r="AB169" s="1485"/>
      <c r="AC169" s="1485"/>
      <c r="AD169" s="1485"/>
      <c r="AE169" s="1485"/>
      <c r="AF169" s="1485"/>
      <c r="AG169" s="1388"/>
      <c r="AH169" s="1485"/>
      <c r="AI169" s="1485"/>
      <c r="AJ169" s="1388" t="str">
        <f>+IF(V169="","",IF(V169&gt;=[10]PARÁMETROS!$D$5,"CUMPLE","NO CUMPLE"))</f>
        <v>CUMPLE</v>
      </c>
      <c r="AK169" s="97"/>
    </row>
    <row r="170" spans="1:37" ht="63.75" thickBot="1">
      <c r="A170" s="1612"/>
      <c r="B170" s="1510"/>
      <c r="C170" s="19" t="s">
        <v>599</v>
      </c>
      <c r="D170" s="170">
        <v>356</v>
      </c>
      <c r="E170" s="101" t="str">
        <f>+IFERROR(INDEX([4]CONSOLIDADO!$D$4:$D$108,MATCH('Concur - Exp. General'!C170,[4]CONSOLIDADO!$C$4:$C$108,0)),"")</f>
        <v>PABLO EMILIO BRAVO CONSULTORES S.A.S</v>
      </c>
      <c r="F170" s="22" t="s">
        <v>1910</v>
      </c>
      <c r="G170" s="23" t="s">
        <v>1911</v>
      </c>
      <c r="H170" s="1388" t="s">
        <v>22</v>
      </c>
      <c r="I170" s="1388" t="s">
        <v>22</v>
      </c>
      <c r="J170" s="24">
        <v>0.75</v>
      </c>
      <c r="K170" s="25">
        <v>39534</v>
      </c>
      <c r="L170" s="25">
        <v>40628</v>
      </c>
      <c r="M170" s="26">
        <f t="shared" si="18"/>
        <v>2011</v>
      </c>
      <c r="N170" s="27">
        <f>+IFERROR(INDEX([10]PARÁMETROS!$B$11:$B$37,MATCH(M170,[10]PARÁMETROS!$A$11:$A$37,0)),"")</f>
        <v>535600</v>
      </c>
      <c r="O170" s="28">
        <v>3753633746</v>
      </c>
      <c r="P170" s="29" t="s">
        <v>151</v>
      </c>
      <c r="Q170" s="19" t="s">
        <v>140</v>
      </c>
      <c r="R170" s="30" t="s">
        <v>140</v>
      </c>
      <c r="S170" s="31">
        <v>1</v>
      </c>
      <c r="T170" s="27">
        <f t="shared" si="21"/>
        <v>3753633746</v>
      </c>
      <c r="U170" s="16">
        <f t="shared" si="19"/>
        <v>7008.2780918595963</v>
      </c>
      <c r="V170" s="16">
        <f t="shared" si="20"/>
        <v>5256.2085688946972</v>
      </c>
      <c r="W170" s="80" t="s">
        <v>152</v>
      </c>
      <c r="X170" s="1485"/>
      <c r="Y170" s="1485"/>
      <c r="Z170" s="1485"/>
      <c r="AA170" s="1485"/>
      <c r="AB170" s="1485"/>
      <c r="AC170" s="1485"/>
      <c r="AD170" s="1485"/>
      <c r="AE170" s="1485"/>
      <c r="AF170" s="1485"/>
      <c r="AG170" s="1388"/>
      <c r="AH170" s="1485"/>
      <c r="AI170" s="1485"/>
      <c r="AJ170" s="1388" t="str">
        <f>+IF(V170="","",IF(V170&gt;=[10]PARÁMETROS!$D$5,"CUMPLE","NO CUMPLE"))</f>
        <v>CUMPLE</v>
      </c>
      <c r="AK170" s="97"/>
    </row>
    <row r="171" spans="1:37" ht="43.5" thickBot="1">
      <c r="A171" s="1612"/>
      <c r="B171" s="1510"/>
      <c r="C171" s="19" t="s">
        <v>1912</v>
      </c>
      <c r="D171" s="170">
        <v>377</v>
      </c>
      <c r="E171" s="101" t="str">
        <f>+IFERROR(INDEX([4]CONSOLIDADO!$D$4:$D$108,MATCH('Concur - Exp. General'!C171,[4]CONSOLIDADO!$C$4:$C$108,0)),"")</f>
        <v>ESTUDIOS TECNICOS S.A.S.</v>
      </c>
      <c r="F171" s="22" t="s">
        <v>448</v>
      </c>
      <c r="G171" s="23" t="s">
        <v>1913</v>
      </c>
      <c r="H171" s="1388" t="s">
        <v>22</v>
      </c>
      <c r="I171" s="1388" t="s">
        <v>22</v>
      </c>
      <c r="J171" s="24">
        <v>1</v>
      </c>
      <c r="K171" s="25">
        <v>39168</v>
      </c>
      <c r="L171" s="25">
        <v>39809</v>
      </c>
      <c r="M171" s="26">
        <f t="shared" si="18"/>
        <v>2008</v>
      </c>
      <c r="N171" s="27">
        <f>+IFERROR(INDEX([10]PARÁMETROS!$B$11:$B$37,MATCH(M171,[10]PARÁMETROS!$A$11:$A$37,0)),"")</f>
        <v>461500</v>
      </c>
      <c r="O171" s="28">
        <v>1240225021</v>
      </c>
      <c r="P171" s="29" t="s">
        <v>151</v>
      </c>
      <c r="Q171" s="19" t="s">
        <v>140</v>
      </c>
      <c r="R171" s="30" t="s">
        <v>140</v>
      </c>
      <c r="S171" s="31">
        <v>1</v>
      </c>
      <c r="T171" s="27">
        <f t="shared" si="21"/>
        <v>1240225021</v>
      </c>
      <c r="U171" s="16">
        <f t="shared" si="19"/>
        <v>2687.3781603466955</v>
      </c>
      <c r="V171" s="16">
        <f t="shared" si="20"/>
        <v>2687.3781603466955</v>
      </c>
      <c r="W171" s="16">
        <v>37</v>
      </c>
      <c r="X171" s="1485" t="s">
        <v>129</v>
      </c>
      <c r="Y171" s="1485"/>
      <c r="Z171" s="1485"/>
      <c r="AA171" s="1485" t="s">
        <v>22</v>
      </c>
      <c r="AB171" s="1485"/>
      <c r="AC171" s="1485"/>
      <c r="AD171" s="1485" t="s">
        <v>22</v>
      </c>
      <c r="AE171" s="1485"/>
      <c r="AF171" s="1485"/>
      <c r="AG171" s="1388" t="s">
        <v>22</v>
      </c>
      <c r="AH171" s="1485"/>
      <c r="AI171" s="1485"/>
      <c r="AJ171" s="1388" t="str">
        <f>+IF(V171="","",IF(V171&gt;=[10]PARÁMETROS!$D$5,"CUMPLE","NO CUMPLE"))</f>
        <v>CUMPLE</v>
      </c>
      <c r="AK171" s="97"/>
    </row>
    <row r="172" spans="1:37" ht="72" thickBot="1">
      <c r="A172" s="1612"/>
      <c r="B172" s="1510"/>
      <c r="C172" s="19" t="s">
        <v>1912</v>
      </c>
      <c r="D172" s="170">
        <v>384</v>
      </c>
      <c r="E172" s="101" t="str">
        <f>+IFERROR(INDEX([4]CONSOLIDADO!$D$4:$D$108,MATCH('Concur - Exp. General'!C172,[4]CONSOLIDADO!$C$4:$C$108,0)),"")</f>
        <v>ESTUDIOS TECNICOS S.A.S.</v>
      </c>
      <c r="F172" s="22" t="s">
        <v>1914</v>
      </c>
      <c r="G172" s="23" t="s">
        <v>1915</v>
      </c>
      <c r="H172" s="1388" t="s">
        <v>22</v>
      </c>
      <c r="I172" s="1388" t="s">
        <v>22</v>
      </c>
      <c r="J172" s="24">
        <v>0.65</v>
      </c>
      <c r="K172" s="25">
        <v>38061</v>
      </c>
      <c r="L172" s="25">
        <v>38670</v>
      </c>
      <c r="M172" s="26">
        <f t="shared" si="18"/>
        <v>2005</v>
      </c>
      <c r="N172" s="27">
        <f>+IFERROR(INDEX([10]PARÁMETROS!$B$11:$B$37,MATCH(M172,[10]PARÁMETROS!$A$11:$A$37,0)),"")</f>
        <v>381500</v>
      </c>
      <c r="O172" s="28">
        <v>1603720563.3199999</v>
      </c>
      <c r="P172" s="29" t="s">
        <v>151</v>
      </c>
      <c r="Q172" s="19" t="s">
        <v>140</v>
      </c>
      <c r="R172" s="30" t="s">
        <v>140</v>
      </c>
      <c r="S172" s="31">
        <v>1</v>
      </c>
      <c r="T172" s="27">
        <f t="shared" si="21"/>
        <v>1603720563.3199999</v>
      </c>
      <c r="U172" s="16">
        <f t="shared" si="19"/>
        <v>4203.7236260026211</v>
      </c>
      <c r="V172" s="16">
        <f t="shared" si="20"/>
        <v>2732.4203569017041</v>
      </c>
      <c r="W172" s="16">
        <v>53</v>
      </c>
      <c r="X172" s="1485" t="s">
        <v>129</v>
      </c>
      <c r="Y172" s="1485"/>
      <c r="Z172" s="1485"/>
      <c r="AA172" s="1485" t="s">
        <v>22</v>
      </c>
      <c r="AB172" s="1485"/>
      <c r="AC172" s="1485"/>
      <c r="AD172" s="1485" t="s">
        <v>22</v>
      </c>
      <c r="AE172" s="1485"/>
      <c r="AF172" s="1485"/>
      <c r="AG172" s="1388" t="s">
        <v>22</v>
      </c>
      <c r="AH172" s="1485"/>
      <c r="AI172" s="1485"/>
      <c r="AJ172" s="1388" t="str">
        <f>+IF(V172="","",IF(V172&gt;=[10]PARÁMETROS!$D$5,"CUMPLE","NO CUMPLE"))</f>
        <v>CUMPLE</v>
      </c>
      <c r="AK172" s="97"/>
    </row>
    <row r="173" spans="1:37" ht="79.5" thickBot="1">
      <c r="A173" s="1612"/>
      <c r="B173" s="1511"/>
      <c r="C173" s="99" t="s">
        <v>1916</v>
      </c>
      <c r="D173" s="178">
        <v>395</v>
      </c>
      <c r="E173" s="101" t="str">
        <f>+IFERROR(INDEX([4]CONSOLIDADO!$D$4:$D$108,MATCH('Concur - Exp. General'!C173,[4]CONSOLIDADO!$C$4:$C$108,0)),"")</f>
        <v>SIGA INGENIERIA Y CONSULTORIA S.A. SUCURSAL COLOMBIA</v>
      </c>
      <c r="F173" s="102" t="s">
        <v>517</v>
      </c>
      <c r="G173" s="103" t="s">
        <v>1917</v>
      </c>
      <c r="H173" s="1392" t="s">
        <v>22</v>
      </c>
      <c r="I173" s="1392" t="s">
        <v>22</v>
      </c>
      <c r="J173" s="104">
        <v>0.5</v>
      </c>
      <c r="K173" s="105">
        <v>41059</v>
      </c>
      <c r="L173" s="105">
        <v>42263</v>
      </c>
      <c r="M173" s="106">
        <f t="shared" si="18"/>
        <v>2015</v>
      </c>
      <c r="N173" s="107"/>
      <c r="O173" s="108">
        <v>7208358320</v>
      </c>
      <c r="P173" s="109" t="s">
        <v>151</v>
      </c>
      <c r="Q173" s="99" t="s">
        <v>140</v>
      </c>
      <c r="R173" s="110" t="s">
        <v>140</v>
      </c>
      <c r="S173" s="111">
        <v>1</v>
      </c>
      <c r="T173" s="107">
        <f t="shared" si="21"/>
        <v>7208358320</v>
      </c>
      <c r="U173" s="112" t="str">
        <f>+IFERROR(T173/[10]PARÁMETROS!B188,"")</f>
        <v/>
      </c>
      <c r="V173" s="112" t="str">
        <f t="shared" si="20"/>
        <v/>
      </c>
      <c r="W173" s="112" t="s">
        <v>152</v>
      </c>
      <c r="X173" s="1486"/>
      <c r="Y173" s="1486"/>
      <c r="Z173" s="1486"/>
      <c r="AA173" s="1486"/>
      <c r="AB173" s="1486"/>
      <c r="AC173" s="1486"/>
      <c r="AD173" s="1486"/>
      <c r="AE173" s="1486"/>
      <c r="AF173" s="1486"/>
      <c r="AG173" s="1392"/>
      <c r="AH173" s="1486"/>
      <c r="AI173" s="1486"/>
      <c r="AJ173" s="1392" t="str">
        <f>+IF(V173="","",IF(V173&gt;=[10]PARÁMETROS!$D$5,"CUMPLE","NO CUMPLE"))</f>
        <v/>
      </c>
      <c r="AK173" s="113"/>
    </row>
    <row r="174" spans="1:37" ht="63.75" thickBot="1">
      <c r="A174" s="1612"/>
      <c r="B174" s="1509" t="s">
        <v>1918</v>
      </c>
      <c r="C174" s="81" t="s">
        <v>614</v>
      </c>
      <c r="D174" s="169">
        <v>276</v>
      </c>
      <c r="E174" s="101" t="str">
        <f>+IFERROR(INDEX([4]CONSOLIDADO!$D$4:$D$108,MATCH('Concur - Exp. General'!C174,[4]CONSOLIDADO!$C$4:$C$108,0)),"")</f>
        <v>CONSULTORES DE INGENIERIA UG 21 SL SUCURSAL</v>
      </c>
      <c r="F174" s="300" t="s">
        <v>1919</v>
      </c>
      <c r="G174" s="301" t="s">
        <v>1920</v>
      </c>
      <c r="H174" s="1393" t="s">
        <v>22</v>
      </c>
      <c r="I174" s="1393" t="s">
        <v>22</v>
      </c>
      <c r="J174" s="302">
        <v>1</v>
      </c>
      <c r="K174" s="303">
        <v>38338</v>
      </c>
      <c r="L174" s="304">
        <v>39082</v>
      </c>
      <c r="M174" s="88">
        <f t="shared" si="18"/>
        <v>2006</v>
      </c>
      <c r="N174" s="89">
        <f>+IFERROR(INDEX([10]PARÁMETROS!$B$11:$B$37,MATCH(M174,[10]PARÁMETROS!$A$11:$A$37,0)),"")</f>
        <v>408000</v>
      </c>
      <c r="O174" s="90">
        <v>449899.22</v>
      </c>
      <c r="P174" s="91" t="s">
        <v>142</v>
      </c>
      <c r="Q174" s="81">
        <v>1.3192999999999999</v>
      </c>
      <c r="R174" s="92">
        <f>+Q174*O174</f>
        <v>593552.04094599991</v>
      </c>
      <c r="S174" s="93">
        <v>2238.79</v>
      </c>
      <c r="T174" s="89">
        <f>IF(S174&lt;&gt;"",R174*S174,"")</f>
        <v>1328838373.749495</v>
      </c>
      <c r="U174" s="94">
        <f t="shared" si="19"/>
        <v>3256.9567984056252</v>
      </c>
      <c r="V174" s="94">
        <f t="shared" si="20"/>
        <v>3256.9567984056252</v>
      </c>
      <c r="W174" s="207">
        <v>53</v>
      </c>
      <c r="X174" s="1484" t="s">
        <v>129</v>
      </c>
      <c r="Y174" s="1484"/>
      <c r="Z174" s="1484"/>
      <c r="AA174" s="1484" t="s">
        <v>129</v>
      </c>
      <c r="AB174" s="1484"/>
      <c r="AC174" s="1484"/>
      <c r="AD174" s="1484" t="s">
        <v>22</v>
      </c>
      <c r="AE174" s="1484"/>
      <c r="AF174" s="1484"/>
      <c r="AG174" s="1393" t="s">
        <v>22</v>
      </c>
      <c r="AH174" s="1484" t="str">
        <f>IF(V174="","",IF(SUM(V174:V178)&gt;=[10]PARÁMETROS!$H$5,"CUMPLE","NO CUMPLE"))</f>
        <v>CUMPLE</v>
      </c>
      <c r="AI174" s="1484" t="str">
        <f>IF(V174="","",IF(V174+V175&gt;=[10]PARÁMETROS!$F$5,"CUMPLE","NO CUMPLE"))</f>
        <v>CUMPLE</v>
      </c>
      <c r="AJ174" s="1393" t="str">
        <f>+IF(V174="","",IF(V174&gt;=[10]PARÁMETROS!$D$5,"CUMPLE","NO CUMPLE"))</f>
        <v>CUMPLE</v>
      </c>
      <c r="AK174" s="96"/>
    </row>
    <row r="175" spans="1:37" ht="63.75" thickBot="1">
      <c r="A175" s="1612"/>
      <c r="B175" s="1510"/>
      <c r="C175" s="19" t="s">
        <v>614</v>
      </c>
      <c r="D175" s="170">
        <v>279</v>
      </c>
      <c r="E175" s="101" t="str">
        <f>+IFERROR(INDEX([4]CONSOLIDADO!$D$4:$D$108,MATCH('Concur - Exp. General'!C175,[4]CONSOLIDADO!$C$4:$C$108,0)),"")</f>
        <v>CONSULTORES DE INGENIERIA UG 21 SL SUCURSAL</v>
      </c>
      <c r="F175" s="300" t="s">
        <v>982</v>
      </c>
      <c r="G175" s="301" t="s">
        <v>1921</v>
      </c>
      <c r="H175" s="1388" t="s">
        <v>22</v>
      </c>
      <c r="I175" s="1388" t="s">
        <v>22</v>
      </c>
      <c r="J175" s="302">
        <v>0.4</v>
      </c>
      <c r="K175" s="303">
        <v>41282</v>
      </c>
      <c r="L175" s="304">
        <v>42247</v>
      </c>
      <c r="M175" s="26">
        <f t="shared" si="18"/>
        <v>2015</v>
      </c>
      <c r="N175" s="27">
        <f>+IFERROR(INDEX([10]PARÁMETROS!$B$11:$B$37,MATCH(M175,[10]PARÁMETROS!$A$11:$A$37,0)),"")</f>
        <v>644350</v>
      </c>
      <c r="O175" s="28">
        <v>13726499698</v>
      </c>
      <c r="P175" s="29" t="s">
        <v>151</v>
      </c>
      <c r="Q175" s="19" t="s">
        <v>140</v>
      </c>
      <c r="R175" s="30" t="s">
        <v>140</v>
      </c>
      <c r="S175" s="31">
        <v>1</v>
      </c>
      <c r="T175" s="27">
        <f t="shared" si="21"/>
        <v>13726499698</v>
      </c>
      <c r="U175" s="16">
        <f t="shared" si="19"/>
        <v>21302.862881974081</v>
      </c>
      <c r="V175" s="16">
        <f t="shared" si="20"/>
        <v>8521.1451527896334</v>
      </c>
      <c r="W175" s="208" t="s">
        <v>152</v>
      </c>
      <c r="X175" s="1485"/>
      <c r="Y175" s="1485"/>
      <c r="Z175" s="1485"/>
      <c r="AA175" s="1485"/>
      <c r="AB175" s="1485"/>
      <c r="AC175" s="1485"/>
      <c r="AD175" s="1485"/>
      <c r="AE175" s="1485"/>
      <c r="AF175" s="1485"/>
      <c r="AG175" s="1388" t="s">
        <v>22</v>
      </c>
      <c r="AH175" s="1485"/>
      <c r="AI175" s="1485"/>
      <c r="AJ175" s="1388" t="str">
        <f>+IF(V175="","",IF(V175&gt;=[10]PARÁMETROS!$D$5,"CUMPLE","NO CUMPLE"))</f>
        <v>CUMPLE</v>
      </c>
      <c r="AK175" s="97"/>
    </row>
    <row r="176" spans="1:37" ht="48" thickBot="1">
      <c r="A176" s="1612"/>
      <c r="B176" s="1510"/>
      <c r="C176" s="19" t="s">
        <v>626</v>
      </c>
      <c r="D176" s="170">
        <v>283</v>
      </c>
      <c r="E176" s="101" t="str">
        <f>+IFERROR(INDEX([4]CONSOLIDADO!$D$4:$D$108,MATCH('Concur - Exp. General'!C176,[4]CONSOLIDADO!$C$4:$C$108,0)),"")</f>
        <v>ARDANUY COLOMBIA S.A.S.</v>
      </c>
      <c r="F176" s="300" t="s">
        <v>1922</v>
      </c>
      <c r="G176" s="301" t="s">
        <v>1923</v>
      </c>
      <c r="H176" s="1388" t="s">
        <v>22</v>
      </c>
      <c r="I176" s="1388" t="s">
        <v>22</v>
      </c>
      <c r="J176" s="302">
        <v>0.5</v>
      </c>
      <c r="K176" s="303">
        <v>37834</v>
      </c>
      <c r="L176" s="304">
        <v>39447</v>
      </c>
      <c r="M176" s="26">
        <f t="shared" si="18"/>
        <v>2007</v>
      </c>
      <c r="N176" s="27">
        <f>+IFERROR(INDEX([10]PARÁMETROS!$B$11:$B$37,MATCH(M176,[10]PARÁMETROS!$A$11:$A$37,0)),"")</f>
        <v>433700</v>
      </c>
      <c r="O176" s="28">
        <v>2365518.39</v>
      </c>
      <c r="P176" s="29" t="s">
        <v>142</v>
      </c>
      <c r="Q176" s="19">
        <v>1.4718500000000001</v>
      </c>
      <c r="R176" s="30">
        <f>+Q176*O176</f>
        <v>3481688.2423215006</v>
      </c>
      <c r="S176" s="31">
        <v>2014.76</v>
      </c>
      <c r="T176" s="27">
        <f>IF(S176&lt;&gt;"",R176*S176,"")</f>
        <v>7014766203.0996666</v>
      </c>
      <c r="U176" s="16">
        <f t="shared" si="19"/>
        <v>16174.236115055723</v>
      </c>
      <c r="V176" s="16">
        <f t="shared" si="20"/>
        <v>8087.1180575278613</v>
      </c>
      <c r="W176" s="208">
        <v>89</v>
      </c>
      <c r="X176" s="1485" t="s">
        <v>22</v>
      </c>
      <c r="Y176" s="1485"/>
      <c r="Z176" s="1485"/>
      <c r="AA176" s="1485" t="s">
        <v>22</v>
      </c>
      <c r="AB176" s="1485"/>
      <c r="AC176" s="1485"/>
      <c r="AD176" s="1485" t="s">
        <v>22</v>
      </c>
      <c r="AE176" s="1485"/>
      <c r="AF176" s="1485"/>
      <c r="AG176" s="1388" t="s">
        <v>22</v>
      </c>
      <c r="AH176" s="1485"/>
      <c r="AI176" s="1485"/>
      <c r="AJ176" s="1388" t="str">
        <f>+IF(V176="","",IF(V176&gt;=[10]PARÁMETROS!$D$5,"CUMPLE","NO CUMPLE"))</f>
        <v>CUMPLE</v>
      </c>
      <c r="AK176" s="97"/>
    </row>
    <row r="177" spans="1:37" ht="60.75" thickBot="1">
      <c r="A177" s="1612"/>
      <c r="B177" s="1510"/>
      <c r="C177" s="19" t="s">
        <v>626</v>
      </c>
      <c r="D177" s="170">
        <v>288</v>
      </c>
      <c r="E177" s="101" t="str">
        <f>+IFERROR(INDEX([4]CONSOLIDADO!$D$4:$D$108,MATCH('Concur - Exp. General'!C177,[4]CONSOLIDADO!$C$4:$C$108,0)),"")</f>
        <v>ARDANUY COLOMBIA S.A.S.</v>
      </c>
      <c r="F177" s="300" t="s">
        <v>1924</v>
      </c>
      <c r="G177" s="301" t="s">
        <v>1925</v>
      </c>
      <c r="H177" s="1388" t="s">
        <v>22</v>
      </c>
      <c r="I177" s="1388" t="s">
        <v>22</v>
      </c>
      <c r="J177" s="302">
        <v>0.4</v>
      </c>
      <c r="K177" s="303">
        <v>40086</v>
      </c>
      <c r="L177" s="304">
        <v>41274</v>
      </c>
      <c r="M177" s="26">
        <f t="shared" si="18"/>
        <v>2012</v>
      </c>
      <c r="N177" s="27">
        <f>+IFERROR(INDEX([10]PARÁMETROS!$B$11:$B$37,MATCH(M177,[10]PARÁMETROS!$A$11:$A$37,0)),"")</f>
        <v>566700</v>
      </c>
      <c r="O177" s="28">
        <v>3543533.87</v>
      </c>
      <c r="P177" s="29" t="s">
        <v>142</v>
      </c>
      <c r="Q177" s="19">
        <v>1.32148</v>
      </c>
      <c r="R177" s="30">
        <f>+Q177*O177</f>
        <v>4682709.1385276001</v>
      </c>
      <c r="S177" s="31">
        <v>1768.23</v>
      </c>
      <c r="T177" s="27">
        <f>IF(S177&lt;&gt;"",R177*S177,"")</f>
        <v>8280106780.0186586</v>
      </c>
      <c r="U177" s="16">
        <f t="shared" si="19"/>
        <v>14611.09366511145</v>
      </c>
      <c r="V177" s="16">
        <f t="shared" si="20"/>
        <v>5844.4374660445801</v>
      </c>
      <c r="W177" s="208">
        <v>102</v>
      </c>
      <c r="X177" s="1485" t="s">
        <v>22</v>
      </c>
      <c r="Y177" s="1485"/>
      <c r="Z177" s="1485"/>
      <c r="AA177" s="1485" t="s">
        <v>22</v>
      </c>
      <c r="AB177" s="1485"/>
      <c r="AC177" s="1485"/>
      <c r="AD177" s="1485" t="s">
        <v>22</v>
      </c>
      <c r="AE177" s="1485"/>
      <c r="AF177" s="1485"/>
      <c r="AG177" s="1388" t="s">
        <v>22</v>
      </c>
      <c r="AH177" s="1485"/>
      <c r="AI177" s="1485"/>
      <c r="AJ177" s="1388" t="str">
        <f>+IF(V177="","",IF(V177&gt;=[10]PARÁMETROS!$D$5,"CUMPLE","NO CUMPLE"))</f>
        <v>CUMPLE</v>
      </c>
      <c r="AK177" s="97"/>
    </row>
    <row r="178" spans="1:37" ht="75.75" thickBot="1">
      <c r="A178" s="1612"/>
      <c r="B178" s="1510"/>
      <c r="C178" s="19" t="s">
        <v>1926</v>
      </c>
      <c r="D178" s="170">
        <v>293</v>
      </c>
      <c r="E178" s="101" t="str">
        <f>+IFERROR(INDEX([4]CONSOLIDADO!$D$4:$D$108,MATCH('Concur - Exp. General'!C178,[4]CONSOLIDADO!$C$4:$C$108,0)),"")</f>
        <v>GNC INGENIERIA S.A.S.</v>
      </c>
      <c r="F178" s="300" t="s">
        <v>448</v>
      </c>
      <c r="G178" s="305" t="s">
        <v>1927</v>
      </c>
      <c r="H178" s="1388" t="s">
        <v>22</v>
      </c>
      <c r="I178" s="1388" t="s">
        <v>22</v>
      </c>
      <c r="J178" s="302">
        <v>1</v>
      </c>
      <c r="K178" s="304">
        <v>41686</v>
      </c>
      <c r="L178" s="304">
        <v>42160</v>
      </c>
      <c r="M178" s="26">
        <f t="shared" si="18"/>
        <v>2015</v>
      </c>
      <c r="N178" s="27">
        <f>+IFERROR(INDEX([10]PARÁMETROS!$B$11:$B$37,MATCH(M178,[10]PARÁMETROS!$A$11:$A$37,0)),"")</f>
        <v>644350</v>
      </c>
      <c r="O178" s="28">
        <v>1686799414</v>
      </c>
      <c r="P178" s="29" t="s">
        <v>151</v>
      </c>
      <c r="Q178" s="19" t="s">
        <v>140</v>
      </c>
      <c r="R178" s="30" t="s">
        <v>140</v>
      </c>
      <c r="S178" s="31">
        <v>1</v>
      </c>
      <c r="T178" s="27">
        <f t="shared" si="21"/>
        <v>1686799414</v>
      </c>
      <c r="U178" s="16">
        <f t="shared" si="19"/>
        <v>2617.831014200357</v>
      </c>
      <c r="V178" s="16">
        <f t="shared" si="20"/>
        <v>2617.831014200357</v>
      </c>
      <c r="W178" s="208">
        <v>229</v>
      </c>
      <c r="X178" s="1485" t="s">
        <v>22</v>
      </c>
      <c r="Y178" s="1485"/>
      <c r="Z178" s="1485"/>
      <c r="AA178" s="1485" t="s">
        <v>22</v>
      </c>
      <c r="AB178" s="1485"/>
      <c r="AC178" s="1485"/>
      <c r="AD178" s="1485" t="s">
        <v>22</v>
      </c>
      <c r="AE178" s="1485"/>
      <c r="AF178" s="1485"/>
      <c r="AG178" s="1388" t="s">
        <v>22</v>
      </c>
      <c r="AH178" s="1485"/>
      <c r="AI178" s="1485"/>
      <c r="AJ178" s="1388" t="str">
        <f>+IF(V178="","",IF(V178&gt;=[10]PARÁMETROS!$D$5,"CUMPLE","NO CUMPLE"))</f>
        <v>CUMPLE</v>
      </c>
      <c r="AK178" s="97"/>
    </row>
    <row r="179" spans="1:37" ht="114.75" thickBot="1">
      <c r="A179" s="1612"/>
      <c r="B179" s="1509" t="s">
        <v>1928</v>
      </c>
      <c r="C179" s="81" t="s">
        <v>631</v>
      </c>
      <c r="D179" s="169">
        <v>236</v>
      </c>
      <c r="E179" s="101" t="str">
        <f>+IFERROR(INDEX([4]CONSOLIDADO!$D$4:$D$108,MATCH('Concur - Exp. General'!C179,[4]CONSOLIDADO!$C$4:$C$108,0)),"")</f>
        <v>ETA S.A.</v>
      </c>
      <c r="F179" s="84" t="s">
        <v>1929</v>
      </c>
      <c r="G179" s="85" t="s">
        <v>1930</v>
      </c>
      <c r="H179" s="1393" t="s">
        <v>22</v>
      </c>
      <c r="I179" s="1393" t="s">
        <v>22</v>
      </c>
      <c r="J179" s="86">
        <v>0.5</v>
      </c>
      <c r="K179" s="87">
        <v>39004</v>
      </c>
      <c r="L179" s="87">
        <v>39667</v>
      </c>
      <c r="M179" s="88">
        <f t="shared" si="18"/>
        <v>2008</v>
      </c>
      <c r="N179" s="89">
        <f>+IFERROR(INDEX([10]PARÁMETROS!$B$11:$B$37,MATCH(M179,[10]PARÁMETROS!$A$11:$A$37,0)),"")</f>
        <v>461500</v>
      </c>
      <c r="O179" s="90">
        <v>3848051306</v>
      </c>
      <c r="P179" s="91" t="s">
        <v>151</v>
      </c>
      <c r="Q179" s="81" t="s">
        <v>140</v>
      </c>
      <c r="R179" s="92" t="s">
        <v>140</v>
      </c>
      <c r="S179" s="93">
        <v>1</v>
      </c>
      <c r="T179" s="89">
        <f t="shared" si="21"/>
        <v>3848051306</v>
      </c>
      <c r="U179" s="94">
        <f t="shared" si="19"/>
        <v>8338.13934127844</v>
      </c>
      <c r="V179" s="94">
        <f t="shared" si="20"/>
        <v>4169.06967063922</v>
      </c>
      <c r="W179" s="94">
        <v>32</v>
      </c>
      <c r="X179" s="1484" t="s">
        <v>129</v>
      </c>
      <c r="Y179" s="1484"/>
      <c r="Z179" s="1484"/>
      <c r="AA179" s="1484" t="s">
        <v>22</v>
      </c>
      <c r="AB179" s="1484"/>
      <c r="AC179" s="1484"/>
      <c r="AD179" s="1484" t="s">
        <v>22</v>
      </c>
      <c r="AE179" s="1484"/>
      <c r="AF179" s="1484"/>
      <c r="AG179" s="1393" t="s">
        <v>22</v>
      </c>
      <c r="AH179" s="1484" t="str">
        <f>IF(V179="","",IF(SUM(V179:V184)&gt;=[10]PARÁMETROS!$H$5,"CUMPLE","NO CUMPLE"))</f>
        <v>CUMPLE</v>
      </c>
      <c r="AI179" s="1484" t="str">
        <f>IF(V179="","",IF(V179+V180+V181+V182&gt;=[10]PARÁMETROS!$F$5,"CUMPLE","NO CUMPLE"))</f>
        <v>CUMPLE</v>
      </c>
      <c r="AJ179" s="1393" t="str">
        <f>+IF(V179="","",IF(V179&gt;=[10]PARÁMETROS!$D$5,"CUMPLE","NO CUMPLE"))</f>
        <v>CUMPLE</v>
      </c>
      <c r="AK179" s="96"/>
    </row>
    <row r="180" spans="1:37" ht="43.5" thickBot="1">
      <c r="A180" s="1612"/>
      <c r="B180" s="1510"/>
      <c r="C180" s="19" t="s">
        <v>631</v>
      </c>
      <c r="D180" s="170">
        <v>247</v>
      </c>
      <c r="E180" s="101" t="str">
        <f>+IFERROR(INDEX([4]CONSOLIDADO!$D$4:$D$108,MATCH('Concur - Exp. General'!C180,[4]CONSOLIDADO!$C$4:$C$108,0)),"")</f>
        <v>ETA S.A.</v>
      </c>
      <c r="F180" s="22" t="s">
        <v>965</v>
      </c>
      <c r="G180" s="23" t="s">
        <v>1931</v>
      </c>
      <c r="H180" s="1388" t="s">
        <v>22</v>
      </c>
      <c r="I180" s="1388" t="s">
        <v>22</v>
      </c>
      <c r="J180" s="24">
        <v>0.33</v>
      </c>
      <c r="K180" s="25">
        <v>40368</v>
      </c>
      <c r="L180" s="25">
        <v>42094</v>
      </c>
      <c r="M180" s="26">
        <f t="shared" si="18"/>
        <v>2015</v>
      </c>
      <c r="N180" s="27">
        <f>+IFERROR(INDEX([10]PARÁMETROS!$B$11:$B$37,MATCH(M180,[10]PARÁMETROS!$A$11:$A$37,0)),"")</f>
        <v>644350</v>
      </c>
      <c r="O180" s="28">
        <v>10689723675</v>
      </c>
      <c r="P180" s="29" t="s">
        <v>151</v>
      </c>
      <c r="Q180" s="19" t="s">
        <v>140</v>
      </c>
      <c r="R180" s="30" t="s">
        <v>140</v>
      </c>
      <c r="S180" s="31">
        <v>1</v>
      </c>
      <c r="T180" s="27">
        <f t="shared" si="21"/>
        <v>10689723675</v>
      </c>
      <c r="U180" s="16">
        <f t="shared" si="19"/>
        <v>16589.933537673624</v>
      </c>
      <c r="V180" s="16">
        <f t="shared" si="20"/>
        <v>5474.6780674322963</v>
      </c>
      <c r="W180" s="16">
        <v>123</v>
      </c>
      <c r="X180" s="1485" t="s">
        <v>129</v>
      </c>
      <c r="Y180" s="1485"/>
      <c r="Z180" s="1485"/>
      <c r="AA180" s="1485" t="s">
        <v>22</v>
      </c>
      <c r="AB180" s="1485"/>
      <c r="AC180" s="1485"/>
      <c r="AD180" s="1485" t="s">
        <v>22</v>
      </c>
      <c r="AE180" s="1485"/>
      <c r="AF180" s="1485"/>
      <c r="AG180" s="1388" t="s">
        <v>22</v>
      </c>
      <c r="AH180" s="1485"/>
      <c r="AI180" s="1485"/>
      <c r="AJ180" s="1388" t="str">
        <f>+IF(V180="","",IF(V180&gt;=[10]PARÁMETROS!$D$5,"CUMPLE","NO CUMPLE"))</f>
        <v>CUMPLE</v>
      </c>
      <c r="AK180" s="97"/>
    </row>
    <row r="181" spans="1:37" ht="86.25" thickBot="1">
      <c r="A181" s="1612"/>
      <c r="B181" s="1510"/>
      <c r="C181" s="19" t="s">
        <v>631</v>
      </c>
      <c r="D181" s="170">
        <v>254</v>
      </c>
      <c r="E181" s="101" t="str">
        <f>+IFERROR(INDEX([4]CONSOLIDADO!$D$4:$D$108,MATCH('Concur - Exp. General'!C181,[4]CONSOLIDADO!$C$4:$C$108,0)),"")</f>
        <v>ETA S.A.</v>
      </c>
      <c r="F181" s="37" t="s">
        <v>1929</v>
      </c>
      <c r="G181" s="23" t="s">
        <v>1932</v>
      </c>
      <c r="H181" s="1388" t="s">
        <v>22</v>
      </c>
      <c r="I181" s="1388" t="s">
        <v>22</v>
      </c>
      <c r="J181" s="38">
        <v>0.5</v>
      </c>
      <c r="K181" s="25">
        <v>38754</v>
      </c>
      <c r="L181" s="25">
        <v>39682</v>
      </c>
      <c r="M181" s="26">
        <f t="shared" si="18"/>
        <v>2008</v>
      </c>
      <c r="N181" s="27">
        <f>+IFERROR(INDEX([10]PARÁMETROS!$B$11:$B$37,MATCH(M181,[10]PARÁMETROS!$A$11:$A$37,0)),"")</f>
        <v>461500</v>
      </c>
      <c r="O181" s="28">
        <v>3406916680</v>
      </c>
      <c r="P181" s="29" t="s">
        <v>151</v>
      </c>
      <c r="Q181" s="19" t="s">
        <v>140</v>
      </c>
      <c r="R181" s="30" t="s">
        <v>140</v>
      </c>
      <c r="S181" s="31">
        <v>1</v>
      </c>
      <c r="T181" s="27">
        <f t="shared" si="21"/>
        <v>3406916680</v>
      </c>
      <c r="U181" s="16">
        <f t="shared" si="19"/>
        <v>7382.267995666306</v>
      </c>
      <c r="V181" s="16">
        <f t="shared" si="20"/>
        <v>3691.133997833153</v>
      </c>
      <c r="W181" s="16">
        <v>76</v>
      </c>
      <c r="X181" s="1485" t="s">
        <v>22</v>
      </c>
      <c r="Y181" s="1485"/>
      <c r="Z181" s="1485"/>
      <c r="AA181" s="1485" t="s">
        <v>22</v>
      </c>
      <c r="AB181" s="1485"/>
      <c r="AC181" s="1485"/>
      <c r="AD181" s="1485" t="s">
        <v>22</v>
      </c>
      <c r="AE181" s="1485"/>
      <c r="AF181" s="1485"/>
      <c r="AG181" s="1388" t="s">
        <v>22</v>
      </c>
      <c r="AH181" s="1485"/>
      <c r="AI181" s="1485"/>
      <c r="AJ181" s="1388" t="str">
        <f>+IF(V181="","",IF(V181&gt;=[10]PARÁMETROS!$D$5,"CUMPLE","NO CUMPLE"))</f>
        <v>CUMPLE</v>
      </c>
      <c r="AK181" s="121"/>
    </row>
    <row r="182" spans="1:37" ht="57.75" thickBot="1">
      <c r="A182" s="1612"/>
      <c r="B182" s="1510"/>
      <c r="C182" s="19" t="s">
        <v>631</v>
      </c>
      <c r="D182" s="170">
        <v>264</v>
      </c>
      <c r="E182" s="101" t="str">
        <f>+IFERROR(INDEX([4]CONSOLIDADO!$D$4:$D$108,MATCH('Concur - Exp. General'!C182,[4]CONSOLIDADO!$C$4:$C$108,0)),"")</f>
        <v>ETA S.A.</v>
      </c>
      <c r="F182" s="22" t="s">
        <v>448</v>
      </c>
      <c r="G182" s="23" t="s">
        <v>1933</v>
      </c>
      <c r="H182" s="1388" t="s">
        <v>22</v>
      </c>
      <c r="I182" s="1388" t="s">
        <v>22</v>
      </c>
      <c r="J182" s="39">
        <v>1</v>
      </c>
      <c r="K182" s="40">
        <v>39211</v>
      </c>
      <c r="L182" s="41">
        <v>40227</v>
      </c>
      <c r="M182" s="26">
        <f t="shared" si="18"/>
        <v>2010</v>
      </c>
      <c r="N182" s="159">
        <f>+IFERROR(INDEX([10]PARÁMETROS!$B$11:$B$37,MATCH(M182,[10]PARÁMETROS!$A$11:$A$37,0)),"")</f>
        <v>515000</v>
      </c>
      <c r="O182" s="161">
        <v>4313621278</v>
      </c>
      <c r="P182" s="161" t="s">
        <v>151</v>
      </c>
      <c r="Q182" s="161" t="s">
        <v>140</v>
      </c>
      <c r="R182" s="161" t="s">
        <v>140</v>
      </c>
      <c r="S182" s="31">
        <v>1</v>
      </c>
      <c r="T182" s="159">
        <f t="shared" si="21"/>
        <v>4313621278</v>
      </c>
      <c r="U182" s="164">
        <f t="shared" si="19"/>
        <v>8375.9636466019419</v>
      </c>
      <c r="V182" s="164">
        <f t="shared" si="20"/>
        <v>8375.9636466019419</v>
      </c>
      <c r="W182" s="42">
        <v>32</v>
      </c>
      <c r="X182" s="1485" t="s">
        <v>129</v>
      </c>
      <c r="Y182" s="1485"/>
      <c r="Z182" s="1485"/>
      <c r="AA182" s="1485" t="s">
        <v>22</v>
      </c>
      <c r="AB182" s="1485"/>
      <c r="AC182" s="1485"/>
      <c r="AD182" s="1485" t="s">
        <v>22</v>
      </c>
      <c r="AE182" s="1485"/>
      <c r="AF182" s="1485"/>
      <c r="AG182" s="1388" t="s">
        <v>22</v>
      </c>
      <c r="AH182" s="1485"/>
      <c r="AI182" s="1485"/>
      <c r="AJ182" s="1388" t="str">
        <f>+IF(V182="","",IF(V182&gt;=[10]PARÁMETROS!$D$5,"CUMPLE","NO CUMPLE"))</f>
        <v>CUMPLE</v>
      </c>
      <c r="AK182" s="97"/>
    </row>
    <row r="183" spans="1:37" ht="114.75" thickBot="1">
      <c r="A183" s="1612"/>
      <c r="B183" s="1510"/>
      <c r="C183" s="19" t="s">
        <v>638</v>
      </c>
      <c r="D183" s="170">
        <v>236</v>
      </c>
      <c r="E183" s="101" t="str">
        <f>+IFERROR(INDEX([4]CONSOLIDADO!$D$4:$D$108,MATCH('Concur - Exp. General'!C183,[4]CONSOLIDADO!$C$4:$C$108,0)),"")</f>
        <v>INTERPRO S.A.S.</v>
      </c>
      <c r="F183" s="22" t="s">
        <v>1929</v>
      </c>
      <c r="G183" s="72" t="s">
        <v>1930</v>
      </c>
      <c r="H183" s="1388" t="s">
        <v>22</v>
      </c>
      <c r="I183" s="1388" t="s">
        <v>22</v>
      </c>
      <c r="J183" s="24">
        <v>0.5</v>
      </c>
      <c r="K183" s="25">
        <v>39004</v>
      </c>
      <c r="L183" s="25">
        <v>39667</v>
      </c>
      <c r="M183" s="26">
        <f t="shared" si="18"/>
        <v>2008</v>
      </c>
      <c r="N183" s="27">
        <f>+IFERROR(INDEX([10]PARÁMETROS!$B$11:$B$37,MATCH(M183,[10]PARÁMETROS!$A$11:$A$37,0)),"")</f>
        <v>461500</v>
      </c>
      <c r="O183" s="28">
        <v>3848051306</v>
      </c>
      <c r="P183" s="29" t="s">
        <v>151</v>
      </c>
      <c r="Q183" s="19" t="s">
        <v>140</v>
      </c>
      <c r="R183" s="30" t="s">
        <v>140</v>
      </c>
      <c r="S183" s="31">
        <v>1</v>
      </c>
      <c r="T183" s="27">
        <f>IF(S183&lt;&gt;"",O183*S183,"")</f>
        <v>3848051306</v>
      </c>
      <c r="U183" s="16">
        <f>+IFERROR(T183/N183,"")</f>
        <v>8338.13934127844</v>
      </c>
      <c r="V183" s="16">
        <f>IFERROR(U183*J183,"")</f>
        <v>4169.06967063922</v>
      </c>
      <c r="W183" s="16">
        <v>161</v>
      </c>
      <c r="X183" s="1485" t="s">
        <v>129</v>
      </c>
      <c r="Y183" s="1485"/>
      <c r="Z183" s="1485"/>
      <c r="AA183" s="1485" t="s">
        <v>22</v>
      </c>
      <c r="AB183" s="1485"/>
      <c r="AC183" s="1485"/>
      <c r="AD183" s="1485" t="s">
        <v>22</v>
      </c>
      <c r="AE183" s="1485"/>
      <c r="AF183" s="1485"/>
      <c r="AG183" s="1388" t="s">
        <v>22</v>
      </c>
      <c r="AH183" s="1485"/>
      <c r="AI183" s="1485"/>
      <c r="AJ183" s="1388" t="str">
        <f>+IF(V183="","",IF(V183&gt;=[10]PARÁMETROS!$D$5,"CUMPLE","NO CUMPLE"))</f>
        <v>CUMPLE</v>
      </c>
      <c r="AK183" s="97"/>
    </row>
    <row r="184" spans="1:37" ht="43.5" thickBot="1">
      <c r="A184" s="1612"/>
      <c r="B184" s="1511"/>
      <c r="C184" s="99" t="s">
        <v>638</v>
      </c>
      <c r="D184" s="178">
        <v>247</v>
      </c>
      <c r="E184" s="101" t="str">
        <f>+IFERROR(INDEX([4]CONSOLIDADO!$D$4:$D$108,MATCH('Concur - Exp. General'!C184,[4]CONSOLIDADO!$C$4:$C$108,0)),"")</f>
        <v>INTERPRO S.A.S.</v>
      </c>
      <c r="F184" s="102" t="s">
        <v>965</v>
      </c>
      <c r="G184" s="23" t="s">
        <v>1931</v>
      </c>
      <c r="H184" s="1392" t="s">
        <v>22</v>
      </c>
      <c r="I184" s="1392" t="s">
        <v>22</v>
      </c>
      <c r="J184" s="24">
        <v>0.33</v>
      </c>
      <c r="K184" s="25">
        <v>40368</v>
      </c>
      <c r="L184" s="25">
        <v>42094</v>
      </c>
      <c r="M184" s="26">
        <f>IF(L184="","",YEAR(L184))</f>
        <v>2015</v>
      </c>
      <c r="N184" s="27">
        <f>+IFERROR(INDEX([10]PARÁMETROS!$B$11:$B$37,MATCH(M184,[10]PARÁMETROS!$A$11:$A$37,0)),"")</f>
        <v>644350</v>
      </c>
      <c r="O184" s="28">
        <v>10689723675</v>
      </c>
      <c r="P184" s="29" t="s">
        <v>151</v>
      </c>
      <c r="Q184" s="19" t="s">
        <v>140</v>
      </c>
      <c r="R184" s="30" t="s">
        <v>140</v>
      </c>
      <c r="S184" s="31">
        <v>1</v>
      </c>
      <c r="T184" s="27">
        <f>IF(S184&lt;&gt;"",O184*S184,"")</f>
        <v>10689723675</v>
      </c>
      <c r="U184" s="16">
        <f>+IFERROR(T184/N184,"")</f>
        <v>16589.933537673624</v>
      </c>
      <c r="V184" s="16">
        <f>IFERROR(U184*J184,"")</f>
        <v>5474.6780674322963</v>
      </c>
      <c r="W184" s="112">
        <v>189</v>
      </c>
      <c r="X184" s="1486" t="s">
        <v>129</v>
      </c>
      <c r="Y184" s="1486"/>
      <c r="Z184" s="1486"/>
      <c r="AA184" s="1486" t="s">
        <v>22</v>
      </c>
      <c r="AB184" s="1486"/>
      <c r="AC184" s="1486"/>
      <c r="AD184" s="1486" t="s">
        <v>22</v>
      </c>
      <c r="AE184" s="1486"/>
      <c r="AF184" s="1486"/>
      <c r="AG184" s="1392" t="s">
        <v>22</v>
      </c>
      <c r="AH184" s="1486"/>
      <c r="AI184" s="1486"/>
      <c r="AJ184" s="1392" t="str">
        <f>+IF(V184="","",IF(V184&gt;=[10]PARÁMETROS!$D$5,"CUMPLE","NO CUMPLE"))</f>
        <v>CUMPLE</v>
      </c>
      <c r="AK184" s="113"/>
    </row>
    <row r="185" spans="1:37" ht="57.75" thickBot="1">
      <c r="A185" s="1612"/>
      <c r="B185" s="1509" t="s">
        <v>1934</v>
      </c>
      <c r="C185" s="81" t="s">
        <v>653</v>
      </c>
      <c r="D185" s="169">
        <v>148</v>
      </c>
      <c r="E185" s="101" t="str">
        <f>+IFERROR(INDEX([4]CONSOLIDADO!$D$4:$D$108,MATCH('Concur - Exp. General'!C185,[4]CONSOLIDADO!$C$4:$C$108,0)),"")</f>
        <v>DICONSULTORIA S.A.</v>
      </c>
      <c r="F185" s="84" t="s">
        <v>1935</v>
      </c>
      <c r="G185" s="85" t="s">
        <v>1936</v>
      </c>
      <c r="H185" s="1393" t="s">
        <v>22</v>
      </c>
      <c r="I185" s="1393" t="s">
        <v>22</v>
      </c>
      <c r="J185" s="86">
        <v>1</v>
      </c>
      <c r="K185" s="87">
        <v>38762</v>
      </c>
      <c r="L185" s="87">
        <v>39710</v>
      </c>
      <c r="M185" s="88">
        <f t="shared" si="18"/>
        <v>2008</v>
      </c>
      <c r="N185" s="89">
        <f>+IFERROR(INDEX([10]PARÁMETROS!$B$11:$B$37,MATCH(M185,[10]PARÁMETROS!$A$11:$A$37,0)),"")</f>
        <v>461500</v>
      </c>
      <c r="O185" s="90">
        <v>3635481658</v>
      </c>
      <c r="P185" s="91" t="s">
        <v>151</v>
      </c>
      <c r="Q185" s="81" t="s">
        <v>140</v>
      </c>
      <c r="R185" s="92" t="s">
        <v>140</v>
      </c>
      <c r="S185" s="93">
        <v>1</v>
      </c>
      <c r="T185" s="89">
        <f t="shared" si="21"/>
        <v>3635481658</v>
      </c>
      <c r="U185" s="94">
        <f t="shared" si="19"/>
        <v>7877.5333867822319</v>
      </c>
      <c r="V185" s="94">
        <f t="shared" si="20"/>
        <v>7877.5333867822319</v>
      </c>
      <c r="W185" s="94">
        <v>37</v>
      </c>
      <c r="X185" s="1484" t="s">
        <v>22</v>
      </c>
      <c r="Y185" s="1484"/>
      <c r="Z185" s="1484"/>
      <c r="AA185" s="1484" t="s">
        <v>22</v>
      </c>
      <c r="AB185" s="1484"/>
      <c r="AC185" s="1484"/>
      <c r="AD185" s="1484" t="s">
        <v>22</v>
      </c>
      <c r="AE185" s="1484"/>
      <c r="AF185" s="1484"/>
      <c r="AG185" s="1393" t="s">
        <v>22</v>
      </c>
      <c r="AH185" s="1484" t="str">
        <f>IF(V185="","",IF(SUM(V185:V188)&gt;=[10]PARÁMETROS!$H$5,"CUMPLE","NO CUMPLE"))</f>
        <v>CUMPLE</v>
      </c>
      <c r="AI185" s="1484" t="str">
        <f>IF(V185="","",IF(V185+V186&gt;=[10]PARÁMETROS!$F$5,"CUMPLE","NO CUMPLE"))</f>
        <v>CUMPLE</v>
      </c>
      <c r="AJ185" s="1393" t="str">
        <f>+IF(V185="","",IF(V185&gt;=[10]PARÁMETROS!$D$5,"CUMPLE","NO CUMPLE"))</f>
        <v>CUMPLE</v>
      </c>
      <c r="AK185" s="96"/>
    </row>
    <row r="186" spans="1:37" ht="100.5" thickBot="1">
      <c r="A186" s="1612"/>
      <c r="B186" s="1510"/>
      <c r="C186" s="19" t="s">
        <v>653</v>
      </c>
      <c r="D186" s="170">
        <v>153</v>
      </c>
      <c r="E186" s="101" t="str">
        <f>+IFERROR(INDEX([4]CONSOLIDADO!$D$4:$D$108,MATCH('Concur - Exp. General'!C186,[4]CONSOLIDADO!$C$4:$C$108,0)),"")</f>
        <v>DICONSULTORIA S.A.</v>
      </c>
      <c r="F186" s="22" t="s">
        <v>1937</v>
      </c>
      <c r="G186" s="23" t="s">
        <v>1938</v>
      </c>
      <c r="H186" s="1388" t="s">
        <v>22</v>
      </c>
      <c r="I186" s="1388" t="s">
        <v>22</v>
      </c>
      <c r="J186" s="24">
        <v>1</v>
      </c>
      <c r="K186" s="25">
        <v>37956</v>
      </c>
      <c r="L186" s="25">
        <v>39051</v>
      </c>
      <c r="M186" s="26">
        <f t="shared" si="18"/>
        <v>2006</v>
      </c>
      <c r="N186" s="27">
        <f>+IFERROR(INDEX([10]PARÁMETROS!$B$11:$B$37,MATCH(M186,[10]PARÁMETROS!$A$11:$A$37,0)),"")</f>
        <v>408000</v>
      </c>
      <c r="O186" s="28">
        <v>2387827695</v>
      </c>
      <c r="P186" s="29" t="s">
        <v>151</v>
      </c>
      <c r="Q186" s="19" t="s">
        <v>140</v>
      </c>
      <c r="R186" s="30" t="s">
        <v>140</v>
      </c>
      <c r="S186" s="31">
        <v>1</v>
      </c>
      <c r="T186" s="27">
        <f t="shared" si="21"/>
        <v>2387827695</v>
      </c>
      <c r="U186" s="16">
        <f t="shared" si="19"/>
        <v>5852.518860294118</v>
      </c>
      <c r="V186" s="16">
        <f t="shared" si="20"/>
        <v>5852.518860294118</v>
      </c>
      <c r="W186" s="16">
        <v>47</v>
      </c>
      <c r="X186" s="1485" t="s">
        <v>22</v>
      </c>
      <c r="Y186" s="1485"/>
      <c r="Z186" s="1485"/>
      <c r="AA186" s="1485" t="s">
        <v>22</v>
      </c>
      <c r="AB186" s="1485"/>
      <c r="AC186" s="1485"/>
      <c r="AD186" s="1485" t="s">
        <v>22</v>
      </c>
      <c r="AE186" s="1485"/>
      <c r="AF186" s="1485"/>
      <c r="AG186" s="1388" t="s">
        <v>22</v>
      </c>
      <c r="AH186" s="1485"/>
      <c r="AI186" s="1485"/>
      <c r="AJ186" s="1388" t="str">
        <f>+IF(V186="","",IF(V186&gt;=[10]PARÁMETROS!$D$5,"CUMPLE","NO CUMPLE"))</f>
        <v>CUMPLE</v>
      </c>
      <c r="AK186" s="97"/>
    </row>
    <row r="187" spans="1:37" ht="32.25" thickBot="1">
      <c r="A187" s="1612"/>
      <c r="B187" s="1510"/>
      <c r="C187" s="19" t="s">
        <v>644</v>
      </c>
      <c r="D187" s="170">
        <v>161</v>
      </c>
      <c r="E187" s="101" t="str">
        <f>+IFERROR(INDEX([4]CONSOLIDADO!$D$4:$D$108,MATCH('Concur - Exp. General'!C187,[4]CONSOLIDADO!$C$4:$C$108,0)),"")</f>
        <v>SERINCO COLOMBIA</v>
      </c>
      <c r="F187" s="22" t="s">
        <v>214</v>
      </c>
      <c r="G187" s="23" t="s">
        <v>1939</v>
      </c>
      <c r="H187" s="1388" t="s">
        <v>22</v>
      </c>
      <c r="I187" s="1388" t="s">
        <v>22</v>
      </c>
      <c r="J187" s="24">
        <v>0.5</v>
      </c>
      <c r="K187" s="25">
        <v>37576</v>
      </c>
      <c r="L187" s="25">
        <v>38763</v>
      </c>
      <c r="M187" s="26">
        <f t="shared" si="18"/>
        <v>2006</v>
      </c>
      <c r="N187" s="27">
        <f>+IFERROR(INDEX([10]PARÁMETROS!$B$11:$B$37,MATCH(M187,[10]PARÁMETROS!$A$11:$A$37,0)),"")</f>
        <v>408000</v>
      </c>
      <c r="O187" s="28">
        <v>2212803.58</v>
      </c>
      <c r="P187" s="29" t="s">
        <v>142</v>
      </c>
      <c r="Q187" s="19">
        <v>1.19011</v>
      </c>
      <c r="R187" s="30">
        <f>+Q187*O187</f>
        <v>2633479.6685938002</v>
      </c>
      <c r="S187" s="31">
        <v>2254.98</v>
      </c>
      <c r="T187" s="27">
        <f>IF(S187&lt;&gt;"",R187*S187,"")</f>
        <v>5938443983.0856476</v>
      </c>
      <c r="U187" s="16">
        <f t="shared" si="19"/>
        <v>14555.009762464822</v>
      </c>
      <c r="V187" s="16">
        <f t="shared" si="20"/>
        <v>7277.5048812324112</v>
      </c>
      <c r="W187" s="16">
        <v>99</v>
      </c>
      <c r="X187" s="1485" t="s">
        <v>22</v>
      </c>
      <c r="Y187" s="1485"/>
      <c r="Z187" s="1485"/>
      <c r="AA187" s="1485" t="s">
        <v>22</v>
      </c>
      <c r="AB187" s="1485"/>
      <c r="AC187" s="1485"/>
      <c r="AD187" s="1485" t="s">
        <v>22</v>
      </c>
      <c r="AE187" s="1485"/>
      <c r="AF187" s="1485"/>
      <c r="AG187" s="1388" t="s">
        <v>22</v>
      </c>
      <c r="AH187" s="1485"/>
      <c r="AI187" s="1485"/>
      <c r="AJ187" s="1388" t="str">
        <f>+IF(V187="","",IF(V187&gt;=[10]PARÁMETROS!$D$5,"CUMPLE","NO CUMPLE"))</f>
        <v>CUMPLE</v>
      </c>
      <c r="AK187" s="97"/>
    </row>
    <row r="188" spans="1:37" ht="43.5" thickBot="1">
      <c r="A188" s="1612"/>
      <c r="B188" s="1510"/>
      <c r="C188" s="19" t="s">
        <v>644</v>
      </c>
      <c r="D188" s="170">
        <v>165</v>
      </c>
      <c r="E188" s="101" t="str">
        <f>+IFERROR(INDEX([4]CONSOLIDADO!$D$4:$D$108,MATCH('Concur - Exp. General'!C188,[4]CONSOLIDADO!$C$4:$C$108,0)),"")</f>
        <v>SERINCO COLOMBIA</v>
      </c>
      <c r="F188" s="22" t="s">
        <v>214</v>
      </c>
      <c r="G188" s="23" t="s">
        <v>1940</v>
      </c>
      <c r="H188" s="1388" t="s">
        <v>22</v>
      </c>
      <c r="I188" s="1388" t="s">
        <v>22</v>
      </c>
      <c r="J188" s="24">
        <v>0.5</v>
      </c>
      <c r="K188" s="25">
        <v>36774</v>
      </c>
      <c r="L188" s="25">
        <v>37806</v>
      </c>
      <c r="M188" s="26">
        <f t="shared" si="18"/>
        <v>2003</v>
      </c>
      <c r="N188" s="27">
        <f>+IFERROR(INDEX([10]PARÁMETROS!$B$11:$B$37,MATCH(M188,[10]PARÁMETROS!$A$11:$A$37,0)),"")</f>
        <v>332000</v>
      </c>
      <c r="O188" s="28">
        <v>978371.63</v>
      </c>
      <c r="P188" s="29" t="s">
        <v>142</v>
      </c>
      <c r="Q188" s="19">
        <v>1.1494</v>
      </c>
      <c r="R188" s="30">
        <f>+Q188*O188</f>
        <v>1124540.351522</v>
      </c>
      <c r="S188" s="31">
        <v>2815.14</v>
      </c>
      <c r="T188" s="27">
        <f>IF(S188&lt;&gt;"",R188*S188,"")</f>
        <v>3165738525.1836429</v>
      </c>
      <c r="U188" s="16">
        <f t="shared" si="19"/>
        <v>9535.3570035651901</v>
      </c>
      <c r="V188" s="16">
        <f t="shared" si="20"/>
        <v>4767.678501782595</v>
      </c>
      <c r="W188" s="16">
        <v>101</v>
      </c>
      <c r="X188" s="1485" t="s">
        <v>22</v>
      </c>
      <c r="Y188" s="1485"/>
      <c r="Z188" s="1485"/>
      <c r="AA188" s="1485" t="s">
        <v>22</v>
      </c>
      <c r="AB188" s="1485"/>
      <c r="AC188" s="1485"/>
      <c r="AD188" s="1485" t="s">
        <v>22</v>
      </c>
      <c r="AE188" s="1485"/>
      <c r="AF188" s="1485"/>
      <c r="AG188" s="1388" t="s">
        <v>22</v>
      </c>
      <c r="AH188" s="1485"/>
      <c r="AI188" s="1485"/>
      <c r="AJ188" s="1388" t="str">
        <f>+IF(V188="","",IF(V188&gt;=[10]PARÁMETROS!$D$5,"CUMPLE","NO CUMPLE"))</f>
        <v>CUMPLE</v>
      </c>
      <c r="AK188" s="97"/>
    </row>
    <row r="189" spans="1:37" ht="29.25" thickBot="1">
      <c r="A189" s="1612"/>
      <c r="B189" s="1509" t="s">
        <v>1941</v>
      </c>
      <c r="C189" s="81" t="s">
        <v>1942</v>
      </c>
      <c r="D189" s="169">
        <v>309</v>
      </c>
      <c r="E189" s="101" t="str">
        <f>+IFERROR(INDEX([4]CONSOLIDADO!$D$4:$D$108,MATCH('Concur - Exp. General'!C189,[4]CONSOLIDADO!$C$4:$C$108,0)),"")</f>
        <v>SMA S.A.</v>
      </c>
      <c r="F189" s="84" t="s">
        <v>437</v>
      </c>
      <c r="G189" s="85" t="s">
        <v>1943</v>
      </c>
      <c r="H189" s="1393" t="s">
        <v>22</v>
      </c>
      <c r="I189" s="1393" t="s">
        <v>22</v>
      </c>
      <c r="J189" s="86">
        <v>0.45</v>
      </c>
      <c r="K189" s="87">
        <v>39125</v>
      </c>
      <c r="L189" s="306">
        <v>42012</v>
      </c>
      <c r="M189" s="88">
        <f t="shared" si="18"/>
        <v>2015</v>
      </c>
      <c r="N189" s="89">
        <f>+IFERROR(INDEX([11]PARÁMETROS!$B$11:$B$37,MATCH(M189,[11]PARÁMETROS!$A$11:$A$37,0)),"")</f>
        <v>644350</v>
      </c>
      <c r="O189" s="90">
        <v>15319357761</v>
      </c>
      <c r="P189" s="91" t="s">
        <v>151</v>
      </c>
      <c r="Q189" s="81" t="s">
        <v>140</v>
      </c>
      <c r="R189" s="92" t="s">
        <v>140</v>
      </c>
      <c r="S189" s="93">
        <v>1</v>
      </c>
      <c r="T189" s="89">
        <f>IF(S189&lt;&gt;"",O189*S189,"")</f>
        <v>15319357761</v>
      </c>
      <c r="U189" s="94">
        <f t="shared" si="19"/>
        <v>23774.901468146192</v>
      </c>
      <c r="V189" s="94">
        <f t="shared" si="20"/>
        <v>10698.705660665786</v>
      </c>
      <c r="W189" s="94" t="s">
        <v>152</v>
      </c>
      <c r="X189" s="1484"/>
      <c r="Y189" s="1484"/>
      <c r="Z189" s="1484"/>
      <c r="AA189" s="1484"/>
      <c r="AB189" s="1484"/>
      <c r="AC189" s="1484"/>
      <c r="AD189" s="1484"/>
      <c r="AE189" s="1484"/>
      <c r="AF189" s="1484"/>
      <c r="AG189" s="1393"/>
      <c r="AH189" s="1484" t="str">
        <f>IF(V189="","",IF(SUM(V189:V193)&gt;=[10]PARÁMETROS!$H$5,"CUMPLE","NO CUMPLE"))</f>
        <v>CUMPLE</v>
      </c>
      <c r="AI189" s="1484" t="str">
        <f>IF(V189="","",IF(V189&gt;=[10]PARÁMETROS!$F$5,"CUMPLE","NO CUMPLE"))</f>
        <v>CUMPLE</v>
      </c>
      <c r="AJ189" s="1393" t="str">
        <f>+IF(V189="","",IF(V189&gt;=[10]PARÁMETROS!$D$5,"CUMPLE","NO CUMPLE"))</f>
        <v>CUMPLE</v>
      </c>
      <c r="AK189" s="96"/>
    </row>
    <row r="190" spans="1:37" ht="57.75" thickBot="1">
      <c r="A190" s="1612"/>
      <c r="B190" s="1510"/>
      <c r="C190" s="19" t="s">
        <v>1944</v>
      </c>
      <c r="D190" s="170">
        <v>334</v>
      </c>
      <c r="E190" s="101" t="str">
        <f>+IFERROR(INDEX([4]CONSOLIDADO!$D$4:$D$108,MATCH('Concur - Exp. General'!C190,[4]CONSOLIDADO!$C$4:$C$108,0)),"")</f>
        <v>WSP SERVICIOS S.A.S.</v>
      </c>
      <c r="F190" s="22" t="s">
        <v>1910</v>
      </c>
      <c r="G190" s="23" t="s">
        <v>1945</v>
      </c>
      <c r="H190" s="1388" t="s">
        <v>22</v>
      </c>
      <c r="I190" s="1388" t="s">
        <v>22</v>
      </c>
      <c r="J190" s="24">
        <v>1</v>
      </c>
      <c r="K190" s="25">
        <v>38279</v>
      </c>
      <c r="L190" s="25">
        <v>39813</v>
      </c>
      <c r="M190" s="26">
        <f t="shared" si="18"/>
        <v>2008</v>
      </c>
      <c r="N190" s="27">
        <f>+IFERROR(INDEX([11]PARÁMETROS!$B$11:$B$37,MATCH(M190,[11]PARÁMETROS!$A$11:$A$37,0)),"")</f>
        <v>461500</v>
      </c>
      <c r="O190" s="28">
        <v>3975262277</v>
      </c>
      <c r="P190" s="29" t="s">
        <v>151</v>
      </c>
      <c r="Q190" s="19" t="s">
        <v>140</v>
      </c>
      <c r="R190" s="30" t="s">
        <v>140</v>
      </c>
      <c r="S190" s="31">
        <v>1</v>
      </c>
      <c r="T190" s="27">
        <f>IF(S190&lt;&gt;"",O190*S190,"")</f>
        <v>3975262277</v>
      </c>
      <c r="U190" s="16">
        <f t="shared" si="19"/>
        <v>8613.7860823401952</v>
      </c>
      <c r="V190" s="16">
        <f t="shared" si="20"/>
        <v>8613.7860823401952</v>
      </c>
      <c r="W190" s="16">
        <v>49</v>
      </c>
      <c r="X190" s="1485" t="s">
        <v>22</v>
      </c>
      <c r="Y190" s="1485"/>
      <c r="Z190" s="1485"/>
      <c r="AA190" s="1485" t="s">
        <v>22</v>
      </c>
      <c r="AB190" s="1485"/>
      <c r="AC190" s="1485"/>
      <c r="AD190" s="1485" t="s">
        <v>22</v>
      </c>
      <c r="AE190" s="1485"/>
      <c r="AF190" s="1485"/>
      <c r="AG190" s="1388" t="s">
        <v>22</v>
      </c>
      <c r="AH190" s="1485"/>
      <c r="AI190" s="1485"/>
      <c r="AJ190" s="1388" t="str">
        <f>+IF(V190="","",IF(V190&gt;=[10]PARÁMETROS!$D$5,"CUMPLE","NO CUMPLE"))</f>
        <v>CUMPLE</v>
      </c>
      <c r="AK190" s="97"/>
    </row>
    <row r="191" spans="1:37" ht="57.75" thickBot="1">
      <c r="A191" s="1612"/>
      <c r="B191" s="1510"/>
      <c r="C191" s="19" t="s">
        <v>1944</v>
      </c>
      <c r="D191" s="170">
        <v>338</v>
      </c>
      <c r="E191" s="101" t="str">
        <f>+IFERROR(INDEX([4]CONSOLIDADO!$D$4:$D$108,MATCH('Concur - Exp. General'!C191,[4]CONSOLIDADO!$C$4:$C$108,0)),"")</f>
        <v>WSP SERVICIOS S.A.S.</v>
      </c>
      <c r="F191" s="22" t="s">
        <v>1946</v>
      </c>
      <c r="G191" s="23" t="s">
        <v>1947</v>
      </c>
      <c r="H191" s="1388" t="s">
        <v>22</v>
      </c>
      <c r="I191" s="1388" t="s">
        <v>22</v>
      </c>
      <c r="J191" s="24">
        <v>1</v>
      </c>
      <c r="K191" s="25">
        <v>40498</v>
      </c>
      <c r="L191" s="25">
        <v>40973</v>
      </c>
      <c r="M191" s="26">
        <f t="shared" si="18"/>
        <v>2012</v>
      </c>
      <c r="N191" s="27">
        <f>+IFERROR(INDEX([11]PARÁMETROS!$B$11:$B$37,MATCH(M191,[11]PARÁMETROS!$A$11:$A$37,0)),"")</f>
        <v>566700</v>
      </c>
      <c r="O191" s="28">
        <v>2159476666</v>
      </c>
      <c r="P191" s="29" t="s">
        <v>151</v>
      </c>
      <c r="Q191" s="19" t="s">
        <v>140</v>
      </c>
      <c r="R191" s="30" t="s">
        <v>140</v>
      </c>
      <c r="S191" s="31">
        <v>1</v>
      </c>
      <c r="T191" s="27">
        <f>IF(S191&lt;&gt;"",O191*S191,"")</f>
        <v>2159476666</v>
      </c>
      <c r="U191" s="16">
        <f t="shared" si="19"/>
        <v>3810.6170213516853</v>
      </c>
      <c r="V191" s="16">
        <f t="shared" si="20"/>
        <v>3810.6170213516853</v>
      </c>
      <c r="W191" s="16">
        <v>162</v>
      </c>
      <c r="X191" s="1485" t="s">
        <v>22</v>
      </c>
      <c r="Y191" s="1485"/>
      <c r="Z191" s="1485"/>
      <c r="AA191" s="1485" t="s">
        <v>22</v>
      </c>
      <c r="AB191" s="1485"/>
      <c r="AC191" s="1485"/>
      <c r="AD191" s="1485" t="s">
        <v>22</v>
      </c>
      <c r="AE191" s="1485"/>
      <c r="AF191" s="1485"/>
      <c r="AG191" s="1388" t="s">
        <v>22</v>
      </c>
      <c r="AH191" s="1485"/>
      <c r="AI191" s="1485"/>
      <c r="AJ191" s="1388" t="str">
        <f>+IF(V191="","",IF(V191&gt;=[10]PARÁMETROS!$D$5,"CUMPLE","NO CUMPLE"))</f>
        <v>CUMPLE</v>
      </c>
      <c r="AK191" s="97"/>
    </row>
    <row r="192" spans="1:37" ht="86.25" thickBot="1">
      <c r="A192" s="1612"/>
      <c r="B192" s="1510"/>
      <c r="C192" s="19" t="s">
        <v>1944</v>
      </c>
      <c r="D192" s="170">
        <v>355</v>
      </c>
      <c r="E192" s="101" t="str">
        <f>+IFERROR(INDEX([4]CONSOLIDADO!$D$4:$D$108,MATCH('Concur - Exp. General'!C192,[4]CONSOLIDADO!$C$4:$C$108,0)),"")</f>
        <v>WSP SERVICIOS S.A.S.</v>
      </c>
      <c r="F192" s="44" t="s">
        <v>448</v>
      </c>
      <c r="G192" s="23" t="s">
        <v>1948</v>
      </c>
      <c r="H192" s="1388" t="s">
        <v>22</v>
      </c>
      <c r="I192" s="1388" t="s">
        <v>22</v>
      </c>
      <c r="J192" s="46">
        <v>0.6</v>
      </c>
      <c r="K192" s="47">
        <v>40143</v>
      </c>
      <c r="L192" s="25">
        <v>41183</v>
      </c>
      <c r="M192" s="26">
        <f t="shared" si="18"/>
        <v>2012</v>
      </c>
      <c r="N192" s="27">
        <f>+IFERROR(INDEX([11]PARÁMETROS!$B$11:$B$37,MATCH(M192,[11]PARÁMETROS!$A$11:$A$37,0)),"")</f>
        <v>566700</v>
      </c>
      <c r="O192" s="48">
        <v>4331349652</v>
      </c>
      <c r="P192" s="49" t="s">
        <v>151</v>
      </c>
      <c r="Q192" s="19" t="s">
        <v>140</v>
      </c>
      <c r="R192" s="30" t="s">
        <v>140</v>
      </c>
      <c r="S192" s="31">
        <v>1</v>
      </c>
      <c r="T192" s="27">
        <f>IF(S192&lt;&gt;"",O192*S192,"")</f>
        <v>4331349652</v>
      </c>
      <c r="U192" s="16">
        <f t="shared" si="19"/>
        <v>7643.1086147873657</v>
      </c>
      <c r="V192" s="16">
        <f t="shared" si="20"/>
        <v>4585.8651688724194</v>
      </c>
      <c r="W192" s="16">
        <v>169</v>
      </c>
      <c r="X192" s="1485" t="s">
        <v>22</v>
      </c>
      <c r="Y192" s="1485"/>
      <c r="Z192" s="1485"/>
      <c r="AA192" s="1485" t="s">
        <v>22</v>
      </c>
      <c r="AB192" s="1485"/>
      <c r="AC192" s="1485"/>
      <c r="AD192" s="1485" t="s">
        <v>22</v>
      </c>
      <c r="AE192" s="1485"/>
      <c r="AF192" s="1485"/>
      <c r="AG192" s="1388" t="s">
        <v>22</v>
      </c>
      <c r="AH192" s="1485"/>
      <c r="AI192" s="1485"/>
      <c r="AJ192" s="1388" t="str">
        <f>+IF(V192="","",IF(V192&gt;=[10]PARÁMETROS!$D$5,"CUMPLE","NO CUMPLE"))</f>
        <v>CUMPLE</v>
      </c>
      <c r="AK192" s="98"/>
    </row>
    <row r="193" spans="1:37" ht="72" thickBot="1">
      <c r="A193" s="1612"/>
      <c r="B193" s="1510"/>
      <c r="C193" s="19" t="s">
        <v>1944</v>
      </c>
      <c r="D193" s="170">
        <v>367</v>
      </c>
      <c r="E193" s="101" t="str">
        <f>+IFERROR(INDEX([4]CONSOLIDADO!$D$4:$D$108,MATCH('Concur - Exp. General'!C193,[4]CONSOLIDADO!$C$4:$C$108,0)),"")</f>
        <v>WSP SERVICIOS S.A.S.</v>
      </c>
      <c r="F193" s="22" t="s">
        <v>448</v>
      </c>
      <c r="G193" s="23" t="s">
        <v>1949</v>
      </c>
      <c r="H193" s="1388" t="s">
        <v>22</v>
      </c>
      <c r="I193" s="1388" t="s">
        <v>22</v>
      </c>
      <c r="J193" s="24">
        <v>0.5</v>
      </c>
      <c r="K193" s="25">
        <v>42694</v>
      </c>
      <c r="L193" s="25">
        <v>41232</v>
      </c>
      <c r="M193" s="26">
        <f t="shared" si="18"/>
        <v>2012</v>
      </c>
      <c r="N193" s="27">
        <f>+IFERROR(INDEX([11]PARÁMETROS!$B$11:$B$37,MATCH(M193,[11]PARÁMETROS!$A$11:$A$37,0)),"")</f>
        <v>566700</v>
      </c>
      <c r="O193" s="28">
        <v>4761160509</v>
      </c>
      <c r="P193" s="29" t="s">
        <v>151</v>
      </c>
      <c r="Q193" s="19" t="s">
        <v>140</v>
      </c>
      <c r="R193" s="30" t="s">
        <v>140</v>
      </c>
      <c r="S193" s="31">
        <v>1</v>
      </c>
      <c r="T193" s="27">
        <f>IF(S193&lt;&gt;"",O193*S193,"")</f>
        <v>4761160509</v>
      </c>
      <c r="U193" s="16">
        <f t="shared" si="19"/>
        <v>8401.5537480148232</v>
      </c>
      <c r="V193" s="16">
        <f t="shared" si="20"/>
        <v>4200.7768740074116</v>
      </c>
      <c r="W193" s="16">
        <v>168</v>
      </c>
      <c r="X193" s="1485" t="s">
        <v>22</v>
      </c>
      <c r="Y193" s="1485"/>
      <c r="Z193" s="1485"/>
      <c r="AA193" s="1485" t="s">
        <v>22</v>
      </c>
      <c r="AB193" s="1485"/>
      <c r="AC193" s="1485"/>
      <c r="AD193" s="1485" t="s">
        <v>22</v>
      </c>
      <c r="AE193" s="1485"/>
      <c r="AF193" s="1485"/>
      <c r="AG193" s="1388" t="s">
        <v>22</v>
      </c>
      <c r="AH193" s="1485"/>
      <c r="AI193" s="1485"/>
      <c r="AJ193" s="1388" t="str">
        <f>+IF(V193="","",IF(V193&gt;=[10]PARÁMETROS!$D$5,"CUMPLE","NO CUMPLE"))</f>
        <v>CUMPLE</v>
      </c>
      <c r="AK193" s="97"/>
    </row>
    <row r="194" spans="1:37" ht="57.75" thickBot="1">
      <c r="A194" s="1612"/>
      <c r="B194" s="1509" t="s">
        <v>1950</v>
      </c>
      <c r="C194" s="81" t="s">
        <v>1951</v>
      </c>
      <c r="D194" s="169">
        <v>121</v>
      </c>
      <c r="E194" s="101" t="str">
        <f>+IFERROR(INDEX([4]CONSOLIDADO!$D$4:$D$108,MATCH('Concur - Exp. General'!C194,[4]CONSOLIDADO!$C$4:$C$108,0)),"")</f>
        <v>PLANES S.A.</v>
      </c>
      <c r="F194" s="84" t="s">
        <v>1935</v>
      </c>
      <c r="G194" s="85" t="s">
        <v>1952</v>
      </c>
      <c r="H194" s="1393" t="s">
        <v>22</v>
      </c>
      <c r="I194" s="1393" t="s">
        <v>22</v>
      </c>
      <c r="J194" s="307">
        <v>0.245</v>
      </c>
      <c r="K194" s="87">
        <v>40186</v>
      </c>
      <c r="L194" s="87">
        <v>41913</v>
      </c>
      <c r="M194" s="88">
        <f t="shared" si="18"/>
        <v>2014</v>
      </c>
      <c r="N194" s="89">
        <f>+IFERROR(INDEX([10]PARÁMETROS!$B$11:$B$37,MATCH(M194,[10]PARÁMETROS!$A$11:$A$37,0)),"")</f>
        <v>616000</v>
      </c>
      <c r="O194" s="90">
        <v>10922423850.5</v>
      </c>
      <c r="P194" s="91" t="s">
        <v>151</v>
      </c>
      <c r="Q194" s="81" t="s">
        <v>140</v>
      </c>
      <c r="R194" s="92" t="s">
        <v>140</v>
      </c>
      <c r="S194" s="93">
        <v>1</v>
      </c>
      <c r="T194" s="89">
        <f t="shared" si="21"/>
        <v>10922423850.5</v>
      </c>
      <c r="U194" s="94">
        <f t="shared" si="19"/>
        <v>17731.207549512987</v>
      </c>
      <c r="V194" s="94">
        <f t="shared" si="20"/>
        <v>4344.1458496306814</v>
      </c>
      <c r="W194" s="94" t="s">
        <v>152</v>
      </c>
      <c r="X194" s="1484"/>
      <c r="Y194" s="1484"/>
      <c r="Z194" s="1484"/>
      <c r="AA194" s="1484"/>
      <c r="AB194" s="1484"/>
      <c r="AC194" s="1484"/>
      <c r="AD194" s="1484"/>
      <c r="AE194" s="1484"/>
      <c r="AF194" s="1484"/>
      <c r="AG194" s="1393"/>
      <c r="AH194" s="1484" t="str">
        <f>IF(V194="","",IF(SUM(V194:V199)&gt;=[10]PARÁMETROS!$H$5,"CUMPLE","NO CUMPLE"))</f>
        <v>CUMPLE</v>
      </c>
      <c r="AI194" s="1484" t="str">
        <f>IF(V194="","",IF(V194+V195+V196+V197&gt;=[10]PARÁMETROS!$F$5,"CUMPLE","NO CUMPLE"))</f>
        <v>CUMPLE</v>
      </c>
      <c r="AJ194" s="1393" t="str">
        <f>+IF(V194="","",IF(V194&gt;=[10]PARÁMETROS!$D$5,"CUMPLE","NO CUMPLE"))</f>
        <v>CUMPLE</v>
      </c>
      <c r="AK194" s="96"/>
    </row>
    <row r="195" spans="1:37" ht="72" thickBot="1">
      <c r="A195" s="1612"/>
      <c r="B195" s="1510"/>
      <c r="C195" s="19" t="s">
        <v>1951</v>
      </c>
      <c r="D195" s="170">
        <v>124</v>
      </c>
      <c r="E195" s="101" t="str">
        <f>+IFERROR(INDEX([4]CONSOLIDADO!$D$4:$D$108,MATCH('Concur - Exp. General'!C195,[4]CONSOLIDADO!$C$4:$C$108,0)),"")</f>
        <v>PLANES S.A.</v>
      </c>
      <c r="F195" s="22" t="s">
        <v>1953</v>
      </c>
      <c r="G195" s="23" t="s">
        <v>1954</v>
      </c>
      <c r="H195" s="1388" t="s">
        <v>22</v>
      </c>
      <c r="I195" s="1388" t="s">
        <v>22</v>
      </c>
      <c r="J195" s="24">
        <v>0.5</v>
      </c>
      <c r="K195" s="25">
        <v>37288</v>
      </c>
      <c r="L195" s="25">
        <v>41779</v>
      </c>
      <c r="M195" s="26">
        <f t="shared" si="18"/>
        <v>2014</v>
      </c>
      <c r="N195" s="27">
        <f>+IFERROR(INDEX([10]PARÁMETROS!$B$11:$B$37,MATCH(M195,[10]PARÁMETROS!$A$11:$A$37,0)),"")</f>
        <v>616000</v>
      </c>
      <c r="O195" s="28"/>
      <c r="P195" s="29" t="s">
        <v>151</v>
      </c>
      <c r="Q195" s="19" t="s">
        <v>140</v>
      </c>
      <c r="R195" s="30" t="s">
        <v>140</v>
      </c>
      <c r="S195" s="31">
        <v>1</v>
      </c>
      <c r="T195" s="27"/>
      <c r="U195" s="16">
        <v>15268.54</v>
      </c>
      <c r="V195" s="16">
        <f t="shared" si="20"/>
        <v>7634.27</v>
      </c>
      <c r="W195" s="16" t="s">
        <v>152</v>
      </c>
      <c r="X195" s="1485"/>
      <c r="Y195" s="1485"/>
      <c r="Z195" s="1485"/>
      <c r="AA195" s="1485"/>
      <c r="AB195" s="1485"/>
      <c r="AC195" s="1485"/>
      <c r="AD195" s="1485"/>
      <c r="AE195" s="1485"/>
      <c r="AF195" s="1485"/>
      <c r="AG195" s="1388"/>
      <c r="AH195" s="1485"/>
      <c r="AI195" s="1485"/>
      <c r="AJ195" s="1388" t="str">
        <f>+IF(V195="","",IF(V195&gt;=[10]PARÁMETROS!$D$5,"CUMPLE","NO CUMPLE"))</f>
        <v>CUMPLE</v>
      </c>
      <c r="AK195" s="97"/>
    </row>
    <row r="196" spans="1:37" ht="57.75" thickBot="1">
      <c r="A196" s="1612"/>
      <c r="B196" s="1510"/>
      <c r="C196" s="19" t="s">
        <v>1951</v>
      </c>
      <c r="D196" s="170">
        <v>127</v>
      </c>
      <c r="E196" s="101" t="str">
        <f>+IFERROR(INDEX([4]CONSOLIDADO!$D$4:$D$108,MATCH('Concur - Exp. General'!C196,[4]CONSOLIDADO!$C$4:$C$108,0)),"")</f>
        <v>PLANES S.A.</v>
      </c>
      <c r="F196" s="22" t="s">
        <v>1652</v>
      </c>
      <c r="G196" s="23" t="s">
        <v>1955</v>
      </c>
      <c r="H196" s="1388" t="s">
        <v>22</v>
      </c>
      <c r="I196" s="1388" t="s">
        <v>22</v>
      </c>
      <c r="J196" s="24">
        <v>0.25</v>
      </c>
      <c r="K196" s="25">
        <v>38718</v>
      </c>
      <c r="L196" s="25">
        <v>42063</v>
      </c>
      <c r="M196" s="26">
        <f t="shared" si="18"/>
        <v>2015</v>
      </c>
      <c r="N196" s="27">
        <f>+IFERROR(INDEX([10]PARÁMETROS!$B$11:$B$37,MATCH(M196,[10]PARÁMETROS!$A$11:$A$37,0)),"")</f>
        <v>644350</v>
      </c>
      <c r="O196" s="28">
        <v>8567960679</v>
      </c>
      <c r="P196" s="29" t="s">
        <v>151</v>
      </c>
      <c r="Q196" s="19" t="s">
        <v>140</v>
      </c>
      <c r="R196" s="30" t="s">
        <v>140</v>
      </c>
      <c r="S196" s="31">
        <v>1</v>
      </c>
      <c r="T196" s="27">
        <f t="shared" si="21"/>
        <v>8567960679</v>
      </c>
      <c r="U196" s="16">
        <f t="shared" si="19"/>
        <v>13297.060105532708</v>
      </c>
      <c r="V196" s="16">
        <f t="shared" si="20"/>
        <v>3324.265026383177</v>
      </c>
      <c r="W196" s="16" t="s">
        <v>152</v>
      </c>
      <c r="X196" s="1485"/>
      <c r="Y196" s="1485"/>
      <c r="Z196" s="1485"/>
      <c r="AA196" s="1485"/>
      <c r="AB196" s="1485"/>
      <c r="AC196" s="1485"/>
      <c r="AD196" s="1485"/>
      <c r="AE196" s="1485"/>
      <c r="AF196" s="1485"/>
      <c r="AG196" s="1388"/>
      <c r="AH196" s="1485"/>
      <c r="AI196" s="1485"/>
      <c r="AJ196" s="1388" t="str">
        <f>+IF(V196="","",IF(V196&gt;=[10]PARÁMETROS!$D$5,"CUMPLE","NO CUMPLE"))</f>
        <v>CUMPLE</v>
      </c>
      <c r="AK196" s="97"/>
    </row>
    <row r="197" spans="1:37" ht="43.5" thickBot="1">
      <c r="A197" s="1612"/>
      <c r="B197" s="1510"/>
      <c r="C197" s="19" t="s">
        <v>1951</v>
      </c>
      <c r="D197" s="170">
        <v>131</v>
      </c>
      <c r="E197" s="101" t="str">
        <f>+IFERROR(INDEX([4]CONSOLIDADO!$D$4:$D$108,MATCH('Concur - Exp. General'!C197,[4]CONSOLIDADO!$C$4:$C$108,0)),"")</f>
        <v>PLANES S.A.</v>
      </c>
      <c r="F197" s="22" t="s">
        <v>1956</v>
      </c>
      <c r="G197" s="23" t="s">
        <v>1957</v>
      </c>
      <c r="H197" s="1388" t="s">
        <v>22</v>
      </c>
      <c r="I197" s="1388" t="s">
        <v>22</v>
      </c>
      <c r="J197" s="24">
        <v>1</v>
      </c>
      <c r="K197" s="25">
        <v>35125</v>
      </c>
      <c r="L197" s="25">
        <v>35581</v>
      </c>
      <c r="M197" s="26">
        <f t="shared" si="18"/>
        <v>1997</v>
      </c>
      <c r="N197" s="27">
        <f>+IFERROR(INDEX([10]PARÁMETROS!$B$11:$B$37,MATCH(M197,[10]PARÁMETROS!$A$11:$A$37,0)),"")</f>
        <v>172005</v>
      </c>
      <c r="O197" s="28">
        <v>451929529.60000002</v>
      </c>
      <c r="P197" s="29" t="s">
        <v>151</v>
      </c>
      <c r="Q197" s="19" t="s">
        <v>140</v>
      </c>
      <c r="R197" s="30" t="s">
        <v>140</v>
      </c>
      <c r="S197" s="31">
        <v>1</v>
      </c>
      <c r="T197" s="27">
        <f t="shared" si="21"/>
        <v>451929529.60000002</v>
      </c>
      <c r="U197" s="16">
        <f t="shared" si="19"/>
        <v>2627.4208866021336</v>
      </c>
      <c r="V197" s="16">
        <f t="shared" si="20"/>
        <v>2627.4208866021336</v>
      </c>
      <c r="W197" s="16">
        <v>72</v>
      </c>
      <c r="X197" s="1485" t="s">
        <v>22</v>
      </c>
      <c r="Y197" s="1485"/>
      <c r="Z197" s="1485"/>
      <c r="AA197" s="1485" t="s">
        <v>129</v>
      </c>
      <c r="AB197" s="1485"/>
      <c r="AC197" s="1485"/>
      <c r="AD197" s="1485" t="s">
        <v>22</v>
      </c>
      <c r="AE197" s="1485"/>
      <c r="AF197" s="1485"/>
      <c r="AG197" s="1388" t="s">
        <v>22</v>
      </c>
      <c r="AH197" s="1485"/>
      <c r="AI197" s="1485"/>
      <c r="AJ197" s="1388" t="str">
        <f>+IF(V197="","",IF(V197&gt;=[10]PARÁMETROS!$D$5,"CUMPLE","NO CUMPLE"))</f>
        <v>CUMPLE</v>
      </c>
      <c r="AK197" s="97"/>
    </row>
    <row r="198" spans="1:37" ht="43.5" thickBot="1">
      <c r="A198" s="1612"/>
      <c r="B198" s="1510"/>
      <c r="C198" s="19" t="s">
        <v>1958</v>
      </c>
      <c r="D198" s="170">
        <v>134</v>
      </c>
      <c r="E198" s="101" t="str">
        <f>+IFERROR(INDEX([4]CONSOLIDADO!$D$4:$D$108,MATCH('Concur - Exp. General'!C198,[4]CONSOLIDADO!$C$4:$C$108,0)),"")</f>
        <v>HIDROCONSULTA S.A.S.</v>
      </c>
      <c r="F198" s="22" t="s">
        <v>949</v>
      </c>
      <c r="G198" s="22" t="s">
        <v>1959</v>
      </c>
      <c r="H198" s="1388" t="s">
        <v>22</v>
      </c>
      <c r="I198" s="1388" t="s">
        <v>22</v>
      </c>
      <c r="J198" s="34">
        <v>0.35</v>
      </c>
      <c r="K198" s="25">
        <v>40063</v>
      </c>
      <c r="L198" s="25">
        <v>42004</v>
      </c>
      <c r="M198" s="26">
        <f t="shared" si="18"/>
        <v>2014</v>
      </c>
      <c r="N198" s="27">
        <f>+IFERROR(INDEX([10]PARÁMETROS!$B$11:$B$37,MATCH(M198,[10]PARÁMETROS!$A$11:$A$37,0)),"")</f>
        <v>616000</v>
      </c>
      <c r="O198" s="35">
        <v>7687232827</v>
      </c>
      <c r="P198" s="27" t="s">
        <v>151</v>
      </c>
      <c r="Q198" s="19" t="s">
        <v>140</v>
      </c>
      <c r="R198" s="30" t="s">
        <v>140</v>
      </c>
      <c r="S198" s="31">
        <v>1</v>
      </c>
      <c r="T198" s="27">
        <f t="shared" si="21"/>
        <v>7687232827</v>
      </c>
      <c r="U198" s="16">
        <f t="shared" si="19"/>
        <v>12479.274069805195</v>
      </c>
      <c r="V198" s="16">
        <f t="shared" si="20"/>
        <v>4367.7459244318179</v>
      </c>
      <c r="W198" s="16" t="s">
        <v>152</v>
      </c>
      <c r="X198" s="1485"/>
      <c r="Y198" s="1485"/>
      <c r="Z198" s="1485"/>
      <c r="AA198" s="1485"/>
      <c r="AB198" s="1485"/>
      <c r="AC198" s="1485"/>
      <c r="AD198" s="1485"/>
      <c r="AE198" s="1485"/>
      <c r="AF198" s="1485"/>
      <c r="AG198" s="1388" t="s">
        <v>22</v>
      </c>
      <c r="AH198" s="1485"/>
      <c r="AI198" s="1485"/>
      <c r="AJ198" s="1388" t="str">
        <f>+IF(V198="","",IF(V198&gt;=[10]PARÁMETROS!$D$5,"CUMPLE","NO CUMPLE"))</f>
        <v>CUMPLE</v>
      </c>
      <c r="AK198" s="97"/>
    </row>
    <row r="199" spans="1:37" ht="43.5" thickBot="1">
      <c r="A199" s="1612"/>
      <c r="B199" s="1511"/>
      <c r="C199" s="99" t="s">
        <v>1958</v>
      </c>
      <c r="D199" s="178">
        <v>137</v>
      </c>
      <c r="E199" s="101" t="str">
        <f>+IFERROR(INDEX([4]CONSOLIDADO!$D$4:$D$108,MATCH('Concur - Exp. General'!C199,[4]CONSOLIDADO!$C$4:$C$108,0)),"")</f>
        <v>HIDROCONSULTA S.A.S.</v>
      </c>
      <c r="F199" s="102" t="s">
        <v>1960</v>
      </c>
      <c r="G199" s="102" t="s">
        <v>1961</v>
      </c>
      <c r="H199" s="1392" t="s">
        <v>22</v>
      </c>
      <c r="I199" s="1392" t="s">
        <v>22</v>
      </c>
      <c r="J199" s="119">
        <v>1</v>
      </c>
      <c r="K199" s="105">
        <v>32888</v>
      </c>
      <c r="L199" s="105">
        <v>34318</v>
      </c>
      <c r="M199" s="106">
        <f t="shared" si="18"/>
        <v>1993</v>
      </c>
      <c r="N199" s="107">
        <f>+IFERROR(INDEX([10]PARÁMETROS!$B$11:$B$37,MATCH(M199,[10]PARÁMETROS!$A$11:$A$37,0)),"")</f>
        <v>81510</v>
      </c>
      <c r="O199" s="120">
        <v>894581645.75</v>
      </c>
      <c r="P199" s="107" t="s">
        <v>151</v>
      </c>
      <c r="Q199" s="99" t="s">
        <v>140</v>
      </c>
      <c r="R199" s="110" t="s">
        <v>140</v>
      </c>
      <c r="S199" s="111">
        <v>1</v>
      </c>
      <c r="T199" s="107">
        <f t="shared" si="21"/>
        <v>894581645.75</v>
      </c>
      <c r="U199" s="112">
        <f t="shared" si="19"/>
        <v>10975.115271132376</v>
      </c>
      <c r="V199" s="112">
        <f t="shared" si="20"/>
        <v>10975.115271132376</v>
      </c>
      <c r="W199" s="112">
        <v>97</v>
      </c>
      <c r="X199" s="1486" t="s">
        <v>22</v>
      </c>
      <c r="Y199" s="1486"/>
      <c r="Z199" s="1486"/>
      <c r="AA199" s="1486" t="s">
        <v>22</v>
      </c>
      <c r="AB199" s="1486"/>
      <c r="AC199" s="1486"/>
      <c r="AD199" s="1486" t="s">
        <v>22</v>
      </c>
      <c r="AE199" s="1486"/>
      <c r="AF199" s="1486"/>
      <c r="AG199" s="1392" t="s">
        <v>22</v>
      </c>
      <c r="AH199" s="1486"/>
      <c r="AI199" s="1486"/>
      <c r="AJ199" s="1392" t="str">
        <f>+IF(V199="","",IF(V199&gt;=[10]PARÁMETROS!$D$5,"CUMPLE","NO CUMPLE"))</f>
        <v>CUMPLE</v>
      </c>
      <c r="AK199" s="113"/>
    </row>
    <row r="200" spans="1:37" ht="43.5" thickBot="1">
      <c r="A200" s="1612"/>
      <c r="B200" s="1509" t="s">
        <v>1962</v>
      </c>
      <c r="C200" s="81" t="s">
        <v>1963</v>
      </c>
      <c r="D200" s="335">
        <v>163</v>
      </c>
      <c r="E200" s="101" t="str">
        <f>+IFERROR(INDEX([4]CONSOLIDADO!$D$4:$D$108,MATCH('Concur - Exp. General'!C200,[4]CONSOLIDADO!$C$4:$C$108,0)),"")</f>
        <v>ECOVIAS S.A.S.</v>
      </c>
      <c r="F200" s="336" t="s">
        <v>1964</v>
      </c>
      <c r="G200" s="84" t="s">
        <v>1965</v>
      </c>
      <c r="H200" s="1393" t="s">
        <v>22</v>
      </c>
      <c r="I200" s="1393" t="s">
        <v>22</v>
      </c>
      <c r="J200" s="118">
        <v>0.5</v>
      </c>
      <c r="K200" s="87">
        <v>36752</v>
      </c>
      <c r="L200" s="87">
        <v>42109</v>
      </c>
      <c r="M200" s="88">
        <f t="shared" si="18"/>
        <v>2015</v>
      </c>
      <c r="N200" s="89">
        <f>+IFERROR(INDEX([12]PARÁMETROS!$B$11:$B$37,MATCH(M200,[12]PARÁMETROS!$A$11:$A$37,0)),"")</f>
        <v>644350</v>
      </c>
      <c r="O200" s="337">
        <v>5014683563</v>
      </c>
      <c r="P200" s="89" t="s">
        <v>151</v>
      </c>
      <c r="Q200" s="81" t="s">
        <v>140</v>
      </c>
      <c r="R200" s="92" t="s">
        <v>140</v>
      </c>
      <c r="S200" s="93">
        <v>1</v>
      </c>
      <c r="T200" s="89">
        <f t="shared" si="21"/>
        <v>5014683563</v>
      </c>
      <c r="U200" s="94">
        <f t="shared" si="19"/>
        <v>7782.546074338481</v>
      </c>
      <c r="V200" s="94">
        <f t="shared" si="20"/>
        <v>3891.2730371692405</v>
      </c>
      <c r="W200" s="207" t="s">
        <v>304</v>
      </c>
      <c r="X200" s="1484"/>
      <c r="Y200" s="1484"/>
      <c r="Z200" s="1484"/>
      <c r="AA200" s="1484"/>
      <c r="AB200" s="1484"/>
      <c r="AC200" s="1484"/>
      <c r="AD200" s="1484"/>
      <c r="AE200" s="1484"/>
      <c r="AF200" s="1484"/>
      <c r="AG200" s="1393"/>
      <c r="AH200" s="1484" t="str">
        <f>IF(V200="","",IF(SUM(V200:V205)&gt;=[12]PARÁMETROS!$H$5,"CUMPLE","NO CUMPLE"))</f>
        <v>CUMPLE</v>
      </c>
      <c r="AI200" s="1484" t="str">
        <f>IF(V200="","",IF(V200+V201+V202+V203&gt;=[12]PARÁMETROS!$F$5,"CUMPLE","NO CUMPLE"))</f>
        <v>CUMPLE</v>
      </c>
      <c r="AJ200" s="1393" t="str">
        <f>+IF(V200="","",IF(V200&gt;=[13]PARÁMETROS!$D$5,"CUMPLE","NO CUMPLE"))</f>
        <v>CUMPLE</v>
      </c>
      <c r="AK200" s="96"/>
    </row>
    <row r="201" spans="1:37" ht="72" thickBot="1">
      <c r="A201" s="1612"/>
      <c r="B201" s="1510"/>
      <c r="C201" s="19" t="s">
        <v>1963</v>
      </c>
      <c r="D201" s="36">
        <v>174</v>
      </c>
      <c r="E201" s="101" t="str">
        <f>+IFERROR(INDEX([4]CONSOLIDADO!$D$4:$D$108,MATCH('Concur - Exp. General'!C201,[4]CONSOLIDADO!$C$4:$C$108,0)),"")</f>
        <v>ECOVIAS S.A.S.</v>
      </c>
      <c r="F201" s="22" t="s">
        <v>1966</v>
      </c>
      <c r="G201" s="22" t="s">
        <v>1967</v>
      </c>
      <c r="H201" s="1388" t="s">
        <v>22</v>
      </c>
      <c r="I201" s="1388" t="s">
        <v>22</v>
      </c>
      <c r="J201" s="34">
        <v>0.5</v>
      </c>
      <c r="K201" s="25">
        <v>40099</v>
      </c>
      <c r="L201" s="25">
        <v>40558</v>
      </c>
      <c r="M201" s="26">
        <f t="shared" si="18"/>
        <v>2011</v>
      </c>
      <c r="N201" s="27">
        <f>+IFERROR(INDEX([12]PARÁMETROS!$B$11:$B$37,MATCH(M201,[12]PARÁMETROS!$A$11:$A$37,0)),"")</f>
        <v>535600</v>
      </c>
      <c r="O201" s="205">
        <v>4561047955</v>
      </c>
      <c r="P201" s="27" t="s">
        <v>151</v>
      </c>
      <c r="Q201" s="19" t="s">
        <v>140</v>
      </c>
      <c r="R201" s="30" t="s">
        <v>140</v>
      </c>
      <c r="S201" s="31">
        <v>1</v>
      </c>
      <c r="T201" s="27">
        <f t="shared" si="21"/>
        <v>4561047955</v>
      </c>
      <c r="U201" s="16">
        <f t="shared" si="19"/>
        <v>8515.7728808812553</v>
      </c>
      <c r="V201" s="16">
        <f t="shared" si="20"/>
        <v>4257.8864404406277</v>
      </c>
      <c r="W201" s="208">
        <v>17</v>
      </c>
      <c r="X201" s="1485" t="s">
        <v>22</v>
      </c>
      <c r="Y201" s="1485"/>
      <c r="Z201" s="1485"/>
      <c r="AA201" s="1485" t="s">
        <v>22</v>
      </c>
      <c r="AB201" s="1485"/>
      <c r="AC201" s="1485"/>
      <c r="AD201" s="1485" t="s">
        <v>22</v>
      </c>
      <c r="AE201" s="1485"/>
      <c r="AF201" s="1485"/>
      <c r="AG201" s="1388" t="s">
        <v>22</v>
      </c>
      <c r="AH201" s="1485"/>
      <c r="AI201" s="1485"/>
      <c r="AJ201" s="1388" t="str">
        <f>+IF(V201="","",IF(V201&gt;=[13]PARÁMETROS!$D$5,"CUMPLE","NO CUMPLE"))</f>
        <v>CUMPLE</v>
      </c>
      <c r="AK201" s="97"/>
    </row>
    <row r="202" spans="1:37" ht="43.5" thickBot="1">
      <c r="A202" s="1612"/>
      <c r="B202" s="1510"/>
      <c r="C202" s="19" t="s">
        <v>1963</v>
      </c>
      <c r="D202" s="36">
        <v>193</v>
      </c>
      <c r="E202" s="101" t="str">
        <f>+IFERROR(INDEX([4]CONSOLIDADO!$D$4:$D$108,MATCH('Concur - Exp. General'!C202,[4]CONSOLIDADO!$C$4:$C$108,0)),"")</f>
        <v>ECOVIAS S.A.S.</v>
      </c>
      <c r="F202" s="22" t="s">
        <v>1968</v>
      </c>
      <c r="G202" s="22" t="s">
        <v>1969</v>
      </c>
      <c r="H202" s="1388" t="s">
        <v>22</v>
      </c>
      <c r="I202" s="1388" t="s">
        <v>22</v>
      </c>
      <c r="J202" s="34">
        <v>0.75</v>
      </c>
      <c r="K202" s="25">
        <v>38733</v>
      </c>
      <c r="L202" s="25">
        <v>39950</v>
      </c>
      <c r="M202" s="26">
        <f t="shared" si="18"/>
        <v>2009</v>
      </c>
      <c r="N202" s="27">
        <f>+IFERROR(INDEX([12]PARÁMETROS!$B$11:$B$37,MATCH(M202,[12]PARÁMETROS!$A$11:$A$37,0)),"")</f>
        <v>496900</v>
      </c>
      <c r="O202" s="205">
        <v>1837600645</v>
      </c>
      <c r="P202" s="27" t="s">
        <v>151</v>
      </c>
      <c r="Q202" s="19" t="s">
        <v>140</v>
      </c>
      <c r="R202" s="30" t="s">
        <v>140</v>
      </c>
      <c r="S202" s="31">
        <v>1</v>
      </c>
      <c r="T202" s="27">
        <f t="shared" si="21"/>
        <v>1837600645</v>
      </c>
      <c r="U202" s="16">
        <f t="shared" si="19"/>
        <v>3698.1296941034411</v>
      </c>
      <c r="V202" s="16">
        <f t="shared" si="20"/>
        <v>2773.5972705775807</v>
      </c>
      <c r="W202" s="208">
        <v>28</v>
      </c>
      <c r="X202" s="1485" t="s">
        <v>22</v>
      </c>
      <c r="Y202" s="1485"/>
      <c r="Z202" s="1485"/>
      <c r="AA202" s="1485" t="s">
        <v>22</v>
      </c>
      <c r="AB202" s="1485"/>
      <c r="AC202" s="1485"/>
      <c r="AD202" s="1485" t="s">
        <v>22</v>
      </c>
      <c r="AE202" s="1485"/>
      <c r="AF202" s="1485"/>
      <c r="AG202" s="1388" t="s">
        <v>22</v>
      </c>
      <c r="AH202" s="1485"/>
      <c r="AI202" s="1485"/>
      <c r="AJ202" s="1388" t="str">
        <f>+IF(V202="","",IF(V202&gt;=[13]PARÁMETROS!$D$5,"CUMPLE","NO CUMPLE"))</f>
        <v>CUMPLE</v>
      </c>
      <c r="AK202" s="98"/>
    </row>
    <row r="203" spans="1:37" ht="43.5" thickBot="1">
      <c r="A203" s="1612"/>
      <c r="B203" s="1510"/>
      <c r="C203" s="19" t="s">
        <v>1963</v>
      </c>
      <c r="D203" s="36">
        <v>200</v>
      </c>
      <c r="E203" s="101" t="str">
        <f>+IFERROR(INDEX([4]CONSOLIDADO!$D$4:$D$108,MATCH('Concur - Exp. General'!C203,[4]CONSOLIDADO!$C$4:$C$108,0)),"")</f>
        <v>ECOVIAS S.A.S.</v>
      </c>
      <c r="F203" s="22" t="s">
        <v>1970</v>
      </c>
      <c r="G203" s="22" t="s">
        <v>1971</v>
      </c>
      <c r="H203" s="1388" t="s">
        <v>22</v>
      </c>
      <c r="I203" s="1388" t="s">
        <v>22</v>
      </c>
      <c r="J203" s="34">
        <v>1</v>
      </c>
      <c r="K203" s="25">
        <v>40779</v>
      </c>
      <c r="L203" s="25">
        <v>41327</v>
      </c>
      <c r="M203" s="26">
        <f t="shared" si="18"/>
        <v>2013</v>
      </c>
      <c r="N203" s="27">
        <f>+IFERROR(INDEX([12]PARÁMETROS!$B$11:$B$37,MATCH(M203,[12]PARÁMETROS!$A$11:$A$37,0)),"")</f>
        <v>589500</v>
      </c>
      <c r="O203" s="205">
        <v>1484896904</v>
      </c>
      <c r="P203" s="27" t="s">
        <v>151</v>
      </c>
      <c r="Q203" s="19" t="s">
        <v>140</v>
      </c>
      <c r="R203" s="30" t="s">
        <v>140</v>
      </c>
      <c r="S203" s="31">
        <v>1</v>
      </c>
      <c r="T203" s="27">
        <f t="shared" si="21"/>
        <v>1484896904</v>
      </c>
      <c r="U203" s="16">
        <f t="shared" si="19"/>
        <v>2518.9090822731127</v>
      </c>
      <c r="V203" s="16">
        <f t="shared" si="20"/>
        <v>2518.9090822731127</v>
      </c>
      <c r="W203" s="208">
        <v>12</v>
      </c>
      <c r="X203" s="1485" t="s">
        <v>22</v>
      </c>
      <c r="Y203" s="1485"/>
      <c r="Z203" s="1485"/>
      <c r="AA203" s="1485" t="s">
        <v>22</v>
      </c>
      <c r="AB203" s="1485"/>
      <c r="AC203" s="1485"/>
      <c r="AD203" s="1485" t="s">
        <v>22</v>
      </c>
      <c r="AE203" s="1485"/>
      <c r="AF203" s="1485"/>
      <c r="AG203" s="1388" t="s">
        <v>22</v>
      </c>
      <c r="AH203" s="1485"/>
      <c r="AI203" s="1485"/>
      <c r="AJ203" s="1388" t="str">
        <f>+IF(V203="","",IF(V203&gt;=[13]PARÁMETROS!$D$5,"CUMPLE","NO CUMPLE"))</f>
        <v>CUMPLE</v>
      </c>
      <c r="AK203" s="98"/>
    </row>
    <row r="204" spans="1:37" ht="72" thickBot="1">
      <c r="A204" s="1612"/>
      <c r="B204" s="1510"/>
      <c r="C204" s="19" t="s">
        <v>1972</v>
      </c>
      <c r="D204" s="36">
        <v>174</v>
      </c>
      <c r="E204" s="101" t="str">
        <f>+IFERROR(INDEX([4]CONSOLIDADO!$D$4:$D$108,MATCH('Concur - Exp. General'!C204,[4]CONSOLIDADO!$C$4:$C$108,0)),"")</f>
        <v>BATEMAN INGENIERIA S.A.</v>
      </c>
      <c r="F204" s="22" t="s">
        <v>1966</v>
      </c>
      <c r="G204" s="22" t="s">
        <v>1973</v>
      </c>
      <c r="H204" s="1388" t="s">
        <v>22</v>
      </c>
      <c r="I204" s="1388" t="s">
        <v>22</v>
      </c>
      <c r="J204" s="34">
        <v>0.5</v>
      </c>
      <c r="K204" s="25">
        <v>40099</v>
      </c>
      <c r="L204" s="25">
        <v>40558</v>
      </c>
      <c r="M204" s="26">
        <f t="shared" si="18"/>
        <v>2011</v>
      </c>
      <c r="N204" s="27">
        <f>+IFERROR(INDEX([12]PARÁMETROS!$B$11:$B$37,MATCH(M204,[12]PARÁMETROS!$A$11:$A$37,0)),"")</f>
        <v>535600</v>
      </c>
      <c r="O204" s="205">
        <v>4561047955</v>
      </c>
      <c r="P204" s="27" t="s">
        <v>151</v>
      </c>
      <c r="Q204" s="19" t="s">
        <v>140</v>
      </c>
      <c r="R204" s="30" t="s">
        <v>140</v>
      </c>
      <c r="S204" s="31">
        <v>1</v>
      </c>
      <c r="T204" s="27">
        <f t="shared" si="21"/>
        <v>4561047955</v>
      </c>
      <c r="U204" s="16">
        <f t="shared" si="19"/>
        <v>8515.7728808812553</v>
      </c>
      <c r="V204" s="16">
        <f t="shared" si="20"/>
        <v>4257.8864404406277</v>
      </c>
      <c r="W204" s="208">
        <v>20</v>
      </c>
      <c r="X204" s="1485" t="s">
        <v>22</v>
      </c>
      <c r="Y204" s="1485"/>
      <c r="Z204" s="1485"/>
      <c r="AA204" s="1485" t="s">
        <v>22</v>
      </c>
      <c r="AB204" s="1485"/>
      <c r="AC204" s="1485"/>
      <c r="AD204" s="1485" t="s">
        <v>22</v>
      </c>
      <c r="AE204" s="1485"/>
      <c r="AF204" s="1485"/>
      <c r="AG204" s="1388" t="s">
        <v>22</v>
      </c>
      <c r="AH204" s="1485"/>
      <c r="AI204" s="1485"/>
      <c r="AJ204" s="1388" t="str">
        <f>+IF(V204="","",IF(V204&gt;=[13]PARÁMETROS!$D$5,"CUMPLE","NO CUMPLE"))</f>
        <v>CUMPLE</v>
      </c>
      <c r="AK204" s="98"/>
    </row>
    <row r="205" spans="1:37" ht="32.25" thickBot="1">
      <c r="A205" s="1612"/>
      <c r="B205" s="1511"/>
      <c r="C205" s="99" t="s">
        <v>1972</v>
      </c>
      <c r="D205" s="100">
        <v>216</v>
      </c>
      <c r="E205" s="101" t="str">
        <f>+IFERROR(INDEX([4]CONSOLIDADO!$D$4:$D$108,MATCH('Concur - Exp. General'!C205,[4]CONSOLIDADO!$C$4:$C$108,0)),"")</f>
        <v>BATEMAN INGENIERIA S.A.</v>
      </c>
      <c r="F205" s="102" t="s">
        <v>281</v>
      </c>
      <c r="G205" s="102" t="s">
        <v>1974</v>
      </c>
      <c r="H205" s="1392" t="s">
        <v>22</v>
      </c>
      <c r="I205" s="1392" t="s">
        <v>22</v>
      </c>
      <c r="J205" s="119">
        <v>0.75</v>
      </c>
      <c r="K205" s="105">
        <v>38343</v>
      </c>
      <c r="L205" s="105">
        <v>39804</v>
      </c>
      <c r="M205" s="106">
        <f t="shared" si="18"/>
        <v>2008</v>
      </c>
      <c r="N205" s="107">
        <f>+IFERROR(INDEX([12]PARÁMETROS!$B$11:$B$37,MATCH(M205,[12]PARÁMETROS!$A$11:$A$37,0)),"")</f>
        <v>461500</v>
      </c>
      <c r="O205" s="338">
        <v>2538978678</v>
      </c>
      <c r="P205" s="107" t="s">
        <v>151</v>
      </c>
      <c r="Q205" s="99" t="s">
        <v>140</v>
      </c>
      <c r="R205" s="110" t="s">
        <v>140</v>
      </c>
      <c r="S205" s="111">
        <v>1</v>
      </c>
      <c r="T205" s="107">
        <f t="shared" si="21"/>
        <v>2538978678</v>
      </c>
      <c r="U205" s="112">
        <f t="shared" si="19"/>
        <v>5501.5789339111589</v>
      </c>
      <c r="V205" s="112">
        <f t="shared" si="20"/>
        <v>4126.1842004333694</v>
      </c>
      <c r="W205" s="213">
        <v>66</v>
      </c>
      <c r="X205" s="1486" t="s">
        <v>22</v>
      </c>
      <c r="Y205" s="1486"/>
      <c r="Z205" s="1486"/>
      <c r="AA205" s="1486" t="s">
        <v>22</v>
      </c>
      <c r="AB205" s="1486"/>
      <c r="AC205" s="1486"/>
      <c r="AD205" s="1486" t="s">
        <v>22</v>
      </c>
      <c r="AE205" s="1486"/>
      <c r="AF205" s="1486"/>
      <c r="AG205" s="1392" t="s">
        <v>22</v>
      </c>
      <c r="AH205" s="1486"/>
      <c r="AI205" s="1486"/>
      <c r="AJ205" s="1392" t="str">
        <f>+IF(V205="","",IF(V205&gt;=[13]PARÁMETROS!$D$5,"CUMPLE","NO CUMPLE"))</f>
        <v>CUMPLE</v>
      </c>
      <c r="AK205" s="113"/>
    </row>
    <row r="206" spans="1:37" ht="72" thickBot="1">
      <c r="A206" s="1612"/>
      <c r="B206" s="1605" t="s">
        <v>1975</v>
      </c>
      <c r="C206" s="71" t="s">
        <v>1976</v>
      </c>
      <c r="D206" s="339">
        <v>164</v>
      </c>
      <c r="E206" s="101" t="str">
        <f>+IFERROR(INDEX([4]CONSOLIDADO!$D$4:$D$108,MATCH('Concur - Exp. General'!C206,[4]CONSOLIDADO!$C$4:$C$108,0)),"")</f>
        <v>3 B PROYECTOS S.A.S.</v>
      </c>
      <c r="F206" s="71" t="s">
        <v>1563</v>
      </c>
      <c r="G206" s="71" t="s">
        <v>1905</v>
      </c>
      <c r="H206" s="1394" t="s">
        <v>22</v>
      </c>
      <c r="I206" s="1394" t="s">
        <v>22</v>
      </c>
      <c r="J206" s="73">
        <v>0.5</v>
      </c>
      <c r="K206" s="74">
        <v>39694</v>
      </c>
      <c r="L206" s="74">
        <v>40283</v>
      </c>
      <c r="M206" s="116">
        <f t="shared" si="18"/>
        <v>2010</v>
      </c>
      <c r="N206" s="75">
        <f>+IFERROR(INDEX([13]PARÁMETROS!$B$11:$B$37,MATCH(M206,[13]PARÁMETROS!$A$11:$A$37,0)),"")</f>
        <v>515000</v>
      </c>
      <c r="O206" s="76">
        <v>3136622318</v>
      </c>
      <c r="P206" s="77" t="s">
        <v>151</v>
      </c>
      <c r="Q206" s="68" t="s">
        <v>140</v>
      </c>
      <c r="R206" s="78" t="s">
        <v>140</v>
      </c>
      <c r="S206" s="79">
        <v>1</v>
      </c>
      <c r="T206" s="75">
        <f t="shared" si="21"/>
        <v>3136622318</v>
      </c>
      <c r="U206" s="80">
        <f t="shared" si="19"/>
        <v>6090.5287728155336</v>
      </c>
      <c r="V206" s="80">
        <f t="shared" si="20"/>
        <v>3045.2643864077668</v>
      </c>
      <c r="W206" s="340">
        <v>2</v>
      </c>
      <c r="X206" s="1508" t="s">
        <v>22</v>
      </c>
      <c r="Y206" s="1508"/>
      <c r="Z206" s="1508"/>
      <c r="AA206" s="1508" t="s">
        <v>22</v>
      </c>
      <c r="AB206" s="1508"/>
      <c r="AC206" s="1508"/>
      <c r="AD206" s="1508" t="s">
        <v>22</v>
      </c>
      <c r="AE206" s="1508"/>
      <c r="AF206" s="1508"/>
      <c r="AG206" s="1394" t="s">
        <v>22</v>
      </c>
      <c r="AH206" s="1508" t="str">
        <f>IF(V206="","",IF(SUM(V206:V209)&gt;=[13]PARÁMETROS!$H$5,"CUMPLE","NO CUMPLE"))</f>
        <v>CUMPLE</v>
      </c>
      <c r="AI206" s="1508" t="s">
        <v>304</v>
      </c>
      <c r="AJ206" s="1394" t="str">
        <f>+IF(V206="","",IF(V206&gt;=[13]PARÁMETROS!$D$5,"CUMPLE","NO CUMPLE"))</f>
        <v>CUMPLE</v>
      </c>
      <c r="AK206" s="122" t="s">
        <v>1977</v>
      </c>
    </row>
    <row r="207" spans="1:37" ht="57.75" thickBot="1">
      <c r="A207" s="1612"/>
      <c r="B207" s="1510"/>
      <c r="C207" s="22" t="s">
        <v>1976</v>
      </c>
      <c r="D207" s="20">
        <v>170</v>
      </c>
      <c r="E207" s="101" t="str">
        <f>+IFERROR(INDEX([4]CONSOLIDADO!$D$4:$D$108,MATCH('Concur - Exp. General'!C207,[4]CONSOLIDADO!$C$4:$C$108,0)),"")</f>
        <v>3 B PROYECTOS S.A.S.</v>
      </c>
      <c r="F207" s="22" t="s">
        <v>1978</v>
      </c>
      <c r="G207" s="22" t="s">
        <v>1979</v>
      </c>
      <c r="H207" s="1388" t="s">
        <v>22</v>
      </c>
      <c r="I207" s="1388" t="s">
        <v>22</v>
      </c>
      <c r="J207" s="34">
        <v>1</v>
      </c>
      <c r="K207" s="25">
        <v>38929</v>
      </c>
      <c r="L207" s="25">
        <v>39553</v>
      </c>
      <c r="M207" s="26">
        <f t="shared" si="18"/>
        <v>2008</v>
      </c>
      <c r="N207" s="27">
        <f>+IFERROR(INDEX([13]PARÁMETROS!$B$11:$B$37,MATCH(M207,[13]PARÁMETROS!$A$11:$A$37,0)),"")</f>
        <v>461500</v>
      </c>
      <c r="O207" s="35">
        <v>3010928835</v>
      </c>
      <c r="P207" s="27" t="s">
        <v>151</v>
      </c>
      <c r="Q207" s="19" t="s">
        <v>140</v>
      </c>
      <c r="R207" s="30" t="s">
        <v>140</v>
      </c>
      <c r="S207" s="31">
        <v>1</v>
      </c>
      <c r="T207" s="27">
        <f t="shared" si="21"/>
        <v>3010928835</v>
      </c>
      <c r="U207" s="16">
        <f t="shared" si="19"/>
        <v>6524.2228277356444</v>
      </c>
      <c r="V207" s="16">
        <f t="shared" si="20"/>
        <v>6524.2228277356444</v>
      </c>
      <c r="W207" s="32">
        <v>43</v>
      </c>
      <c r="X207" s="1485" t="s">
        <v>22</v>
      </c>
      <c r="Y207" s="1485"/>
      <c r="Z207" s="1485"/>
      <c r="AA207" s="1485" t="s">
        <v>22</v>
      </c>
      <c r="AB207" s="1485"/>
      <c r="AC207" s="1485"/>
      <c r="AD207" s="1485" t="s">
        <v>22</v>
      </c>
      <c r="AE207" s="1485"/>
      <c r="AF207" s="1485"/>
      <c r="AG207" s="1388" t="s">
        <v>22</v>
      </c>
      <c r="AH207" s="1485"/>
      <c r="AI207" s="1485"/>
      <c r="AJ207" s="1388" t="str">
        <f>+IF(V207="","",IF(V207&gt;=[13]PARÁMETROS!$D$5,"CUMPLE","NO CUMPLE"))</f>
        <v>CUMPLE</v>
      </c>
      <c r="AK207" s="97" t="s">
        <v>1977</v>
      </c>
    </row>
    <row r="208" spans="1:37" ht="129" thickBot="1">
      <c r="A208" s="1612"/>
      <c r="B208" s="1510"/>
      <c r="C208" s="22" t="s">
        <v>1976</v>
      </c>
      <c r="D208" s="20">
        <v>173</v>
      </c>
      <c r="E208" s="101" t="str">
        <f>+IFERROR(INDEX([4]CONSOLIDADO!$D$4:$D$108,MATCH('Concur - Exp. General'!C208,[4]CONSOLIDADO!$C$4:$C$108,0)),"")</f>
        <v>3 B PROYECTOS S.A.S.</v>
      </c>
      <c r="F208" s="22" t="s">
        <v>147</v>
      </c>
      <c r="G208" s="23" t="s">
        <v>1980</v>
      </c>
      <c r="H208" s="1388" t="s">
        <v>22</v>
      </c>
      <c r="I208" s="1388" t="s">
        <v>22</v>
      </c>
      <c r="J208" s="341">
        <v>0.83499999999999996</v>
      </c>
      <c r="K208" s="25">
        <v>38337</v>
      </c>
      <c r="L208" s="25">
        <v>41440</v>
      </c>
      <c r="M208" s="26">
        <f t="shared" si="18"/>
        <v>2013</v>
      </c>
      <c r="N208" s="27">
        <f>+IFERROR(INDEX([13]PARÁMETROS!$B$11:$B$37,MATCH(M208,[13]PARÁMETROS!$A$11:$A$37,0)),"")</f>
        <v>589500</v>
      </c>
      <c r="O208" s="28">
        <v>9865877743</v>
      </c>
      <c r="P208" s="29" t="s">
        <v>151</v>
      </c>
      <c r="Q208" s="19" t="s">
        <v>140</v>
      </c>
      <c r="R208" s="30" t="s">
        <v>140</v>
      </c>
      <c r="S208" s="31">
        <v>1</v>
      </c>
      <c r="T208" s="27">
        <f t="shared" si="21"/>
        <v>9865877743</v>
      </c>
      <c r="U208" s="16">
        <f t="shared" si="19"/>
        <v>16736.009742154369</v>
      </c>
      <c r="V208" s="16">
        <f t="shared" si="20"/>
        <v>13974.568134698897</v>
      </c>
      <c r="W208" s="32">
        <v>29</v>
      </c>
      <c r="X208" s="1485" t="s">
        <v>22</v>
      </c>
      <c r="Y208" s="1485"/>
      <c r="Z208" s="1485"/>
      <c r="AA208" s="1485" t="s">
        <v>22</v>
      </c>
      <c r="AB208" s="1485"/>
      <c r="AC208" s="1485"/>
      <c r="AD208" s="1485" t="s">
        <v>22</v>
      </c>
      <c r="AE208" s="1485"/>
      <c r="AF208" s="1485"/>
      <c r="AG208" s="1388" t="s">
        <v>22</v>
      </c>
      <c r="AH208" s="1485"/>
      <c r="AI208" s="1485"/>
      <c r="AJ208" s="1388" t="str">
        <f>+IF(V208="","",IF(V208&gt;=[13]PARÁMETROS!$D$5,"CUMPLE","NO CUMPLE"))</f>
        <v>CUMPLE</v>
      </c>
      <c r="AK208" s="98" t="s">
        <v>1977</v>
      </c>
    </row>
    <row r="209" spans="1:37" ht="72" thickBot="1">
      <c r="A209" s="1612"/>
      <c r="B209" s="1511"/>
      <c r="C209" s="102" t="s">
        <v>1976</v>
      </c>
      <c r="D209" s="123">
        <v>176</v>
      </c>
      <c r="E209" s="101" t="str">
        <f>+IFERROR(INDEX([4]CONSOLIDADO!$D$4:$D$108,MATCH('Concur - Exp. General'!C209,[4]CONSOLIDADO!$C$4:$C$108,0)),"")</f>
        <v>3 B PROYECTOS S.A.S.</v>
      </c>
      <c r="F209" s="102" t="s">
        <v>448</v>
      </c>
      <c r="G209" s="103" t="s">
        <v>1981</v>
      </c>
      <c r="H209" s="1392" t="s">
        <v>22</v>
      </c>
      <c r="I209" s="1392" t="s">
        <v>22</v>
      </c>
      <c r="J209" s="104">
        <v>1</v>
      </c>
      <c r="K209" s="105">
        <v>39148</v>
      </c>
      <c r="L209" s="105">
        <v>40072</v>
      </c>
      <c r="M209" s="106">
        <f t="shared" si="18"/>
        <v>2009</v>
      </c>
      <c r="N209" s="107">
        <f>+IFERROR(INDEX([13]PARÁMETROS!$B$11:$B$37,MATCH(M209,[13]PARÁMETROS!$A$11:$A$37,0)),"")</f>
        <v>496900</v>
      </c>
      <c r="O209" s="108">
        <f>1690448539+901877829</f>
        <v>2592326368</v>
      </c>
      <c r="P209" s="109" t="s">
        <v>151</v>
      </c>
      <c r="Q209" s="99" t="s">
        <v>140</v>
      </c>
      <c r="R209" s="110" t="s">
        <v>140</v>
      </c>
      <c r="S209" s="111">
        <v>1</v>
      </c>
      <c r="T209" s="107">
        <f t="shared" si="21"/>
        <v>2592326368</v>
      </c>
      <c r="U209" s="112">
        <f t="shared" si="19"/>
        <v>5216.9981243711009</v>
      </c>
      <c r="V209" s="112">
        <f t="shared" si="20"/>
        <v>5216.9981243711009</v>
      </c>
      <c r="W209" s="225">
        <v>45</v>
      </c>
      <c r="X209" s="1486" t="s">
        <v>22</v>
      </c>
      <c r="Y209" s="1486"/>
      <c r="Z209" s="1486"/>
      <c r="AA209" s="1486" t="s">
        <v>22</v>
      </c>
      <c r="AB209" s="1486"/>
      <c r="AC209" s="1486"/>
      <c r="AD209" s="1486" t="s">
        <v>22</v>
      </c>
      <c r="AE209" s="1486"/>
      <c r="AF209" s="1486"/>
      <c r="AG209" s="1392" t="s">
        <v>22</v>
      </c>
      <c r="AH209" s="1486"/>
      <c r="AI209" s="1486"/>
      <c r="AJ209" s="1392" t="str">
        <f>+IF(V209="","",IF(V209&gt;=[13]PARÁMETROS!$D$5,"CUMPLE","NO CUMPLE"))</f>
        <v>CUMPLE</v>
      </c>
      <c r="AK209" s="124" t="s">
        <v>1977</v>
      </c>
    </row>
    <row r="210" spans="1:37" ht="57.75" thickBot="1">
      <c r="A210" s="1612"/>
      <c r="B210" s="1509" t="s">
        <v>1982</v>
      </c>
      <c r="C210" s="81" t="s">
        <v>1983</v>
      </c>
      <c r="D210" s="169">
        <v>102</v>
      </c>
      <c r="E210" s="101" t="str">
        <f>+IFERROR(INDEX([4]CONSOLIDADO!$D$4:$D$108,MATCH('Concur - Exp. General'!C210,[4]CONSOLIDADO!$C$4:$C$108,0)),"")</f>
        <v>CANO JIMENEZ ESTUDIOS S.A.</v>
      </c>
      <c r="F210" s="84" t="s">
        <v>442</v>
      </c>
      <c r="G210" s="85" t="s">
        <v>1984</v>
      </c>
      <c r="H210" s="1393" t="s">
        <v>22</v>
      </c>
      <c r="I210" s="1393" t="s">
        <v>22</v>
      </c>
      <c r="J210" s="86">
        <v>1</v>
      </c>
      <c r="K210" s="87">
        <v>38622</v>
      </c>
      <c r="L210" s="87">
        <v>39930</v>
      </c>
      <c r="M210" s="88">
        <f t="shared" si="18"/>
        <v>2009</v>
      </c>
      <c r="N210" s="89">
        <f>+IFERROR(INDEX([13]PARÁMETROS!$B$11:$B$37,MATCH(M210,[13]PARÁMETROS!$A$11:$A$37,0)),"")</f>
        <v>496900</v>
      </c>
      <c r="O210" s="90">
        <v>7034470356</v>
      </c>
      <c r="P210" s="91" t="s">
        <v>151</v>
      </c>
      <c r="Q210" s="81" t="s">
        <v>140</v>
      </c>
      <c r="R210" s="92" t="s">
        <v>140</v>
      </c>
      <c r="S210" s="93">
        <v>1</v>
      </c>
      <c r="T210" s="89">
        <f t="shared" si="21"/>
        <v>7034470356</v>
      </c>
      <c r="U210" s="94">
        <f t="shared" si="19"/>
        <v>14156.712328436304</v>
      </c>
      <c r="V210" s="94">
        <f t="shared" si="20"/>
        <v>14156.712328436304</v>
      </c>
      <c r="W210" s="94">
        <v>1</v>
      </c>
      <c r="X210" s="1484" t="s">
        <v>22</v>
      </c>
      <c r="Y210" s="1484"/>
      <c r="Z210" s="1484"/>
      <c r="AA210" s="1484" t="s">
        <v>22</v>
      </c>
      <c r="AB210" s="1484"/>
      <c r="AC210" s="1484"/>
      <c r="AD210" s="1484" t="s">
        <v>22</v>
      </c>
      <c r="AE210" s="1484"/>
      <c r="AF210" s="1484"/>
      <c r="AG210" s="1393" t="s">
        <v>22</v>
      </c>
      <c r="AH210" s="1484" t="str">
        <f>IF(V210="","",IF(SUM(V210:V213)&gt;=[13]PARÁMETROS!$H$5,"CUMPLE","NO CUMPLE"))</f>
        <v>CUMPLE</v>
      </c>
      <c r="AI210" s="1484" t="str">
        <f>IF(V210="","",IF((V210+V211+V212)&gt;=[13]PARÁMETROS!$F$5,"CUMPLE","NO CUMPLE"))</f>
        <v>CUMPLE</v>
      </c>
      <c r="AJ210" s="1393" t="str">
        <f>+IF(V210="","",IF(V210&gt;=[13]PARÁMETROS!$D$5,"CUMPLE","NO CUMPLE"))</f>
        <v>CUMPLE</v>
      </c>
      <c r="AK210" s="96"/>
    </row>
    <row r="211" spans="1:37" ht="57.75" thickBot="1">
      <c r="A211" s="1612"/>
      <c r="B211" s="1510"/>
      <c r="C211" s="19" t="s">
        <v>1983</v>
      </c>
      <c r="D211" s="170">
        <v>110</v>
      </c>
      <c r="E211" s="101" t="str">
        <f>+IFERROR(INDEX([4]CONSOLIDADO!$D$4:$D$108,MATCH('Concur - Exp. General'!C211,[4]CONSOLIDADO!$C$4:$C$108,0)),"")</f>
        <v>CANO JIMENEZ ESTUDIOS S.A.</v>
      </c>
      <c r="F211" s="22" t="s">
        <v>442</v>
      </c>
      <c r="G211" s="23" t="s">
        <v>1985</v>
      </c>
      <c r="H211" s="1388" t="s">
        <v>22</v>
      </c>
      <c r="I211" s="1388" t="s">
        <v>22</v>
      </c>
      <c r="J211" s="24">
        <v>1</v>
      </c>
      <c r="K211" s="25">
        <v>39909</v>
      </c>
      <c r="L211" s="25">
        <v>41186</v>
      </c>
      <c r="M211" s="26">
        <f t="shared" si="18"/>
        <v>2012</v>
      </c>
      <c r="N211" s="27">
        <f>+IFERROR(INDEX([13]PARÁMETROS!$B$11:$B$37,MATCH(M211,[13]PARÁMETROS!$A$11:$A$37,0)),"")</f>
        <v>566700</v>
      </c>
      <c r="O211" s="28">
        <v>10196799946</v>
      </c>
      <c r="P211" s="29" t="s">
        <v>151</v>
      </c>
      <c r="Q211" s="19" t="s">
        <v>140</v>
      </c>
      <c r="R211" s="30" t="s">
        <v>140</v>
      </c>
      <c r="S211" s="31">
        <v>1</v>
      </c>
      <c r="T211" s="27">
        <f t="shared" si="21"/>
        <v>10196799946</v>
      </c>
      <c r="U211" s="16">
        <f t="shared" si="19"/>
        <v>17993.294416799014</v>
      </c>
      <c r="V211" s="16">
        <f t="shared" si="20"/>
        <v>17993.294416799014</v>
      </c>
      <c r="W211" s="16">
        <v>3</v>
      </c>
      <c r="X211" s="1485" t="s">
        <v>22</v>
      </c>
      <c r="Y211" s="1485"/>
      <c r="Z211" s="1485"/>
      <c r="AA211" s="1485" t="s">
        <v>22</v>
      </c>
      <c r="AB211" s="1485"/>
      <c r="AC211" s="1485"/>
      <c r="AD211" s="1485" t="s">
        <v>22</v>
      </c>
      <c r="AE211" s="1485"/>
      <c r="AF211" s="1485"/>
      <c r="AG211" s="1388" t="s">
        <v>22</v>
      </c>
      <c r="AH211" s="1485"/>
      <c r="AI211" s="1485"/>
      <c r="AJ211" s="1388" t="str">
        <f>+IF(V211="","",IF(V211&gt;=[13]PARÁMETROS!$D$5,"CUMPLE","NO CUMPLE"))</f>
        <v>CUMPLE</v>
      </c>
      <c r="AK211" s="97"/>
    </row>
    <row r="212" spans="1:37" ht="57.75" thickBot="1">
      <c r="A212" s="1612"/>
      <c r="B212" s="1510"/>
      <c r="C212" s="19" t="s">
        <v>1983</v>
      </c>
      <c r="D212" s="170">
        <v>117</v>
      </c>
      <c r="E212" s="101" t="str">
        <f>+IFERROR(INDEX([4]CONSOLIDADO!$D$4:$D$108,MATCH('Concur - Exp. General'!C212,[4]CONSOLIDADO!$C$4:$C$108,0)),"")</f>
        <v>CANO JIMENEZ ESTUDIOS S.A.</v>
      </c>
      <c r="F212" s="22" t="s">
        <v>442</v>
      </c>
      <c r="G212" s="23" t="s">
        <v>1986</v>
      </c>
      <c r="H212" s="1388" t="s">
        <v>22</v>
      </c>
      <c r="I212" s="1388" t="s">
        <v>22</v>
      </c>
      <c r="J212" s="24">
        <v>1</v>
      </c>
      <c r="K212" s="25">
        <v>39542</v>
      </c>
      <c r="L212" s="25">
        <v>40669</v>
      </c>
      <c r="M212" s="26">
        <f t="shared" si="18"/>
        <v>2011</v>
      </c>
      <c r="N212" s="27">
        <f>+IFERROR(INDEX([13]PARÁMETROS!$B$11:$B$37,MATCH(M212,[13]PARÁMETROS!$A$11:$A$37,0)),"")</f>
        <v>535600</v>
      </c>
      <c r="O212" s="28">
        <v>4384894733</v>
      </c>
      <c r="P212" s="29" t="s">
        <v>151</v>
      </c>
      <c r="Q212" s="19" t="s">
        <v>140</v>
      </c>
      <c r="R212" s="30" t="s">
        <v>140</v>
      </c>
      <c r="S212" s="31">
        <v>1</v>
      </c>
      <c r="T212" s="27">
        <f t="shared" si="21"/>
        <v>4384894733</v>
      </c>
      <c r="U212" s="16">
        <f t="shared" si="19"/>
        <v>8186.8833700522782</v>
      </c>
      <c r="V212" s="16">
        <f t="shared" si="20"/>
        <v>8186.8833700522782</v>
      </c>
      <c r="W212" s="16">
        <v>2</v>
      </c>
      <c r="X212" s="1485" t="s">
        <v>22</v>
      </c>
      <c r="Y212" s="1485"/>
      <c r="Z212" s="1485"/>
      <c r="AA212" s="1485" t="s">
        <v>22</v>
      </c>
      <c r="AB212" s="1485"/>
      <c r="AC212" s="1485"/>
      <c r="AD212" s="1485" t="s">
        <v>22</v>
      </c>
      <c r="AE212" s="1485"/>
      <c r="AF212" s="1485"/>
      <c r="AG212" s="1388" t="s">
        <v>22</v>
      </c>
      <c r="AH212" s="1485"/>
      <c r="AI212" s="1485"/>
      <c r="AJ212" s="1388" t="str">
        <f>+IF(V212="","",IF(V212&gt;=[13]PARÁMETROS!$D$5,"CUMPLE","NO CUMPLE"))</f>
        <v>CUMPLE</v>
      </c>
      <c r="AK212" s="97"/>
    </row>
    <row r="213" spans="1:37" ht="243" thickBot="1">
      <c r="A213" s="1612"/>
      <c r="B213" s="1511"/>
      <c r="C213" s="99" t="s">
        <v>1987</v>
      </c>
      <c r="D213" s="178">
        <v>120</v>
      </c>
      <c r="E213" s="101" t="str">
        <f>+IFERROR(INDEX([4]CONSOLIDADO!$D$4:$D$108,MATCH('Concur - Exp. General'!C213,[4]CONSOLIDADO!$C$4:$C$108,0)),"")</f>
        <v>INRAESTRUCTURA INTEGRAL S.A.S.</v>
      </c>
      <c r="F213" s="102" t="s">
        <v>448</v>
      </c>
      <c r="G213" s="103" t="s">
        <v>1988</v>
      </c>
      <c r="H213" s="1392" t="s">
        <v>22</v>
      </c>
      <c r="I213" s="1392" t="s">
        <v>22</v>
      </c>
      <c r="J213" s="104">
        <v>0.2</v>
      </c>
      <c r="K213" s="105">
        <v>39615</v>
      </c>
      <c r="L213" s="105">
        <v>41502</v>
      </c>
      <c r="M213" s="106">
        <f t="shared" si="18"/>
        <v>2013</v>
      </c>
      <c r="N213" s="107">
        <f>+IFERROR(INDEX([13]PARÁMETROS!$B$11:$B$37,MATCH(M213,[13]PARÁMETROS!$A$11:$A$37,0)),"")</f>
        <v>589500</v>
      </c>
      <c r="O213" s="108">
        <v>28736581560</v>
      </c>
      <c r="P213" s="109" t="s">
        <v>151</v>
      </c>
      <c r="Q213" s="99" t="s">
        <v>140</v>
      </c>
      <c r="R213" s="110" t="s">
        <v>140</v>
      </c>
      <c r="S213" s="111">
        <v>1</v>
      </c>
      <c r="T213" s="107">
        <f t="shared" si="21"/>
        <v>28736581560</v>
      </c>
      <c r="U213" s="112">
        <f t="shared" si="19"/>
        <v>48747.381781170487</v>
      </c>
      <c r="V213" s="112">
        <f t="shared" si="20"/>
        <v>9749.4763562340977</v>
      </c>
      <c r="W213" s="112">
        <v>42</v>
      </c>
      <c r="X213" s="1486" t="s">
        <v>22</v>
      </c>
      <c r="Y213" s="1486"/>
      <c r="Z213" s="1486"/>
      <c r="AA213" s="1486" t="s">
        <v>22</v>
      </c>
      <c r="AB213" s="1486"/>
      <c r="AC213" s="1486"/>
      <c r="AD213" s="1486" t="s">
        <v>22</v>
      </c>
      <c r="AE213" s="1486"/>
      <c r="AF213" s="1486"/>
      <c r="AG213" s="1392" t="s">
        <v>22</v>
      </c>
      <c r="AH213" s="1486"/>
      <c r="AI213" s="1486"/>
      <c r="AJ213" s="1392" t="str">
        <f>+IF(V213="","",IF(V213&gt;=[13]PARÁMETROS!$D$5,"CUMPLE","NO CUMPLE"))</f>
        <v>CUMPLE</v>
      </c>
      <c r="AK213" s="113" t="s">
        <v>1989</v>
      </c>
    </row>
    <row r="214" spans="1:37" ht="72" thickBot="1">
      <c r="A214" s="1612"/>
      <c r="B214" s="1509" t="s">
        <v>1990</v>
      </c>
      <c r="C214" s="81" t="s">
        <v>1991</v>
      </c>
      <c r="D214" s="169">
        <v>91</v>
      </c>
      <c r="E214" s="101" t="str">
        <f>+IFERROR(INDEX([4]CONSOLIDADO!$D$4:$D$108,MATCH('Concur - Exp. General'!C214,[4]CONSOLIDADO!$C$4:$C$108,0)),"")</f>
        <v>CONSULTORES TECNICOS Y ECONOMICOS S.A.</v>
      </c>
      <c r="F214" s="84" t="s">
        <v>207</v>
      </c>
      <c r="G214" s="85" t="s">
        <v>287</v>
      </c>
      <c r="H214" s="1393" t="s">
        <v>22</v>
      </c>
      <c r="I214" s="1393" t="s">
        <v>22</v>
      </c>
      <c r="J214" s="86">
        <v>0.5</v>
      </c>
      <c r="K214" s="87">
        <v>38034</v>
      </c>
      <c r="L214" s="87">
        <v>40770</v>
      </c>
      <c r="M214" s="88">
        <f t="shared" si="18"/>
        <v>2011</v>
      </c>
      <c r="N214" s="89">
        <f>+IFERROR(INDEX([13]PARÁMETROS!$B$11:$B$37,MATCH(M214,[13]PARÁMETROS!$A$11:$A$37,0)),"")</f>
        <v>535600</v>
      </c>
      <c r="O214" s="90">
        <v>9131630030</v>
      </c>
      <c r="P214" s="91" t="s">
        <v>151</v>
      </c>
      <c r="Q214" s="81" t="s">
        <v>140</v>
      </c>
      <c r="R214" s="92" t="s">
        <v>140</v>
      </c>
      <c r="S214" s="93">
        <v>1</v>
      </c>
      <c r="T214" s="89">
        <f t="shared" si="21"/>
        <v>9131630030</v>
      </c>
      <c r="U214" s="94">
        <f t="shared" si="19"/>
        <v>17049.346583271097</v>
      </c>
      <c r="V214" s="94">
        <f t="shared" si="20"/>
        <v>8524.6732916355486</v>
      </c>
      <c r="W214" s="94">
        <v>37</v>
      </c>
      <c r="X214" s="1484" t="s">
        <v>22</v>
      </c>
      <c r="Y214" s="1484"/>
      <c r="Z214" s="1484"/>
      <c r="AA214" s="1484" t="s">
        <v>22</v>
      </c>
      <c r="AB214" s="1484"/>
      <c r="AC214" s="1484"/>
      <c r="AD214" s="1484" t="s">
        <v>22</v>
      </c>
      <c r="AE214" s="1484"/>
      <c r="AF214" s="1484"/>
      <c r="AG214" s="1393" t="s">
        <v>22</v>
      </c>
      <c r="AH214" s="1505" t="str">
        <f>IF(V214="","",IF(SUM(V214:V219)&gt;=[13]PARÁMETROS!$H$5,"CUMPLE","NO CUMPLE"))</f>
        <v>CUMPLE</v>
      </c>
      <c r="AI214" s="1505" t="str">
        <f>IF(V214="","",IF((V214+V215+V216+V217+V218)&gt;=[13]PARÁMETROS!$F$5,"CUMPLE","NO CUMPLE"))</f>
        <v>CUMPLE</v>
      </c>
      <c r="AJ214" s="1393" t="str">
        <f>+IF(V214="","",IF(V214&gt;=[13]PARÁMETROS!$D$5,"CUMPLE","NO CUMPLE"))</f>
        <v>CUMPLE</v>
      </c>
      <c r="AK214" s="96"/>
    </row>
    <row r="215" spans="1:37" ht="72" thickBot="1">
      <c r="A215" s="1612"/>
      <c r="B215" s="1510"/>
      <c r="C215" s="19" t="s">
        <v>1991</v>
      </c>
      <c r="D215" s="170">
        <v>96</v>
      </c>
      <c r="E215" s="101" t="str">
        <f>+IFERROR(INDEX([4]CONSOLIDADO!$D$4:$D$108,MATCH('Concur - Exp. General'!C215,[4]CONSOLIDADO!$C$4:$C$108,0)),"")</f>
        <v>CONSULTORES TECNICOS Y ECONOMICOS S.A.</v>
      </c>
      <c r="F215" s="22" t="s">
        <v>155</v>
      </c>
      <c r="G215" s="22" t="s">
        <v>1317</v>
      </c>
      <c r="H215" s="1388" t="s">
        <v>22</v>
      </c>
      <c r="I215" s="1388" t="s">
        <v>22</v>
      </c>
      <c r="J215" s="34">
        <v>1</v>
      </c>
      <c r="K215" s="25">
        <v>38337</v>
      </c>
      <c r="L215" s="25">
        <v>39401</v>
      </c>
      <c r="M215" s="26">
        <f t="shared" si="18"/>
        <v>2007</v>
      </c>
      <c r="N215" s="27">
        <f>+IFERROR(INDEX([13]PARÁMETROS!$B$11:$B$37,MATCH(M215,[13]PARÁMETROS!$A$11:$A$37,0)),"")</f>
        <v>433700</v>
      </c>
      <c r="O215" s="35">
        <v>2544987926</v>
      </c>
      <c r="P215" s="29" t="s">
        <v>151</v>
      </c>
      <c r="Q215" s="19" t="s">
        <v>140</v>
      </c>
      <c r="R215" s="30" t="s">
        <v>140</v>
      </c>
      <c r="S215" s="31">
        <v>1</v>
      </c>
      <c r="T215" s="27">
        <f t="shared" si="21"/>
        <v>2544987926</v>
      </c>
      <c r="U215" s="16">
        <f t="shared" si="19"/>
        <v>5868.0837583583125</v>
      </c>
      <c r="V215" s="16">
        <f t="shared" si="20"/>
        <v>5868.0837583583125</v>
      </c>
      <c r="W215" s="16">
        <v>14</v>
      </c>
      <c r="X215" s="1485" t="s">
        <v>22</v>
      </c>
      <c r="Y215" s="1485"/>
      <c r="Z215" s="1485"/>
      <c r="AA215" s="1485" t="s">
        <v>22</v>
      </c>
      <c r="AB215" s="1485"/>
      <c r="AC215" s="1485"/>
      <c r="AD215" s="1485" t="s">
        <v>22</v>
      </c>
      <c r="AE215" s="1485"/>
      <c r="AF215" s="1485"/>
      <c r="AG215" s="1388" t="s">
        <v>22</v>
      </c>
      <c r="AH215" s="1506"/>
      <c r="AI215" s="1506"/>
      <c r="AJ215" s="1388" t="str">
        <f>+IF(V215="","",IF(V215&gt;=[13]PARÁMETROS!$D$5,"CUMPLE","NO CUMPLE"))</f>
        <v>CUMPLE</v>
      </c>
      <c r="AK215" s="97"/>
    </row>
    <row r="216" spans="1:37" ht="100.5" thickBot="1">
      <c r="A216" s="1612"/>
      <c r="B216" s="1510"/>
      <c r="C216" s="19" t="s">
        <v>1991</v>
      </c>
      <c r="D216" s="170">
        <v>100</v>
      </c>
      <c r="E216" s="101" t="str">
        <f>+IFERROR(INDEX([4]CONSOLIDADO!$D$4:$D$108,MATCH('Concur - Exp. General'!C216,[4]CONSOLIDADO!$C$4:$C$108,0)),"")</f>
        <v>CONSULTORES TECNICOS Y ECONOMICOS S.A.</v>
      </c>
      <c r="F216" s="22" t="s">
        <v>281</v>
      </c>
      <c r="G216" s="23" t="s">
        <v>1315</v>
      </c>
      <c r="H216" s="1388" t="s">
        <v>22</v>
      </c>
      <c r="I216" s="1388" t="s">
        <v>22</v>
      </c>
      <c r="J216" s="24">
        <v>0.75</v>
      </c>
      <c r="K216" s="25">
        <v>38177</v>
      </c>
      <c r="L216" s="25">
        <v>39760</v>
      </c>
      <c r="M216" s="26">
        <f t="shared" si="18"/>
        <v>2008</v>
      </c>
      <c r="N216" s="27">
        <f>+IFERROR(INDEX([13]PARÁMETROS!$B$11:$B$37,MATCH(M216,[13]PARÁMETROS!$A$11:$A$37,0)),"")</f>
        <v>461500</v>
      </c>
      <c r="O216" s="28">
        <v>2288853387</v>
      </c>
      <c r="P216" s="29" t="s">
        <v>151</v>
      </c>
      <c r="Q216" s="19" t="s">
        <v>140</v>
      </c>
      <c r="R216" s="30" t="s">
        <v>140</v>
      </c>
      <c r="S216" s="31">
        <v>1</v>
      </c>
      <c r="T216" s="27">
        <f t="shared" si="21"/>
        <v>2288853387</v>
      </c>
      <c r="U216" s="16">
        <f t="shared" si="19"/>
        <v>4959.5956381365113</v>
      </c>
      <c r="V216" s="16">
        <f t="shared" si="20"/>
        <v>3719.6967286023837</v>
      </c>
      <c r="W216" s="16">
        <v>25</v>
      </c>
      <c r="X216" s="1485" t="s">
        <v>22</v>
      </c>
      <c r="Y216" s="1485"/>
      <c r="Z216" s="1485"/>
      <c r="AA216" s="1485" t="s">
        <v>22</v>
      </c>
      <c r="AB216" s="1485"/>
      <c r="AC216" s="1485"/>
      <c r="AD216" s="1485" t="s">
        <v>22</v>
      </c>
      <c r="AE216" s="1485"/>
      <c r="AF216" s="1485"/>
      <c r="AG216" s="1388" t="s">
        <v>22</v>
      </c>
      <c r="AH216" s="1506"/>
      <c r="AI216" s="1506"/>
      <c r="AJ216" s="1388" t="str">
        <f>+IF(V216="","",IF(V216&gt;=[13]PARÁMETROS!$D$5,"CUMPLE","NO CUMPLE"))</f>
        <v>CUMPLE</v>
      </c>
      <c r="AK216" s="97"/>
    </row>
    <row r="217" spans="1:37" ht="95.25" thickBot="1">
      <c r="A217" s="1612"/>
      <c r="B217" s="1510"/>
      <c r="C217" s="19" t="s">
        <v>1991</v>
      </c>
      <c r="D217" s="170">
        <v>111</v>
      </c>
      <c r="E217" s="101" t="str">
        <f>+IFERROR(INDEX([4]CONSOLIDADO!$D$4:$D$108,MATCH('Concur - Exp. General'!C217,[4]CONSOLIDADO!$C$4:$C$108,0)),"")</f>
        <v>CONSULTORES TECNICOS Y ECONOMICOS S.A.</v>
      </c>
      <c r="F217" s="22" t="s">
        <v>281</v>
      </c>
      <c r="G217" s="37" t="s">
        <v>283</v>
      </c>
      <c r="H217" s="1388" t="s">
        <v>22</v>
      </c>
      <c r="I217" s="1388" t="s">
        <v>22</v>
      </c>
      <c r="J217" s="24">
        <v>0.75</v>
      </c>
      <c r="K217" s="25">
        <v>38374</v>
      </c>
      <c r="L217" s="25">
        <v>39512</v>
      </c>
      <c r="M217" s="26">
        <f t="shared" si="18"/>
        <v>2008</v>
      </c>
      <c r="N217" s="27">
        <f>+IFERROR(INDEX([13]PARÁMETROS!$B$11:$B$37,MATCH(M217,[13]PARÁMETROS!$A$11:$A$37,0)),"")</f>
        <v>461500</v>
      </c>
      <c r="O217" s="28">
        <v>4505935152</v>
      </c>
      <c r="P217" s="29" t="s">
        <v>151</v>
      </c>
      <c r="Q217" s="19" t="s">
        <v>140</v>
      </c>
      <c r="R217" s="30" t="s">
        <v>140</v>
      </c>
      <c r="S217" s="31">
        <v>1</v>
      </c>
      <c r="T217" s="27">
        <f t="shared" si="21"/>
        <v>4505935152</v>
      </c>
      <c r="U217" s="16">
        <f t="shared" si="19"/>
        <v>9763.6731354279527</v>
      </c>
      <c r="V217" s="16">
        <f t="shared" si="20"/>
        <v>7322.7548515709641</v>
      </c>
      <c r="W217" s="16">
        <v>26</v>
      </c>
      <c r="X217" s="1485" t="s">
        <v>22</v>
      </c>
      <c r="Y217" s="1485"/>
      <c r="Z217" s="1485"/>
      <c r="AA217" s="1485" t="s">
        <v>22</v>
      </c>
      <c r="AB217" s="1485"/>
      <c r="AC217" s="1485"/>
      <c r="AD217" s="1485" t="s">
        <v>22</v>
      </c>
      <c r="AE217" s="1485"/>
      <c r="AF217" s="1485"/>
      <c r="AG217" s="1388" t="s">
        <v>22</v>
      </c>
      <c r="AH217" s="1506"/>
      <c r="AI217" s="1506"/>
      <c r="AJ217" s="1388" t="str">
        <f>+IF(V217="","",IF(V217&gt;=[13]PARÁMETROS!$D$5,"CUMPLE","NO CUMPLE"))</f>
        <v>CUMPLE</v>
      </c>
      <c r="AK217" s="97"/>
    </row>
    <row r="218" spans="1:37" ht="63.75" thickBot="1">
      <c r="A218" s="1612"/>
      <c r="B218" s="1510"/>
      <c r="C218" s="19" t="s">
        <v>1991</v>
      </c>
      <c r="D218" s="170">
        <v>118</v>
      </c>
      <c r="E218" s="101" t="str">
        <f>+IFERROR(INDEX([4]CONSOLIDADO!$D$4:$D$108,MATCH('Concur - Exp. General'!C218,[4]CONSOLIDADO!$C$4:$C$108,0)),"")</f>
        <v>CONSULTORES TECNICOS Y ECONOMICOS S.A.</v>
      </c>
      <c r="F218" s="22" t="s">
        <v>1992</v>
      </c>
      <c r="G218" s="23" t="s">
        <v>1319</v>
      </c>
      <c r="H218" s="1388" t="s">
        <v>22</v>
      </c>
      <c r="I218" s="1388" t="s">
        <v>22</v>
      </c>
      <c r="J218" s="24">
        <v>0.5</v>
      </c>
      <c r="K218" s="25">
        <v>40329</v>
      </c>
      <c r="L218" s="25">
        <v>41076</v>
      </c>
      <c r="M218" s="26">
        <f t="shared" si="18"/>
        <v>2012</v>
      </c>
      <c r="N218" s="27">
        <f>+IFERROR(INDEX([13]PARÁMETROS!$B$11:$B$37,MATCH(M218,[13]PARÁMETROS!$A$11:$A$37,0)),"")</f>
        <v>566700</v>
      </c>
      <c r="O218" s="28">
        <v>4660189234</v>
      </c>
      <c r="P218" s="29" t="s">
        <v>151</v>
      </c>
      <c r="Q218" s="19" t="s">
        <v>140</v>
      </c>
      <c r="R218" s="30" t="s">
        <v>140</v>
      </c>
      <c r="S218" s="31">
        <v>1</v>
      </c>
      <c r="T218" s="27">
        <f t="shared" si="21"/>
        <v>4660189234</v>
      </c>
      <c r="U218" s="16">
        <f t="shared" si="19"/>
        <v>8223.3796259043593</v>
      </c>
      <c r="V218" s="16">
        <f t="shared" si="20"/>
        <v>4111.6898129521796</v>
      </c>
      <c r="W218" s="16">
        <v>46</v>
      </c>
      <c r="X218" s="1485" t="s">
        <v>22</v>
      </c>
      <c r="Y218" s="1485"/>
      <c r="Z218" s="1485"/>
      <c r="AA218" s="1485" t="s">
        <v>22</v>
      </c>
      <c r="AB218" s="1485"/>
      <c r="AC218" s="1485"/>
      <c r="AD218" s="1485" t="s">
        <v>22</v>
      </c>
      <c r="AE218" s="1485"/>
      <c r="AF218" s="1485"/>
      <c r="AG218" s="1388" t="s">
        <v>22</v>
      </c>
      <c r="AH218" s="1506"/>
      <c r="AI218" s="1506"/>
      <c r="AJ218" s="1388" t="str">
        <f>+IF(V218="","",IF(V218&gt;=[13]PARÁMETROS!$D$5,"CUMPLE","NO CUMPLE"))</f>
        <v>CUMPLE</v>
      </c>
      <c r="AK218" s="97"/>
    </row>
    <row r="219" spans="1:37" ht="86.25" thickBot="1">
      <c r="A219" s="1612"/>
      <c r="B219" s="1511"/>
      <c r="C219" s="99" t="s">
        <v>1993</v>
      </c>
      <c r="D219" s="178">
        <v>142</v>
      </c>
      <c r="E219" s="101" t="str">
        <f>+IFERROR(INDEX([4]CONSOLIDADO!$D$4:$D$108,MATCH('Concur - Exp. General'!C219,[4]CONSOLIDADO!$C$4:$C$108,0)),"")</f>
        <v>CONSULTORES E INTERVENTORES TECNICOS S.A.S</v>
      </c>
      <c r="F219" s="102" t="s">
        <v>155</v>
      </c>
      <c r="G219" s="103" t="s">
        <v>1322</v>
      </c>
      <c r="H219" s="1392" t="s">
        <v>22</v>
      </c>
      <c r="I219" s="1392" t="s">
        <v>22</v>
      </c>
      <c r="J219" s="104">
        <v>0.4</v>
      </c>
      <c r="K219" s="105">
        <v>41109</v>
      </c>
      <c r="L219" s="105" t="s">
        <v>1994</v>
      </c>
      <c r="M219" s="106">
        <v>2015</v>
      </c>
      <c r="N219" s="107">
        <f>+IFERROR(INDEX([13]PARÁMETROS!$B$11:$B$37,MATCH(M219,[13]PARÁMETROS!$A$11:$A$37,0)),"")</f>
        <v>644350</v>
      </c>
      <c r="O219" s="108">
        <v>5281678857</v>
      </c>
      <c r="P219" s="109" t="s">
        <v>151</v>
      </c>
      <c r="Q219" s="99" t="s">
        <v>140</v>
      </c>
      <c r="R219" s="110" t="s">
        <v>140</v>
      </c>
      <c r="S219" s="111">
        <v>1</v>
      </c>
      <c r="T219" s="107">
        <f t="shared" si="21"/>
        <v>5281678857</v>
      </c>
      <c r="U219" s="112">
        <f t="shared" si="19"/>
        <v>8196.9098424769145</v>
      </c>
      <c r="V219" s="112">
        <f t="shared" si="20"/>
        <v>3278.7639369907661</v>
      </c>
      <c r="W219" s="112" t="s">
        <v>1995</v>
      </c>
      <c r="X219" s="1493"/>
      <c r="Y219" s="1494"/>
      <c r="Z219" s="1495"/>
      <c r="AA219" s="1493"/>
      <c r="AB219" s="1494"/>
      <c r="AC219" s="1495"/>
      <c r="AD219" s="1493"/>
      <c r="AE219" s="1494"/>
      <c r="AF219" s="1495"/>
      <c r="AG219" s="1392"/>
      <c r="AH219" s="1507"/>
      <c r="AI219" s="1507"/>
      <c r="AJ219" s="1392" t="str">
        <f>+IF(V219="","",IF(V219&gt;=[13]PARÁMETROS!$D$5,"CUMPLE","NO CUMPLE"))</f>
        <v>CUMPLE</v>
      </c>
      <c r="AK219" s="113"/>
    </row>
    <row r="220" spans="1:37" ht="63.75" thickBot="1">
      <c r="A220" s="1612"/>
      <c r="B220" s="1509" t="s">
        <v>1996</v>
      </c>
      <c r="C220" s="81" t="s">
        <v>1997</v>
      </c>
      <c r="D220" s="169">
        <v>70</v>
      </c>
      <c r="E220" s="101" t="str">
        <f>+IFERROR(INDEX([4]CONSOLIDADO!$D$4:$D$108,MATCH('Concur - Exp. General'!C220,[4]CONSOLIDADO!$C$4:$C$108,0)),"")</f>
        <v>INTEGRAL DISEÑOS E INTERVENTORIA S.A.S.</v>
      </c>
      <c r="F220" s="84" t="s">
        <v>155</v>
      </c>
      <c r="G220" s="85" t="s">
        <v>1422</v>
      </c>
      <c r="H220" s="1393" t="s">
        <v>22</v>
      </c>
      <c r="I220" s="1393" t="s">
        <v>22</v>
      </c>
      <c r="J220" s="86">
        <v>1</v>
      </c>
      <c r="K220" s="87">
        <v>35688</v>
      </c>
      <c r="L220" s="87">
        <v>36556</v>
      </c>
      <c r="M220" s="88">
        <f t="shared" ref="M220:M232" si="22">IF(L220="","",YEAR(L220))</f>
        <v>2000</v>
      </c>
      <c r="N220" s="89">
        <f>+IFERROR(INDEX([13]PARÁMETROS!$B$11:$B$37,MATCH(M220,[13]PARÁMETROS!$A$11:$A$37,0)),"")</f>
        <v>260100</v>
      </c>
      <c r="O220" s="90">
        <v>2628692093</v>
      </c>
      <c r="P220" s="91" t="s">
        <v>151</v>
      </c>
      <c r="Q220" s="81" t="s">
        <v>140</v>
      </c>
      <c r="R220" s="92" t="s">
        <v>140</v>
      </c>
      <c r="S220" s="93">
        <v>1</v>
      </c>
      <c r="T220" s="89">
        <f t="shared" si="21"/>
        <v>2628692093</v>
      </c>
      <c r="U220" s="94">
        <f t="shared" si="19"/>
        <v>10106.467101114957</v>
      </c>
      <c r="V220" s="94">
        <f t="shared" si="20"/>
        <v>10106.467101114957</v>
      </c>
      <c r="W220" s="94">
        <v>17</v>
      </c>
      <c r="X220" s="1484" t="s">
        <v>22</v>
      </c>
      <c r="Y220" s="1484"/>
      <c r="Z220" s="1484"/>
      <c r="AA220" s="1484" t="s">
        <v>22</v>
      </c>
      <c r="AB220" s="1484"/>
      <c r="AC220" s="1484"/>
      <c r="AD220" s="1484" t="s">
        <v>22</v>
      </c>
      <c r="AE220" s="1484"/>
      <c r="AF220" s="1484"/>
      <c r="AG220" s="1393" t="s">
        <v>22</v>
      </c>
      <c r="AH220" s="1505" t="str">
        <f>IF(V220="","",IF(SUM(V220:V224)&gt;=[13]PARÁMETROS!$H$5,"CUMPLE","NO CUMPLE"))</f>
        <v>CUMPLE</v>
      </c>
      <c r="AI220" s="1505" t="s">
        <v>304</v>
      </c>
      <c r="AJ220" s="1393" t="str">
        <f>+IF(V220="","",IF(V220&gt;=[13]PARÁMETROS!$D$5,"CUMPLE","NO CUMPLE"))</f>
        <v>CUMPLE</v>
      </c>
      <c r="AK220" s="96"/>
    </row>
    <row r="221" spans="1:37" ht="63.75" thickBot="1">
      <c r="A221" s="1612"/>
      <c r="B221" s="1510"/>
      <c r="C221" s="19" t="s">
        <v>1997</v>
      </c>
      <c r="D221" s="170">
        <v>76</v>
      </c>
      <c r="E221" s="101" t="str">
        <f>+IFERROR(INDEX([4]CONSOLIDADO!$D$4:$D$108,MATCH('Concur - Exp. General'!C221,[4]CONSOLIDADO!$C$4:$C$108,0)),"")</f>
        <v>INTEGRAL DISEÑOS E INTERVENTORIA S.A.S.</v>
      </c>
      <c r="F221" s="22" t="s">
        <v>155</v>
      </c>
      <c r="G221" s="23" t="s">
        <v>1423</v>
      </c>
      <c r="H221" s="1388" t="s">
        <v>22</v>
      </c>
      <c r="I221" s="1388" t="s">
        <v>22</v>
      </c>
      <c r="J221" s="24">
        <v>1</v>
      </c>
      <c r="K221" s="25">
        <v>37792</v>
      </c>
      <c r="L221" s="25">
        <v>38429</v>
      </c>
      <c r="M221" s="26">
        <f t="shared" si="22"/>
        <v>2005</v>
      </c>
      <c r="N221" s="27">
        <f>+IFERROR(INDEX([13]PARÁMETROS!$B$11:$B$37,MATCH(M221,[13]PARÁMETROS!$A$11:$A$37,0)),"")</f>
        <v>381500</v>
      </c>
      <c r="O221" s="28">
        <v>1691644728</v>
      </c>
      <c r="P221" s="29" t="s">
        <v>151</v>
      </c>
      <c r="Q221" s="19" t="s">
        <v>140</v>
      </c>
      <c r="R221" s="30" t="s">
        <v>140</v>
      </c>
      <c r="S221" s="31">
        <v>1</v>
      </c>
      <c r="T221" s="27">
        <f t="shared" si="21"/>
        <v>1691644728</v>
      </c>
      <c r="U221" s="16">
        <f t="shared" si="19"/>
        <v>4434.1932581913497</v>
      </c>
      <c r="V221" s="16">
        <f t="shared" si="20"/>
        <v>4434.1932581913497</v>
      </c>
      <c r="W221" s="16">
        <v>9</v>
      </c>
      <c r="X221" s="1485" t="s">
        <v>22</v>
      </c>
      <c r="Y221" s="1485"/>
      <c r="Z221" s="1485"/>
      <c r="AA221" s="1485" t="s">
        <v>22</v>
      </c>
      <c r="AB221" s="1485"/>
      <c r="AC221" s="1485"/>
      <c r="AD221" s="1485" t="s">
        <v>22</v>
      </c>
      <c r="AE221" s="1485"/>
      <c r="AF221" s="1485"/>
      <c r="AG221" s="1388" t="s">
        <v>22</v>
      </c>
      <c r="AH221" s="1506"/>
      <c r="AI221" s="1506"/>
      <c r="AJ221" s="1388" t="str">
        <f>+IF(V221="","",IF(V221&gt;=[13]PARÁMETROS!$D$5,"CUMPLE","NO CUMPLE"))</f>
        <v>CUMPLE</v>
      </c>
      <c r="AK221" s="97"/>
    </row>
    <row r="222" spans="1:37" ht="143.25" thickBot="1">
      <c r="A222" s="1612"/>
      <c r="B222" s="1510"/>
      <c r="C222" s="19" t="s">
        <v>1997</v>
      </c>
      <c r="D222" s="170">
        <v>85</v>
      </c>
      <c r="E222" s="101" t="str">
        <f>+IFERROR(INDEX([4]CONSOLIDADO!$D$4:$D$108,MATCH('Concur - Exp. General'!C222,[4]CONSOLIDADO!$C$4:$C$108,0)),"")</f>
        <v>INTEGRAL DISEÑOS E INTERVENTORIA S.A.S.</v>
      </c>
      <c r="F222" s="22" t="s">
        <v>1998</v>
      </c>
      <c r="G222" s="23" t="s">
        <v>1999</v>
      </c>
      <c r="H222" s="1388" t="s">
        <v>22</v>
      </c>
      <c r="I222" s="1388" t="s">
        <v>22</v>
      </c>
      <c r="J222" s="24">
        <v>1</v>
      </c>
      <c r="K222" s="25">
        <v>37453</v>
      </c>
      <c r="L222" s="25">
        <v>38087</v>
      </c>
      <c r="M222" s="26">
        <f t="shared" si="22"/>
        <v>2004</v>
      </c>
      <c r="N222" s="27">
        <f>+IFERROR(INDEX([13]PARÁMETROS!$B$11:$B$37,MATCH(M222,[13]PARÁMETROS!$A$11:$A$37,0)),"")</f>
        <v>358000</v>
      </c>
      <c r="O222" s="28">
        <v>2256694426</v>
      </c>
      <c r="P222" s="29" t="s">
        <v>151</v>
      </c>
      <c r="Q222" s="19" t="s">
        <v>140</v>
      </c>
      <c r="R222" s="30" t="s">
        <v>140</v>
      </c>
      <c r="S222" s="31">
        <v>1</v>
      </c>
      <c r="T222" s="27">
        <f t="shared" si="21"/>
        <v>2256694426</v>
      </c>
      <c r="U222" s="16">
        <f t="shared" si="19"/>
        <v>6303.6157150837989</v>
      </c>
      <c r="V222" s="16">
        <f t="shared" si="20"/>
        <v>6303.6157150837989</v>
      </c>
      <c r="W222" s="16">
        <v>11</v>
      </c>
      <c r="X222" s="1485" t="s">
        <v>22</v>
      </c>
      <c r="Y222" s="1485"/>
      <c r="Z222" s="1485"/>
      <c r="AA222" s="1485" t="s">
        <v>22</v>
      </c>
      <c r="AB222" s="1485"/>
      <c r="AC222" s="1485"/>
      <c r="AD222" s="1485" t="s">
        <v>22</v>
      </c>
      <c r="AE222" s="1485"/>
      <c r="AF222" s="1485"/>
      <c r="AG222" s="1388" t="s">
        <v>22</v>
      </c>
      <c r="AH222" s="1506"/>
      <c r="AI222" s="1506"/>
      <c r="AJ222" s="1388" t="str">
        <f>+IF(V222="","",IF(V222&gt;=[13]PARÁMETROS!$D$5,"CUMPLE","NO CUMPLE"))</f>
        <v>CUMPLE</v>
      </c>
      <c r="AK222" s="97"/>
    </row>
    <row r="223" spans="1:37" ht="72" thickBot="1">
      <c r="A223" s="1612"/>
      <c r="B223" s="1510"/>
      <c r="C223" s="19" t="s">
        <v>1997</v>
      </c>
      <c r="D223" s="170">
        <v>93</v>
      </c>
      <c r="E223" s="101" t="str">
        <f>+IFERROR(INDEX([4]CONSOLIDADO!$D$4:$D$108,MATCH('Concur - Exp. General'!C223,[4]CONSOLIDADO!$C$4:$C$108,0)),"")</f>
        <v>INTEGRAL DISEÑOS E INTERVENTORIA S.A.S.</v>
      </c>
      <c r="F223" s="22" t="s">
        <v>2000</v>
      </c>
      <c r="G223" s="23" t="s">
        <v>2001</v>
      </c>
      <c r="H223" s="1388" t="s">
        <v>22</v>
      </c>
      <c r="I223" s="1388" t="s">
        <v>22</v>
      </c>
      <c r="J223" s="24">
        <v>1</v>
      </c>
      <c r="K223" s="25">
        <v>34731</v>
      </c>
      <c r="L223" s="25">
        <v>35869</v>
      </c>
      <c r="M223" s="26">
        <f t="shared" si="22"/>
        <v>1998</v>
      </c>
      <c r="N223" s="27">
        <f>+IFERROR(INDEX([13]PARÁMETROS!$B$11:$B$37,MATCH(M223,[13]PARÁMETROS!$A$11:$A$37,0)),"")</f>
        <v>203826</v>
      </c>
      <c r="O223" s="28">
        <v>1702457494</v>
      </c>
      <c r="P223" s="29" t="s">
        <v>151</v>
      </c>
      <c r="Q223" s="19" t="s">
        <v>140</v>
      </c>
      <c r="R223" s="30" t="s">
        <v>140</v>
      </c>
      <c r="S223" s="31">
        <v>1</v>
      </c>
      <c r="T223" s="27">
        <f t="shared" si="21"/>
        <v>1702457494</v>
      </c>
      <c r="U223" s="16">
        <f t="shared" si="19"/>
        <v>8352.5040671945681</v>
      </c>
      <c r="V223" s="16">
        <f t="shared" si="20"/>
        <v>8352.5040671945681</v>
      </c>
      <c r="W223" s="16">
        <v>16</v>
      </c>
      <c r="X223" s="1485" t="s">
        <v>22</v>
      </c>
      <c r="Y223" s="1485"/>
      <c r="Z223" s="1485"/>
      <c r="AA223" s="1485" t="s">
        <v>22</v>
      </c>
      <c r="AB223" s="1485"/>
      <c r="AC223" s="1485"/>
      <c r="AD223" s="1485" t="s">
        <v>22</v>
      </c>
      <c r="AE223" s="1485"/>
      <c r="AF223" s="1485"/>
      <c r="AG223" s="1388" t="s">
        <v>22</v>
      </c>
      <c r="AH223" s="1506"/>
      <c r="AI223" s="1506"/>
      <c r="AJ223" s="1388" t="str">
        <f>+IF(V223="","",IF(V223&gt;=[13]PARÁMETROS!$D$5,"CUMPLE","NO CUMPLE"))</f>
        <v>CUMPLE</v>
      </c>
      <c r="AK223" s="97"/>
    </row>
    <row r="224" spans="1:37" ht="63.75" thickBot="1">
      <c r="A224" s="1612"/>
      <c r="B224" s="1511"/>
      <c r="C224" s="99" t="s">
        <v>1997</v>
      </c>
      <c r="D224" s="178">
        <v>95</v>
      </c>
      <c r="E224" s="101" t="str">
        <f>+IFERROR(INDEX([4]CONSOLIDADO!$D$4:$D$108,MATCH('Concur - Exp. General'!C224,[4]CONSOLIDADO!$C$4:$C$108,0)),"")</f>
        <v>INTEGRAL DISEÑOS E INTERVENTORIA S.A.S.</v>
      </c>
      <c r="F224" s="102" t="s">
        <v>155</v>
      </c>
      <c r="G224" s="103" t="s">
        <v>2002</v>
      </c>
      <c r="H224" s="1392" t="s">
        <v>22</v>
      </c>
      <c r="I224" s="1392" t="s">
        <v>22</v>
      </c>
      <c r="J224" s="104">
        <v>1</v>
      </c>
      <c r="K224" s="105">
        <v>37620</v>
      </c>
      <c r="L224" s="105">
        <v>38706</v>
      </c>
      <c r="M224" s="106">
        <f t="shared" si="22"/>
        <v>2005</v>
      </c>
      <c r="N224" s="107">
        <f>+IFERROR(INDEX([13]PARÁMETROS!$B$11:$B$37,MATCH(M224,[13]PARÁMETROS!$A$11:$A$37,0)),"")</f>
        <v>381500</v>
      </c>
      <c r="O224" s="108">
        <v>1000952439</v>
      </c>
      <c r="P224" s="109" t="s">
        <v>151</v>
      </c>
      <c r="Q224" s="99" t="s">
        <v>140</v>
      </c>
      <c r="R224" s="110" t="s">
        <v>140</v>
      </c>
      <c r="S224" s="111">
        <v>1</v>
      </c>
      <c r="T224" s="107">
        <f t="shared" si="21"/>
        <v>1000952439</v>
      </c>
      <c r="U224" s="112">
        <f t="shared" ref="U224:U250" si="23">+IFERROR(T224/N224,"")</f>
        <v>2623.7285425950195</v>
      </c>
      <c r="V224" s="112">
        <f t="shared" ref="V224:V250" si="24">IFERROR(U224*J224,"")</f>
        <v>2623.7285425950195</v>
      </c>
      <c r="W224" s="112">
        <v>28</v>
      </c>
      <c r="X224" s="1486" t="s">
        <v>22</v>
      </c>
      <c r="Y224" s="1486"/>
      <c r="Z224" s="1486"/>
      <c r="AA224" s="1486" t="s">
        <v>22</v>
      </c>
      <c r="AB224" s="1486"/>
      <c r="AC224" s="1486"/>
      <c r="AD224" s="1486" t="s">
        <v>22</v>
      </c>
      <c r="AE224" s="1486"/>
      <c r="AF224" s="1486"/>
      <c r="AG224" s="1392" t="s">
        <v>22</v>
      </c>
      <c r="AH224" s="1507"/>
      <c r="AI224" s="1507"/>
      <c r="AJ224" s="1392" t="str">
        <f>+IF(V224="","",IF(V224&gt;=[13]PARÁMETROS!$D$5,"CUMPLE","NO CUMPLE"))</f>
        <v>CUMPLE</v>
      </c>
      <c r="AK224" s="113"/>
    </row>
    <row r="225" spans="1:37" ht="43.5" thickBot="1">
      <c r="A225" s="1612"/>
      <c r="B225" s="1509" t="s">
        <v>2003</v>
      </c>
      <c r="C225" s="81" t="s">
        <v>2004</v>
      </c>
      <c r="D225" s="169">
        <v>168</v>
      </c>
      <c r="E225" s="101" t="str">
        <f>+IFERROR(INDEX([4]CONSOLIDADO!$D$4:$D$108,MATCH('Concur - Exp. General'!C225,[4]CONSOLIDADO!$C$4:$C$108,0)),"")</f>
        <v>INGETEC G &amp; C</v>
      </c>
      <c r="F225" s="84" t="s">
        <v>155</v>
      </c>
      <c r="G225" s="85" t="s">
        <v>1598</v>
      </c>
      <c r="H225" s="1393" t="s">
        <v>22</v>
      </c>
      <c r="I225" s="1393" t="s">
        <v>22</v>
      </c>
      <c r="J225" s="86">
        <v>1</v>
      </c>
      <c r="K225" s="87">
        <v>36523</v>
      </c>
      <c r="L225" s="87">
        <v>37769</v>
      </c>
      <c r="M225" s="88">
        <f t="shared" si="22"/>
        <v>2003</v>
      </c>
      <c r="N225" s="89">
        <f>+IFERROR(INDEX([13]PARÁMETROS!$B$11:$B$37,MATCH(M225,[13]PARÁMETROS!$A$11:$A$37,0)),"")</f>
        <v>332000</v>
      </c>
      <c r="O225" s="90">
        <v>2582274473</v>
      </c>
      <c r="P225" s="91" t="s">
        <v>151</v>
      </c>
      <c r="Q225" s="81" t="s">
        <v>140</v>
      </c>
      <c r="R225" s="92" t="s">
        <v>140</v>
      </c>
      <c r="S225" s="93">
        <v>1</v>
      </c>
      <c r="T225" s="89">
        <f t="shared" si="21"/>
        <v>2582274473</v>
      </c>
      <c r="U225" s="94">
        <f t="shared" si="23"/>
        <v>7777.9351596385541</v>
      </c>
      <c r="V225" s="94">
        <f t="shared" si="24"/>
        <v>7777.9351596385541</v>
      </c>
      <c r="W225" s="94">
        <v>52</v>
      </c>
      <c r="X225" s="1499" t="s">
        <v>22</v>
      </c>
      <c r="Y225" s="1500"/>
      <c r="Z225" s="1501"/>
      <c r="AA225" s="1484" t="s">
        <v>22</v>
      </c>
      <c r="AB225" s="1484"/>
      <c r="AC225" s="1484"/>
      <c r="AD225" s="1484" t="s">
        <v>22</v>
      </c>
      <c r="AE225" s="1484"/>
      <c r="AF225" s="1484"/>
      <c r="AG225" s="1393" t="s">
        <v>22</v>
      </c>
      <c r="AH225" s="1505" t="str">
        <f>IF(V225="","",IF(SUM(V225:V230)&gt;=[13]PARÁMETROS!$H$5,"CUMPLE","NO CUMPLE"))</f>
        <v>CUMPLE</v>
      </c>
      <c r="AI225" s="1505" t="str">
        <f>IF(V225="","",IF(SUM(V225:V227)&gt;=[13]PARÁMETROS!$F$5,"CUMPLE","NO CUMPLE"))</f>
        <v>CUMPLE</v>
      </c>
      <c r="AJ225" s="1393" t="str">
        <f>+IF(V225="","",IF(V225&gt;=[13]PARÁMETROS!$D$5,"CUMPLE","NO CUMPLE"))</f>
        <v>CUMPLE</v>
      </c>
      <c r="AK225" s="96"/>
    </row>
    <row r="226" spans="1:37" ht="43.5" thickBot="1">
      <c r="A226" s="1612"/>
      <c r="B226" s="1510"/>
      <c r="C226" s="19" t="s">
        <v>2004</v>
      </c>
      <c r="D226" s="170">
        <v>172</v>
      </c>
      <c r="E226" s="101" t="str">
        <f>+IFERROR(INDEX([4]CONSOLIDADO!$D$4:$D$108,MATCH('Concur - Exp. General'!C226,[4]CONSOLIDADO!$C$4:$C$108,0)),"")</f>
        <v>INGETEC G &amp; C</v>
      </c>
      <c r="F226" s="22" t="s">
        <v>155</v>
      </c>
      <c r="G226" s="23" t="s">
        <v>2005</v>
      </c>
      <c r="H226" s="1388" t="s">
        <v>22</v>
      </c>
      <c r="I226" s="1388" t="s">
        <v>22</v>
      </c>
      <c r="J226" s="24">
        <v>1</v>
      </c>
      <c r="K226" s="25">
        <v>38366</v>
      </c>
      <c r="L226" s="25">
        <v>39064</v>
      </c>
      <c r="M226" s="26">
        <f t="shared" si="22"/>
        <v>2006</v>
      </c>
      <c r="N226" s="27">
        <f>+IFERROR(INDEX([13]PARÁMETROS!$B$11:$B$37,MATCH(M226,[13]PARÁMETROS!$A$11:$A$37,0)),"")</f>
        <v>408000</v>
      </c>
      <c r="O226" s="28">
        <v>1473683024</v>
      </c>
      <c r="P226" s="29" t="s">
        <v>151</v>
      </c>
      <c r="Q226" s="19" t="s">
        <v>140</v>
      </c>
      <c r="R226" s="30" t="s">
        <v>140</v>
      </c>
      <c r="S226" s="31">
        <v>1</v>
      </c>
      <c r="T226" s="27">
        <f t="shared" si="21"/>
        <v>1473683024</v>
      </c>
      <c r="U226" s="16">
        <f t="shared" si="23"/>
        <v>3611.9681960784314</v>
      </c>
      <c r="V226" s="16">
        <f t="shared" si="24"/>
        <v>3611.9681960784314</v>
      </c>
      <c r="W226" s="16">
        <v>62</v>
      </c>
      <c r="X226" s="1496" t="s">
        <v>22</v>
      </c>
      <c r="Y226" s="1497"/>
      <c r="Z226" s="1498"/>
      <c r="AA226" s="1485" t="s">
        <v>22</v>
      </c>
      <c r="AB226" s="1485"/>
      <c r="AC226" s="1485"/>
      <c r="AD226" s="1485" t="s">
        <v>22</v>
      </c>
      <c r="AE226" s="1485"/>
      <c r="AF226" s="1485"/>
      <c r="AG226" s="1388" t="s">
        <v>22</v>
      </c>
      <c r="AH226" s="1506"/>
      <c r="AI226" s="1506"/>
      <c r="AJ226" s="1388" t="str">
        <f>+IF(V226="","",IF(V226&gt;=[13]PARÁMETROS!$D$5,"CUMPLE","NO CUMPLE"))</f>
        <v>CUMPLE</v>
      </c>
      <c r="AK226" s="97"/>
    </row>
    <row r="227" spans="1:37" ht="63.75" thickBot="1">
      <c r="A227" s="1612"/>
      <c r="B227" s="1510"/>
      <c r="C227" s="19" t="s">
        <v>2004</v>
      </c>
      <c r="D227" s="170">
        <v>175</v>
      </c>
      <c r="E227" s="101" t="str">
        <f>+IFERROR(INDEX([4]CONSOLIDADO!$D$4:$D$108,MATCH('Concur - Exp. General'!C227,[4]CONSOLIDADO!$C$4:$C$108,0)),"")</f>
        <v>INGETEC G &amp; C</v>
      </c>
      <c r="F227" s="37" t="s">
        <v>207</v>
      </c>
      <c r="G227" s="37" t="s">
        <v>2006</v>
      </c>
      <c r="H227" s="1388" t="s">
        <v>22</v>
      </c>
      <c r="I227" s="1388" t="s">
        <v>22</v>
      </c>
      <c r="J227" s="38">
        <v>0.65</v>
      </c>
      <c r="K227" s="25">
        <v>37986</v>
      </c>
      <c r="L227" s="25">
        <v>40748</v>
      </c>
      <c r="M227" s="26">
        <f t="shared" si="22"/>
        <v>2011</v>
      </c>
      <c r="N227" s="27">
        <f>+IFERROR(INDEX([13]PARÁMETROS!$B$11:$B$37,MATCH(M227,[13]PARÁMETROS!$A$11:$A$37,0)),"")</f>
        <v>535600</v>
      </c>
      <c r="O227" s="28">
        <v>6087540759</v>
      </c>
      <c r="P227" s="29" t="s">
        <v>151</v>
      </c>
      <c r="Q227" s="19" t="s">
        <v>140</v>
      </c>
      <c r="R227" s="30" t="s">
        <v>140</v>
      </c>
      <c r="S227" s="31">
        <v>1</v>
      </c>
      <c r="T227" s="27">
        <f t="shared" ref="T227:T250" si="25">IF(S227&lt;&gt;"",O227*S227,"")</f>
        <v>6087540759</v>
      </c>
      <c r="U227" s="16">
        <f t="shared" si="23"/>
        <v>11365.834128080658</v>
      </c>
      <c r="V227" s="16">
        <f t="shared" si="24"/>
        <v>7387.792183252428</v>
      </c>
      <c r="W227" s="16">
        <v>67</v>
      </c>
      <c r="X227" s="1496" t="s">
        <v>22</v>
      </c>
      <c r="Y227" s="1497"/>
      <c r="Z227" s="1498"/>
      <c r="AA227" s="1485" t="s">
        <v>22</v>
      </c>
      <c r="AB227" s="1485"/>
      <c r="AC227" s="1485"/>
      <c r="AD227" s="1485" t="s">
        <v>22</v>
      </c>
      <c r="AE227" s="1485"/>
      <c r="AF227" s="1485"/>
      <c r="AG227" s="1388" t="s">
        <v>22</v>
      </c>
      <c r="AH227" s="1506"/>
      <c r="AI227" s="1506"/>
      <c r="AJ227" s="1388" t="str">
        <f>+IF(V227="","",IF(V227&gt;=[13]PARÁMETROS!$D$5,"CUMPLE","NO CUMPLE"))</f>
        <v>CUMPLE</v>
      </c>
      <c r="AK227" s="97"/>
    </row>
    <row r="228" spans="1:37" ht="86.25" thickBot="1">
      <c r="A228" s="1612"/>
      <c r="B228" s="1510"/>
      <c r="C228" s="19" t="s">
        <v>2007</v>
      </c>
      <c r="D228" s="170">
        <v>181</v>
      </c>
      <c r="E228" s="101" t="str">
        <f>+IFERROR(INDEX([4]CONSOLIDADO!$D$4:$D$108,MATCH('Concur - Exp. General'!C228,[4]CONSOLIDADO!$C$4:$C$108,0)),"")</f>
        <v>CEAS</v>
      </c>
      <c r="F228" s="22" t="s">
        <v>155</v>
      </c>
      <c r="G228" s="23" t="s">
        <v>2008</v>
      </c>
      <c r="H228" s="1388" t="s">
        <v>22</v>
      </c>
      <c r="I228" s="1388" t="s">
        <v>22</v>
      </c>
      <c r="J228" s="39">
        <v>0.75</v>
      </c>
      <c r="K228" s="40">
        <v>38678</v>
      </c>
      <c r="L228" s="41">
        <v>39690</v>
      </c>
      <c r="M228" s="26">
        <f t="shared" si="22"/>
        <v>2008</v>
      </c>
      <c r="N228" s="27">
        <f>+IFERROR(INDEX([13]PARÁMETROS!$B$11:$B$37,MATCH(M228,[13]PARÁMETROS!$A$11:$A$37,0)),"")</f>
        <v>461500</v>
      </c>
      <c r="O228" s="29">
        <v>1702409736</v>
      </c>
      <c r="P228" s="29" t="s">
        <v>151</v>
      </c>
      <c r="Q228" s="29" t="s">
        <v>140</v>
      </c>
      <c r="R228" s="29" t="s">
        <v>140</v>
      </c>
      <c r="S228" s="29">
        <v>1</v>
      </c>
      <c r="T228" s="27">
        <f t="shared" si="25"/>
        <v>1702409736</v>
      </c>
      <c r="U228" s="16">
        <f t="shared" si="23"/>
        <v>3688.8618331527628</v>
      </c>
      <c r="V228" s="16">
        <f t="shared" si="24"/>
        <v>2766.646374864572</v>
      </c>
      <c r="W228" s="42">
        <v>9</v>
      </c>
      <c r="X228" s="1485" t="s">
        <v>22</v>
      </c>
      <c r="Y228" s="1485"/>
      <c r="Z228" s="1485"/>
      <c r="AA228" s="1485" t="s">
        <v>22</v>
      </c>
      <c r="AB228" s="1485"/>
      <c r="AC228" s="1485"/>
      <c r="AD228" s="1485" t="s">
        <v>22</v>
      </c>
      <c r="AE228" s="1485"/>
      <c r="AF228" s="1485"/>
      <c r="AG228" s="1388" t="s">
        <v>22</v>
      </c>
      <c r="AH228" s="1506"/>
      <c r="AI228" s="1506"/>
      <c r="AJ228" s="1388" t="str">
        <f>+IF(V228="","",IF(V228&gt;=[13]PARÁMETROS!$D$5,"CUMPLE","NO CUMPLE"))</f>
        <v>CUMPLE</v>
      </c>
      <c r="AK228" s="97"/>
    </row>
    <row r="229" spans="1:37" ht="72" thickBot="1">
      <c r="A229" s="1612"/>
      <c r="B229" s="1510"/>
      <c r="C229" s="19" t="s">
        <v>2007</v>
      </c>
      <c r="D229" s="170">
        <v>184</v>
      </c>
      <c r="E229" s="101" t="str">
        <f>+IFERROR(INDEX([4]CONSOLIDADO!$D$4:$D$108,MATCH('Concur - Exp. General'!C229,[4]CONSOLIDADO!$C$4:$C$108,0)),"")</f>
        <v>CEAS</v>
      </c>
      <c r="F229" s="22" t="s">
        <v>1355</v>
      </c>
      <c r="G229" s="23" t="s">
        <v>2009</v>
      </c>
      <c r="H229" s="1388" t="s">
        <v>22</v>
      </c>
      <c r="I229" s="1388" t="s">
        <v>22</v>
      </c>
      <c r="J229" s="24">
        <v>1</v>
      </c>
      <c r="K229" s="25">
        <v>36628</v>
      </c>
      <c r="L229" s="25">
        <v>36961</v>
      </c>
      <c r="M229" s="26">
        <f t="shared" si="22"/>
        <v>2001</v>
      </c>
      <c r="N229" s="27">
        <f>+IFERROR(INDEX([13]PARÁMETROS!$B$11:$B$37,MATCH(M229,[13]PARÁMETROS!$A$11:$A$37,0)),"")</f>
        <v>286000</v>
      </c>
      <c r="O229" s="28">
        <v>751174268</v>
      </c>
      <c r="P229" s="29" t="s">
        <v>151</v>
      </c>
      <c r="Q229" s="19" t="s">
        <v>140</v>
      </c>
      <c r="R229" s="30" t="s">
        <v>140</v>
      </c>
      <c r="S229" s="31">
        <v>1</v>
      </c>
      <c r="T229" s="27">
        <f t="shared" si="25"/>
        <v>751174268</v>
      </c>
      <c r="U229" s="16">
        <f t="shared" si="23"/>
        <v>2626.4834545454546</v>
      </c>
      <c r="V229" s="16">
        <f t="shared" si="24"/>
        <v>2626.4834545454546</v>
      </c>
      <c r="W229" s="16">
        <v>14</v>
      </c>
      <c r="X229" s="1485" t="s">
        <v>22</v>
      </c>
      <c r="Y229" s="1485"/>
      <c r="Z229" s="1485"/>
      <c r="AA229" s="1485" t="s">
        <v>22</v>
      </c>
      <c r="AB229" s="1485"/>
      <c r="AC229" s="1485"/>
      <c r="AD229" s="1485" t="s">
        <v>22</v>
      </c>
      <c r="AE229" s="1485"/>
      <c r="AF229" s="1485"/>
      <c r="AG229" s="1388" t="s">
        <v>22</v>
      </c>
      <c r="AH229" s="1506"/>
      <c r="AI229" s="1506"/>
      <c r="AJ229" s="1388" t="str">
        <f>+IF(V229="","",IF(V229&gt;=[13]PARÁMETROS!$D$5,"CUMPLE","NO CUMPLE"))</f>
        <v>CUMPLE</v>
      </c>
      <c r="AK229" s="97"/>
    </row>
    <row r="230" spans="1:37" ht="43.5" thickBot="1">
      <c r="A230" s="1612"/>
      <c r="B230" s="1511"/>
      <c r="C230" s="99" t="s">
        <v>2007</v>
      </c>
      <c r="D230" s="178">
        <v>186</v>
      </c>
      <c r="E230" s="101" t="str">
        <f>+IFERROR(INDEX([4]CONSOLIDADO!$D$4:$D$108,MATCH('Concur - Exp. General'!C230,[4]CONSOLIDADO!$C$4:$C$108,0)),"")</f>
        <v>CEAS</v>
      </c>
      <c r="F230" s="102" t="s">
        <v>965</v>
      </c>
      <c r="G230" s="103" t="s">
        <v>2010</v>
      </c>
      <c r="H230" s="1392" t="s">
        <v>22</v>
      </c>
      <c r="I230" s="1392" t="s">
        <v>22</v>
      </c>
      <c r="J230" s="104">
        <v>0.3</v>
      </c>
      <c r="K230" s="105">
        <v>40504</v>
      </c>
      <c r="L230" s="105">
        <v>41287</v>
      </c>
      <c r="M230" s="106">
        <f t="shared" si="22"/>
        <v>2013</v>
      </c>
      <c r="N230" s="107">
        <f>+IFERROR(INDEX([13]PARÁMETROS!$B$11:$B$37,MATCH(M230,[13]PARÁMETROS!$A$11:$A$37,0)),"")</f>
        <v>589500</v>
      </c>
      <c r="O230" s="108">
        <v>3199078844.48</v>
      </c>
      <c r="P230" s="109" t="s">
        <v>151</v>
      </c>
      <c r="Q230" s="99" t="s">
        <v>140</v>
      </c>
      <c r="R230" s="110" t="s">
        <v>140</v>
      </c>
      <c r="S230" s="111">
        <v>1</v>
      </c>
      <c r="T230" s="107">
        <f t="shared" si="25"/>
        <v>3199078844.48</v>
      </c>
      <c r="U230" s="112">
        <f t="shared" si="23"/>
        <v>5426.7664876675153</v>
      </c>
      <c r="V230" s="112">
        <f t="shared" si="24"/>
        <v>1628.0299463002546</v>
      </c>
      <c r="W230" s="112">
        <v>18</v>
      </c>
      <c r="X230" s="1486" t="s">
        <v>22</v>
      </c>
      <c r="Y230" s="1486"/>
      <c r="Z230" s="1486"/>
      <c r="AA230" s="1486" t="s">
        <v>22</v>
      </c>
      <c r="AB230" s="1486"/>
      <c r="AC230" s="1486"/>
      <c r="AD230" s="1486" t="s">
        <v>22</v>
      </c>
      <c r="AE230" s="1486"/>
      <c r="AF230" s="1486"/>
      <c r="AG230" s="1392" t="s">
        <v>22</v>
      </c>
      <c r="AH230" s="1507"/>
      <c r="AI230" s="1507"/>
      <c r="AJ230" s="1392" t="str">
        <f>+IF(V230="","",IF(V230&gt;=[13]PARÁMETROS!$D$5,"CUMPLE","NO CUMPLE"))</f>
        <v>NO CUMPLE</v>
      </c>
      <c r="AK230" s="113"/>
    </row>
    <row r="231" spans="1:37" ht="63.75" thickBot="1">
      <c r="A231" s="1612"/>
      <c r="B231" s="1509" t="s">
        <v>2011</v>
      </c>
      <c r="C231" s="81" t="s">
        <v>2012</v>
      </c>
      <c r="D231" s="169">
        <v>445</v>
      </c>
      <c r="E231" s="101" t="str">
        <f>+IFERROR(INDEX([4]CONSOLIDADO!$D$4:$D$108,MATCH('Concur - Exp. General'!C231,[4]CONSOLIDADO!$C$4:$C$108,0)),"")</f>
        <v>SONDEOS ESTRUCTURAS Y GEOTECNIA SUCURSAL S.A.</v>
      </c>
      <c r="F231" s="84" t="s">
        <v>2013</v>
      </c>
      <c r="G231" s="85" t="s">
        <v>2014</v>
      </c>
      <c r="H231" s="1393" t="s">
        <v>22</v>
      </c>
      <c r="I231" s="1393" t="s">
        <v>22</v>
      </c>
      <c r="J231" s="86">
        <v>0.23</v>
      </c>
      <c r="K231" s="342">
        <v>35473</v>
      </c>
      <c r="L231" s="342">
        <v>36189</v>
      </c>
      <c r="M231" s="88">
        <f t="shared" si="22"/>
        <v>1999</v>
      </c>
      <c r="N231" s="89">
        <f>+IFERROR(INDEX([13]PARÁMETROS!$B$11:$B$37,MATCH(M231,[13]PARÁMETROS!$A$11:$A$37,0)),"")</f>
        <v>236460</v>
      </c>
      <c r="O231" s="343">
        <v>12660915758</v>
      </c>
      <c r="P231" s="91" t="s">
        <v>179</v>
      </c>
      <c r="Q231" s="81">
        <v>1580.72</v>
      </c>
      <c r="R231" s="92">
        <f>7035211.14*1.1385</f>
        <v>8009587.88289</v>
      </c>
      <c r="S231" s="93">
        <v>1</v>
      </c>
      <c r="T231" s="89">
        <f t="shared" si="25"/>
        <v>12660915758</v>
      </c>
      <c r="U231" s="94">
        <f t="shared" si="23"/>
        <v>53543.583515182268</v>
      </c>
      <c r="V231" s="94">
        <f t="shared" si="24"/>
        <v>12315.024208491923</v>
      </c>
      <c r="W231" s="94">
        <v>51</v>
      </c>
      <c r="X231" s="1484" t="s">
        <v>22</v>
      </c>
      <c r="Y231" s="1484"/>
      <c r="Z231" s="1484"/>
      <c r="AA231" s="1484" t="s">
        <v>22</v>
      </c>
      <c r="AB231" s="1484"/>
      <c r="AC231" s="1484"/>
      <c r="AD231" s="1484" t="s">
        <v>22</v>
      </c>
      <c r="AE231" s="1484"/>
      <c r="AF231" s="1484"/>
      <c r="AG231" s="1393" t="s">
        <v>22</v>
      </c>
      <c r="AH231" s="1505" t="str">
        <f>IF(V231="","",IF(SUM(V231:V234)&gt;=[13]PARÁMETROS!$H$5,"CUMPLE","NO CUMPLE"))</f>
        <v>CUMPLE</v>
      </c>
      <c r="AI231" s="1505" t="str">
        <f>IF(V231="","",IF(V231+V232&gt;=[13]PARÁMETROS!$F$5,"CUMPLE","NO CUMPLE"))</f>
        <v>CUMPLE</v>
      </c>
      <c r="AJ231" s="1393" t="str">
        <f>+IF(V231="","",IF(V231&gt;=[13]PARÁMETROS!$D$5,"CUMPLE","NO CUMPLE"))</f>
        <v>CUMPLE</v>
      </c>
      <c r="AK231" s="96"/>
    </row>
    <row r="232" spans="1:37" ht="63.75" thickBot="1">
      <c r="A232" s="1612"/>
      <c r="B232" s="1510"/>
      <c r="C232" s="19" t="s">
        <v>2012</v>
      </c>
      <c r="D232" s="170">
        <v>465</v>
      </c>
      <c r="E232" s="101" t="str">
        <f>+IFERROR(INDEX([4]CONSOLIDADO!$D$4:$D$108,MATCH('Concur - Exp. General'!C232,[4]CONSOLIDADO!$C$4:$C$108,0)),"")</f>
        <v>SONDEOS ESTRUCTURAS Y GEOTECNIA SUCURSAL S.A.</v>
      </c>
      <c r="F232" s="22" t="s">
        <v>2015</v>
      </c>
      <c r="G232" s="23" t="s">
        <v>2016</v>
      </c>
      <c r="H232" s="1388" t="s">
        <v>22</v>
      </c>
      <c r="I232" s="1388" t="s">
        <v>22</v>
      </c>
      <c r="J232" s="24">
        <v>0.5</v>
      </c>
      <c r="K232" s="249">
        <v>38693</v>
      </c>
      <c r="L232" s="249">
        <v>40907</v>
      </c>
      <c r="M232" s="26">
        <f t="shared" si="22"/>
        <v>2011</v>
      </c>
      <c r="N232" s="27">
        <f>+IFERROR(INDEX([13]PARÁMETROS!$B$11:$B$37,MATCH(M232,[13]PARÁMETROS!$A$11:$A$37,0)),"")</f>
        <v>535600</v>
      </c>
      <c r="O232" s="344">
        <v>4587694911</v>
      </c>
      <c r="P232" s="29" t="s">
        <v>179</v>
      </c>
      <c r="Q232" s="19">
        <v>1942.7</v>
      </c>
      <c r="R232" s="30">
        <v>1827620.16</v>
      </c>
      <c r="S232" s="31">
        <v>1</v>
      </c>
      <c r="T232" s="27">
        <f t="shared" si="25"/>
        <v>4587694911</v>
      </c>
      <c r="U232" s="16">
        <f t="shared" si="23"/>
        <v>8565.5244790888719</v>
      </c>
      <c r="V232" s="16">
        <f t="shared" si="24"/>
        <v>4282.7622395444359</v>
      </c>
      <c r="W232" s="16">
        <v>78</v>
      </c>
      <c r="X232" s="1485" t="s">
        <v>22</v>
      </c>
      <c r="Y232" s="1485"/>
      <c r="Z232" s="1485"/>
      <c r="AA232" s="1485" t="s">
        <v>22</v>
      </c>
      <c r="AB232" s="1485"/>
      <c r="AC232" s="1485"/>
      <c r="AD232" s="1485" t="s">
        <v>22</v>
      </c>
      <c r="AE232" s="1485"/>
      <c r="AF232" s="1485"/>
      <c r="AG232" s="1388" t="s">
        <v>22</v>
      </c>
      <c r="AH232" s="1506"/>
      <c r="AI232" s="1506"/>
      <c r="AJ232" s="1388" t="str">
        <f>+IF(V232="","",IF(V232&gt;=[13]PARÁMETROS!$D$5,"CUMPLE","NO CUMPLE"))</f>
        <v>CUMPLE</v>
      </c>
      <c r="AK232" s="97"/>
    </row>
    <row r="233" spans="1:37" ht="79.5" thickBot="1">
      <c r="A233" s="1612"/>
      <c r="B233" s="1510"/>
      <c r="C233" s="19" t="s">
        <v>2017</v>
      </c>
      <c r="D233" s="170">
        <v>483</v>
      </c>
      <c r="E233" s="101" t="str">
        <f>+IFERROR(INDEX([4]CONSOLIDADO!$D$4:$D$108,MATCH('Concur - Exp. General'!C233,[4]CONSOLIDADO!$C$4:$C$108,0)),"")</f>
        <v>INGENIERIA CONSULTORIA Y PLANEACION S.A. INCOPLAN S.A.</v>
      </c>
      <c r="F233" s="22" t="s">
        <v>2018</v>
      </c>
      <c r="G233" s="23" t="s">
        <v>2019</v>
      </c>
      <c r="H233" s="1388" t="s">
        <v>22</v>
      </c>
      <c r="I233" s="1388" t="s">
        <v>22</v>
      </c>
      <c r="J233" s="24">
        <v>0.6</v>
      </c>
      <c r="K233" s="249">
        <v>39997</v>
      </c>
      <c r="L233" s="25" t="s">
        <v>1994</v>
      </c>
      <c r="M233" s="26">
        <v>2015</v>
      </c>
      <c r="N233" s="27">
        <f>+IFERROR(INDEX([13]PARÁMETROS!$B$11:$B$37,MATCH(M233,[13]PARÁMETROS!$A$11:$A$37,0)),"")</f>
        <v>644350</v>
      </c>
      <c r="O233" s="344">
        <v>6605610884</v>
      </c>
      <c r="P233" s="29" t="s">
        <v>151</v>
      </c>
      <c r="Q233" s="19" t="s">
        <v>140</v>
      </c>
      <c r="R233" s="30" t="s">
        <v>140</v>
      </c>
      <c r="S233" s="31">
        <v>1</v>
      </c>
      <c r="T233" s="27">
        <f t="shared" si="25"/>
        <v>6605610884</v>
      </c>
      <c r="U233" s="16">
        <f t="shared" si="23"/>
        <v>10251.588242414837</v>
      </c>
      <c r="V233" s="16">
        <f t="shared" si="24"/>
        <v>6150.952945448902</v>
      </c>
      <c r="W233" s="16" t="s">
        <v>1995</v>
      </c>
      <c r="X233" s="1485"/>
      <c r="Y233" s="1485"/>
      <c r="Z233" s="1485"/>
      <c r="AA233" s="1485"/>
      <c r="AB233" s="1485"/>
      <c r="AC233" s="1485"/>
      <c r="AD233" s="1485"/>
      <c r="AE233" s="1485"/>
      <c r="AF233" s="1485"/>
      <c r="AG233" s="1388" t="s">
        <v>22</v>
      </c>
      <c r="AH233" s="1506"/>
      <c r="AI233" s="1506"/>
      <c r="AJ233" s="1388" t="str">
        <f>+IF(V233="","",IF(V233&gt;=[13]PARÁMETROS!$D$5,"CUMPLE","NO CUMPLE"))</f>
        <v>CUMPLE</v>
      </c>
      <c r="AK233" s="97"/>
    </row>
    <row r="234" spans="1:37" ht="143.25" thickBot="1">
      <c r="A234" s="1612"/>
      <c r="B234" s="1511"/>
      <c r="C234" s="99" t="s">
        <v>2017</v>
      </c>
      <c r="D234" s="178">
        <v>488</v>
      </c>
      <c r="E234" s="101" t="str">
        <f>+IFERROR(INDEX([4]CONSOLIDADO!$D$4:$D$108,MATCH('Concur - Exp. General'!C234,[4]CONSOLIDADO!$C$4:$C$108,0)),"")</f>
        <v>INGENIERIA CONSULTORIA Y PLANEACION S.A. INCOPLAN S.A.</v>
      </c>
      <c r="F234" s="102" t="s">
        <v>2020</v>
      </c>
      <c r="G234" s="103" t="s">
        <v>2021</v>
      </c>
      <c r="H234" s="1392" t="s">
        <v>22</v>
      </c>
      <c r="I234" s="1392" t="s">
        <v>22</v>
      </c>
      <c r="J234" s="104">
        <v>0.45</v>
      </c>
      <c r="K234" s="264">
        <v>40954</v>
      </c>
      <c r="L234" s="105" t="s">
        <v>1994</v>
      </c>
      <c r="M234" s="106">
        <v>2015</v>
      </c>
      <c r="N234" s="107">
        <f>+IFERROR(INDEX([13]PARÁMETROS!$B$11:$B$37,MATCH(M234,[13]PARÁMETROS!$A$11:$A$37,0)),"")</f>
        <v>644350</v>
      </c>
      <c r="O234" s="345">
        <v>6670475572</v>
      </c>
      <c r="P234" s="109" t="s">
        <v>151</v>
      </c>
      <c r="Q234" s="99" t="s">
        <v>140</v>
      </c>
      <c r="R234" s="110" t="s">
        <v>140</v>
      </c>
      <c r="S234" s="111">
        <v>1</v>
      </c>
      <c r="T234" s="107">
        <f t="shared" si="25"/>
        <v>6670475572</v>
      </c>
      <c r="U234" s="112">
        <f t="shared" si="23"/>
        <v>10352.255097384961</v>
      </c>
      <c r="V234" s="112">
        <f t="shared" si="24"/>
        <v>4658.514793823233</v>
      </c>
      <c r="W234" s="112" t="s">
        <v>1995</v>
      </c>
      <c r="X234" s="1486"/>
      <c r="Y234" s="1486"/>
      <c r="Z234" s="1486"/>
      <c r="AA234" s="1486"/>
      <c r="AB234" s="1486"/>
      <c r="AC234" s="1486"/>
      <c r="AD234" s="1486"/>
      <c r="AE234" s="1486"/>
      <c r="AF234" s="1486"/>
      <c r="AG234" s="1392" t="s">
        <v>22</v>
      </c>
      <c r="AH234" s="1507"/>
      <c r="AI234" s="1507"/>
      <c r="AJ234" s="1392" t="str">
        <f>+IF(V234="","",IF(V234&gt;=[13]PARÁMETROS!$D$5,"CUMPLE","NO CUMPLE"))</f>
        <v>CUMPLE</v>
      </c>
      <c r="AK234" s="113"/>
    </row>
    <row r="235" spans="1:37" ht="57.75" thickBot="1">
      <c r="A235" s="1612"/>
      <c r="B235" s="1509" t="s">
        <v>2022</v>
      </c>
      <c r="C235" s="81" t="s">
        <v>2023</v>
      </c>
      <c r="D235" s="169">
        <v>195</v>
      </c>
      <c r="E235" s="101" t="str">
        <f>+IFERROR(INDEX([4]CONSOLIDADO!$D$4:$D$108,MATCH('Concur - Exp. General'!C235,[4]CONSOLIDADO!$C$4:$C$108,0)),"")</f>
        <v>HMV CONSULTORIA</v>
      </c>
      <c r="F235" s="84" t="s">
        <v>1362</v>
      </c>
      <c r="G235" s="85" t="s">
        <v>602</v>
      </c>
      <c r="H235" s="95" t="s">
        <v>22</v>
      </c>
      <c r="I235" s="1393" t="s">
        <v>22</v>
      </c>
      <c r="J235" s="86">
        <v>1</v>
      </c>
      <c r="K235" s="346">
        <v>38323</v>
      </c>
      <c r="L235" s="346">
        <v>40694</v>
      </c>
      <c r="M235" s="88">
        <f t="shared" ref="M235:M250" si="26">IF(L235="","",YEAR(L235))</f>
        <v>2011</v>
      </c>
      <c r="N235" s="89">
        <f>+IFERROR(INDEX([13]PARÁMETROS!$B$11:$B$37,MATCH(M235,[13]PARÁMETROS!$A$11:$A$37,0)),"")</f>
        <v>535600</v>
      </c>
      <c r="O235" s="347">
        <v>8415351165</v>
      </c>
      <c r="P235" s="91" t="s">
        <v>151</v>
      </c>
      <c r="Q235" s="81" t="s">
        <v>140</v>
      </c>
      <c r="R235" s="92" t="s">
        <v>140</v>
      </c>
      <c r="S235" s="93">
        <v>1</v>
      </c>
      <c r="T235" s="89">
        <f t="shared" si="25"/>
        <v>8415351165</v>
      </c>
      <c r="U235" s="94">
        <f t="shared" si="23"/>
        <v>15712.007402912621</v>
      </c>
      <c r="V235" s="94">
        <f t="shared" si="24"/>
        <v>15712.007402912621</v>
      </c>
      <c r="W235" s="94">
        <v>13</v>
      </c>
      <c r="X235" s="1484" t="s">
        <v>22</v>
      </c>
      <c r="Y235" s="1484"/>
      <c r="Z235" s="1484"/>
      <c r="AA235" s="1484" t="s">
        <v>22</v>
      </c>
      <c r="AB235" s="1484"/>
      <c r="AC235" s="1484"/>
      <c r="AD235" s="1484" t="s">
        <v>22</v>
      </c>
      <c r="AE235" s="1484"/>
      <c r="AF235" s="1484"/>
      <c r="AG235" s="1393" t="s">
        <v>22</v>
      </c>
      <c r="AH235" s="1505" t="str">
        <f>IF(V235="","",IF(SUM(V235:V240)&gt;=[13]PARÁMETROS!$H$5,"CUMPLE","NO CUMPLE"))</f>
        <v>CUMPLE</v>
      </c>
      <c r="AI235" s="1505" t="s">
        <v>304</v>
      </c>
      <c r="AJ235" s="1393" t="str">
        <f>+IF(V235="","",IF(V235&gt;=[13]PARÁMETROS!$D$5,"CUMPLE","NO CUMPLE"))</f>
        <v>CUMPLE</v>
      </c>
      <c r="AK235" s="96"/>
    </row>
    <row r="236" spans="1:37" ht="57.75" thickBot="1">
      <c r="A236" s="1612"/>
      <c r="B236" s="1510"/>
      <c r="C236" s="19" t="s">
        <v>2023</v>
      </c>
      <c r="D236" s="170">
        <v>202</v>
      </c>
      <c r="E236" s="101" t="str">
        <f>+IFERROR(INDEX([4]CONSOLIDADO!$D$4:$D$108,MATCH('Concur - Exp. General'!C236,[4]CONSOLIDADO!$C$4:$C$108,0)),"")</f>
        <v>HMV CONSULTORIA</v>
      </c>
      <c r="F236" s="22" t="s">
        <v>1364</v>
      </c>
      <c r="G236" s="23" t="s">
        <v>2024</v>
      </c>
      <c r="H236" s="32" t="s">
        <v>22</v>
      </c>
      <c r="I236" s="1388" t="s">
        <v>22</v>
      </c>
      <c r="J236" s="24">
        <v>1</v>
      </c>
      <c r="K236" s="348">
        <v>39246</v>
      </c>
      <c r="L236" s="348">
        <v>40311</v>
      </c>
      <c r="M236" s="26">
        <f t="shared" si="26"/>
        <v>2010</v>
      </c>
      <c r="N236" s="27">
        <f>+IFERROR(INDEX([13]PARÁMETROS!$B$11:$B$37,MATCH(M236,[13]PARÁMETROS!$A$11:$A$37,0)),"")</f>
        <v>515000</v>
      </c>
      <c r="O236" s="349">
        <v>4653247126</v>
      </c>
      <c r="P236" s="29" t="s">
        <v>151</v>
      </c>
      <c r="Q236" s="19" t="s">
        <v>140</v>
      </c>
      <c r="R236" s="30" t="s">
        <v>140</v>
      </c>
      <c r="S236" s="31">
        <v>1</v>
      </c>
      <c r="T236" s="27">
        <f t="shared" si="25"/>
        <v>4653247126</v>
      </c>
      <c r="U236" s="16">
        <f t="shared" si="23"/>
        <v>9035.4313126213601</v>
      </c>
      <c r="V236" s="16">
        <f t="shared" si="24"/>
        <v>9035.4313126213601</v>
      </c>
      <c r="W236" s="16">
        <v>2</v>
      </c>
      <c r="X236" s="1485" t="s">
        <v>22</v>
      </c>
      <c r="Y236" s="1485"/>
      <c r="Z236" s="1485"/>
      <c r="AA236" s="1485" t="s">
        <v>22</v>
      </c>
      <c r="AB236" s="1485"/>
      <c r="AC236" s="1485"/>
      <c r="AD236" s="1485" t="s">
        <v>22</v>
      </c>
      <c r="AE236" s="1485"/>
      <c r="AF236" s="1485"/>
      <c r="AG236" s="1388" t="s">
        <v>22</v>
      </c>
      <c r="AH236" s="1506"/>
      <c r="AI236" s="1506"/>
      <c r="AJ236" s="1388" t="str">
        <f>+IF(V236="","",IF(V236&gt;=[13]PARÁMETROS!$D$5,"CUMPLE","NO CUMPLE"))</f>
        <v>CUMPLE</v>
      </c>
      <c r="AK236" s="97"/>
    </row>
    <row r="237" spans="1:37" ht="43.5" thickBot="1">
      <c r="A237" s="1612"/>
      <c r="B237" s="1510"/>
      <c r="C237" s="19" t="s">
        <v>2023</v>
      </c>
      <c r="D237" s="170">
        <v>207</v>
      </c>
      <c r="E237" s="101" t="str">
        <f>+IFERROR(INDEX([4]CONSOLIDADO!$D$4:$D$108,MATCH('Concur - Exp. General'!C237,[4]CONSOLIDADO!$C$4:$C$108,0)),"")</f>
        <v>HMV CONSULTORIA</v>
      </c>
      <c r="F237" s="22" t="s">
        <v>1364</v>
      </c>
      <c r="G237" s="23" t="s">
        <v>2025</v>
      </c>
      <c r="H237" s="32" t="s">
        <v>22</v>
      </c>
      <c r="I237" s="1388" t="s">
        <v>22</v>
      </c>
      <c r="J237" s="24">
        <v>1</v>
      </c>
      <c r="K237" s="348">
        <v>39153</v>
      </c>
      <c r="L237" s="348">
        <v>39867</v>
      </c>
      <c r="M237" s="26">
        <f t="shared" si="26"/>
        <v>2009</v>
      </c>
      <c r="N237" s="27">
        <f>+IFERROR(INDEX([13]PARÁMETROS!$B$11:$B$37,MATCH(M237,[13]PARÁMETROS!$A$11:$A$37,0)),"")</f>
        <v>496900</v>
      </c>
      <c r="O237" s="349">
        <v>1607052207</v>
      </c>
      <c r="P237" s="29" t="s">
        <v>151</v>
      </c>
      <c r="Q237" s="19" t="s">
        <v>140</v>
      </c>
      <c r="R237" s="30" t="s">
        <v>140</v>
      </c>
      <c r="S237" s="31">
        <v>1</v>
      </c>
      <c r="T237" s="27">
        <f t="shared" si="25"/>
        <v>1607052207</v>
      </c>
      <c r="U237" s="16">
        <f t="shared" si="23"/>
        <v>3234.1561823304487</v>
      </c>
      <c r="V237" s="16">
        <f t="shared" si="24"/>
        <v>3234.1561823304487</v>
      </c>
      <c r="W237" s="16">
        <v>24</v>
      </c>
      <c r="X237" s="1485" t="s">
        <v>22</v>
      </c>
      <c r="Y237" s="1485"/>
      <c r="Z237" s="1485"/>
      <c r="AA237" s="1485" t="s">
        <v>22</v>
      </c>
      <c r="AB237" s="1485"/>
      <c r="AC237" s="1485"/>
      <c r="AD237" s="1485" t="s">
        <v>22</v>
      </c>
      <c r="AE237" s="1485"/>
      <c r="AF237" s="1485"/>
      <c r="AG237" s="1388" t="s">
        <v>22</v>
      </c>
      <c r="AH237" s="1506"/>
      <c r="AI237" s="1506"/>
      <c r="AJ237" s="1388" t="str">
        <f>+IF(V237="","",IF(V237&gt;=[13]PARÁMETROS!$D$5,"CUMPLE","NO CUMPLE"))</f>
        <v>CUMPLE</v>
      </c>
      <c r="AK237" s="97"/>
    </row>
    <row r="238" spans="1:37" ht="57.75" thickBot="1">
      <c r="A238" s="1612"/>
      <c r="B238" s="1510"/>
      <c r="C238" s="19" t="s">
        <v>2023</v>
      </c>
      <c r="D238" s="170">
        <v>216</v>
      </c>
      <c r="E238" s="101" t="str">
        <f>+IFERROR(INDEX([4]CONSOLIDADO!$D$4:$D$108,MATCH('Concur - Exp. General'!C238,[4]CONSOLIDADO!$C$4:$C$108,0)),"")</f>
        <v>HMV CONSULTORIA</v>
      </c>
      <c r="F238" s="44" t="s">
        <v>1364</v>
      </c>
      <c r="G238" s="45" t="s">
        <v>2026</v>
      </c>
      <c r="H238" s="32" t="s">
        <v>22</v>
      </c>
      <c r="I238" s="1388" t="s">
        <v>22</v>
      </c>
      <c r="J238" s="46">
        <v>1</v>
      </c>
      <c r="K238" s="350">
        <v>38852</v>
      </c>
      <c r="L238" s="350">
        <v>39431</v>
      </c>
      <c r="M238" s="26">
        <f t="shared" si="26"/>
        <v>2007</v>
      </c>
      <c r="N238" s="27">
        <f>+IFERROR(INDEX([13]PARÁMETROS!$B$11:$B$37,MATCH(M238,[13]PARÁMETROS!$A$11:$A$37,0)),"")</f>
        <v>433700</v>
      </c>
      <c r="O238" s="351">
        <v>1681765496</v>
      </c>
      <c r="P238" s="49" t="s">
        <v>151</v>
      </c>
      <c r="Q238" s="19" t="s">
        <v>140</v>
      </c>
      <c r="R238" s="30" t="s">
        <v>140</v>
      </c>
      <c r="S238" s="31">
        <v>1</v>
      </c>
      <c r="T238" s="27">
        <f t="shared" si="25"/>
        <v>1681765496</v>
      </c>
      <c r="U238" s="16">
        <f t="shared" si="23"/>
        <v>3877.7161540235184</v>
      </c>
      <c r="V238" s="16">
        <f t="shared" si="24"/>
        <v>3877.7161540235184</v>
      </c>
      <c r="W238" s="16">
        <v>76</v>
      </c>
      <c r="X238" s="1485" t="s">
        <v>22</v>
      </c>
      <c r="Y238" s="1485"/>
      <c r="Z238" s="1485"/>
      <c r="AA238" s="1485" t="s">
        <v>22</v>
      </c>
      <c r="AB238" s="1485"/>
      <c r="AC238" s="1485"/>
      <c r="AD238" s="1485" t="s">
        <v>22</v>
      </c>
      <c r="AE238" s="1485"/>
      <c r="AF238" s="1485"/>
      <c r="AG238" s="1388" t="s">
        <v>22</v>
      </c>
      <c r="AH238" s="1506"/>
      <c r="AI238" s="1506"/>
      <c r="AJ238" s="1388" t="str">
        <f>+IF(V238="","",IF(V238&gt;=[13]PARÁMETROS!$D$5,"CUMPLE","NO CUMPLE"))</f>
        <v>CUMPLE</v>
      </c>
      <c r="AK238" s="98"/>
    </row>
    <row r="239" spans="1:37" ht="57.75" thickBot="1">
      <c r="A239" s="1612"/>
      <c r="B239" s="1510"/>
      <c r="C239" s="19" t="s">
        <v>2023</v>
      </c>
      <c r="D239" s="170">
        <v>222</v>
      </c>
      <c r="E239" s="101" t="str">
        <f>+IFERROR(INDEX([4]CONSOLIDADO!$D$4:$D$108,MATCH('Concur - Exp. General'!C239,[4]CONSOLIDADO!$C$4:$C$108,0)),"")</f>
        <v>HMV CONSULTORIA</v>
      </c>
      <c r="F239" s="22" t="s">
        <v>1362</v>
      </c>
      <c r="G239" s="23" t="s">
        <v>605</v>
      </c>
      <c r="H239" s="32" t="s">
        <v>22</v>
      </c>
      <c r="I239" s="1388" t="s">
        <v>22</v>
      </c>
      <c r="J239" s="24">
        <v>0.5</v>
      </c>
      <c r="K239" s="348">
        <v>36161</v>
      </c>
      <c r="L239" s="348">
        <v>37833</v>
      </c>
      <c r="M239" s="26">
        <f t="shared" si="26"/>
        <v>2003</v>
      </c>
      <c r="N239" s="27">
        <f>+IFERROR(INDEX([13]PARÁMETROS!$B$11:$B$37,MATCH(M239,[13]PARÁMETROS!$A$11:$A$37,0)),"")</f>
        <v>332000</v>
      </c>
      <c r="O239" s="349">
        <v>5331439397</v>
      </c>
      <c r="P239" s="29" t="s">
        <v>151</v>
      </c>
      <c r="Q239" s="19" t="s">
        <v>140</v>
      </c>
      <c r="R239" s="30" t="s">
        <v>140</v>
      </c>
      <c r="S239" s="31">
        <v>1</v>
      </c>
      <c r="T239" s="27">
        <f t="shared" si="25"/>
        <v>5331439397</v>
      </c>
      <c r="U239" s="16">
        <f t="shared" si="23"/>
        <v>16058.55240060241</v>
      </c>
      <c r="V239" s="16">
        <f t="shared" si="24"/>
        <v>8029.2762003012049</v>
      </c>
      <c r="W239" s="16">
        <v>8</v>
      </c>
      <c r="X239" s="1485" t="s">
        <v>22</v>
      </c>
      <c r="Y239" s="1485"/>
      <c r="Z239" s="1485"/>
      <c r="AA239" s="1485" t="s">
        <v>22</v>
      </c>
      <c r="AB239" s="1485"/>
      <c r="AC239" s="1485"/>
      <c r="AD239" s="1485" t="s">
        <v>22</v>
      </c>
      <c r="AE239" s="1485"/>
      <c r="AF239" s="1485"/>
      <c r="AG239" s="1388" t="s">
        <v>22</v>
      </c>
      <c r="AH239" s="1506"/>
      <c r="AI239" s="1506"/>
      <c r="AJ239" s="1388" t="str">
        <f>+IF(V239="","",IF(V239&gt;=[13]PARÁMETROS!$D$5,"CUMPLE","NO CUMPLE"))</f>
        <v>CUMPLE</v>
      </c>
      <c r="AK239" s="97"/>
    </row>
    <row r="240" spans="1:37" ht="43.5" thickBot="1">
      <c r="A240" s="1612"/>
      <c r="B240" s="1511"/>
      <c r="C240" s="99" t="s">
        <v>2023</v>
      </c>
      <c r="D240" s="178">
        <v>228</v>
      </c>
      <c r="E240" s="101" t="str">
        <f>+IFERROR(INDEX([4]CONSOLIDADO!$D$4:$D$108,MATCH('Concur - Exp. General'!C240,[4]CONSOLIDADO!$C$4:$C$108,0)),"")</f>
        <v>HMV CONSULTORIA</v>
      </c>
      <c r="F240" s="102" t="s">
        <v>1369</v>
      </c>
      <c r="G240" s="103" t="s">
        <v>2027</v>
      </c>
      <c r="H240" s="225" t="s">
        <v>22</v>
      </c>
      <c r="I240" s="1392" t="s">
        <v>22</v>
      </c>
      <c r="J240" s="104">
        <v>0.5</v>
      </c>
      <c r="K240" s="352">
        <v>35612</v>
      </c>
      <c r="L240" s="352">
        <v>36311</v>
      </c>
      <c r="M240" s="106">
        <f t="shared" si="26"/>
        <v>1999</v>
      </c>
      <c r="N240" s="107">
        <f>+IFERROR(INDEX([13]PARÁMETROS!$B$11:$B$37,MATCH(M240,[13]PARÁMETROS!$A$11:$A$37,0)),"")</f>
        <v>236460</v>
      </c>
      <c r="O240" s="353">
        <v>1549994366</v>
      </c>
      <c r="P240" s="109" t="s">
        <v>151</v>
      </c>
      <c r="Q240" s="99" t="s">
        <v>140</v>
      </c>
      <c r="R240" s="110" t="s">
        <v>140</v>
      </c>
      <c r="S240" s="111">
        <v>1</v>
      </c>
      <c r="T240" s="107">
        <f t="shared" si="25"/>
        <v>1549994366</v>
      </c>
      <c r="U240" s="112">
        <f t="shared" si="23"/>
        <v>6554.9960500718935</v>
      </c>
      <c r="V240" s="112">
        <f t="shared" si="24"/>
        <v>3277.4980250359467</v>
      </c>
      <c r="W240" s="112">
        <v>79</v>
      </c>
      <c r="X240" s="1486" t="s">
        <v>22</v>
      </c>
      <c r="Y240" s="1486"/>
      <c r="Z240" s="1486"/>
      <c r="AA240" s="1486" t="s">
        <v>22</v>
      </c>
      <c r="AB240" s="1486"/>
      <c r="AC240" s="1486"/>
      <c r="AD240" s="1486" t="s">
        <v>22</v>
      </c>
      <c r="AE240" s="1486"/>
      <c r="AF240" s="1486"/>
      <c r="AG240" s="1392" t="s">
        <v>22</v>
      </c>
      <c r="AH240" s="1507"/>
      <c r="AI240" s="1507"/>
      <c r="AJ240" s="1392" t="str">
        <f>+IF(V240="","",IF(V240&gt;=[13]PARÁMETROS!$D$5,"CUMPLE","NO CUMPLE"))</f>
        <v>CUMPLE</v>
      </c>
      <c r="AK240" s="113" t="s">
        <v>2028</v>
      </c>
    </row>
    <row r="241" spans="1:37" ht="57.75" thickBot="1">
      <c r="A241" s="1612"/>
      <c r="B241" s="1509" t="s">
        <v>2029</v>
      </c>
      <c r="C241" s="81" t="s">
        <v>2030</v>
      </c>
      <c r="D241" s="354">
        <v>117</v>
      </c>
      <c r="E241" s="101" t="str">
        <f>+IFERROR(INDEX([4]CONSOLIDADO!$D$4:$D$108,MATCH('Concur - Exp. General'!C241,[4]CONSOLIDADO!$C$4:$C$108,0)),"")</f>
        <v>LA VIALIDAD LIMITADA</v>
      </c>
      <c r="F241" s="336" t="s">
        <v>1744</v>
      </c>
      <c r="G241" s="84" t="s">
        <v>2031</v>
      </c>
      <c r="H241" s="1393" t="s">
        <v>22</v>
      </c>
      <c r="I241" s="1393" t="s">
        <v>22</v>
      </c>
      <c r="J241" s="118">
        <v>1</v>
      </c>
      <c r="K241" s="87">
        <v>38331</v>
      </c>
      <c r="L241" s="87">
        <v>40329</v>
      </c>
      <c r="M241" s="88">
        <f t="shared" si="26"/>
        <v>2010</v>
      </c>
      <c r="N241" s="89">
        <f>+IFERROR(INDEX([5]PARÁMETROS!$B$11:$B$37,MATCH(M241,[5]PARÁMETROS!$A$11:$A$37,0)),"")</f>
        <v>515000</v>
      </c>
      <c r="O241" s="337">
        <v>4862658335</v>
      </c>
      <c r="P241" s="89" t="s">
        <v>151</v>
      </c>
      <c r="Q241" s="81" t="s">
        <v>140</v>
      </c>
      <c r="R241" s="92" t="s">
        <v>140</v>
      </c>
      <c r="S241" s="93">
        <v>1</v>
      </c>
      <c r="T241" s="89">
        <f t="shared" si="25"/>
        <v>4862658335</v>
      </c>
      <c r="U241" s="94">
        <f t="shared" si="23"/>
        <v>9442.0550194174757</v>
      </c>
      <c r="V241" s="94">
        <f t="shared" si="24"/>
        <v>9442.0550194174757</v>
      </c>
      <c r="W241" s="207">
        <v>5</v>
      </c>
      <c r="X241" s="1484" t="s">
        <v>129</v>
      </c>
      <c r="Y241" s="1484"/>
      <c r="Z241" s="1484"/>
      <c r="AA241" s="1484" t="s">
        <v>22</v>
      </c>
      <c r="AB241" s="1484"/>
      <c r="AC241" s="1484"/>
      <c r="AD241" s="1484" t="s">
        <v>22</v>
      </c>
      <c r="AE241" s="1484"/>
      <c r="AF241" s="1484"/>
      <c r="AG241" s="1393" t="s">
        <v>22</v>
      </c>
      <c r="AH241" s="1484" t="str">
        <f>IF(V241="","",IF(SUM(V241:V246)&gt;=[5]PARÁMETROS!$H$5,"CUMPLE","NO CUMPLE"))</f>
        <v>CUMPLE</v>
      </c>
      <c r="AI241" s="1484" t="str">
        <f>IF(V241="","",IF(V241+V242&gt;=[5]PARÁMETROS!$F$5,"CUMPLE","NO CUMPLE"))</f>
        <v>CUMPLE</v>
      </c>
      <c r="AJ241" s="1393" t="str">
        <f>+IF(V241="","",IF(V241&gt;=[5]PARÁMETROS!$D$5,"CUMPLE","NO CUMPLE"))</f>
        <v>CUMPLE</v>
      </c>
      <c r="AK241" s="96"/>
    </row>
    <row r="242" spans="1:37" ht="43.5" thickBot="1">
      <c r="A242" s="1612"/>
      <c r="B242" s="1510"/>
      <c r="C242" s="19" t="s">
        <v>2030</v>
      </c>
      <c r="D242" s="170">
        <v>127</v>
      </c>
      <c r="E242" s="101" t="str">
        <f>+IFERROR(INDEX([4]CONSOLIDADO!$D$4:$D$108,MATCH('Concur - Exp. General'!C242,[4]CONSOLIDADO!$C$4:$C$108,0)),"")</f>
        <v>LA VIALIDAD LIMITADA</v>
      </c>
      <c r="F242" s="22" t="s">
        <v>1744</v>
      </c>
      <c r="G242" s="22" t="s">
        <v>2032</v>
      </c>
      <c r="H242" s="1388" t="s">
        <v>22</v>
      </c>
      <c r="I242" s="1388" t="s">
        <v>22</v>
      </c>
      <c r="J242" s="34">
        <v>1</v>
      </c>
      <c r="K242" s="25">
        <v>37271</v>
      </c>
      <c r="L242" s="25">
        <v>38292</v>
      </c>
      <c r="M242" s="26">
        <f t="shared" si="26"/>
        <v>2004</v>
      </c>
      <c r="N242" s="27">
        <f>+IFERROR(INDEX([5]PARÁMETROS!$B$11:$B$37,MATCH(M242,[5]PARÁMETROS!$A$11:$A$37,0)),"")</f>
        <v>358000</v>
      </c>
      <c r="O242" s="205">
        <v>2019668213</v>
      </c>
      <c r="P242" s="27" t="s">
        <v>151</v>
      </c>
      <c r="Q242" s="19" t="s">
        <v>140</v>
      </c>
      <c r="R242" s="30" t="s">
        <v>140</v>
      </c>
      <c r="S242" s="31">
        <v>1</v>
      </c>
      <c r="T242" s="27">
        <f t="shared" si="25"/>
        <v>2019668213</v>
      </c>
      <c r="U242" s="16">
        <f t="shared" si="23"/>
        <v>5641.5313212290503</v>
      </c>
      <c r="V242" s="16">
        <f t="shared" si="24"/>
        <v>5641.5313212290503</v>
      </c>
      <c r="W242" s="208">
        <v>18</v>
      </c>
      <c r="X242" s="1485" t="s">
        <v>129</v>
      </c>
      <c r="Y242" s="1485"/>
      <c r="Z242" s="1485"/>
      <c r="AA242" s="1485" t="s">
        <v>22</v>
      </c>
      <c r="AB242" s="1485"/>
      <c r="AC242" s="1485"/>
      <c r="AD242" s="1485" t="s">
        <v>22</v>
      </c>
      <c r="AE242" s="1485"/>
      <c r="AF242" s="1485"/>
      <c r="AG242" s="1388" t="s">
        <v>22</v>
      </c>
      <c r="AH242" s="1485"/>
      <c r="AI242" s="1485"/>
      <c r="AJ242" s="1388" t="str">
        <f>+IF(V242="","",IF(V242&gt;=[5]PARÁMETROS!$D$5,"CUMPLE","NO CUMPLE"))</f>
        <v>CUMPLE</v>
      </c>
      <c r="AK242" s="97"/>
    </row>
    <row r="243" spans="1:37" ht="63.75" thickBot="1">
      <c r="A243" s="1612"/>
      <c r="B243" s="1510"/>
      <c r="C243" s="19" t="s">
        <v>2033</v>
      </c>
      <c r="D243" s="170">
        <v>149</v>
      </c>
      <c r="E243" s="101" t="str">
        <f>+IFERROR(INDEX([4]CONSOLIDADO!$D$4:$D$108,MATCH('Concur - Exp. General'!C243,[4]CONSOLIDADO!$C$4:$C$108,0)),"")</f>
        <v>ARENAS DE LA HOZ CONSULTORES S.A.S.</v>
      </c>
      <c r="F243" s="22" t="s">
        <v>1744</v>
      </c>
      <c r="G243" s="22" t="s">
        <v>2034</v>
      </c>
      <c r="H243" s="1388" t="s">
        <v>22</v>
      </c>
      <c r="I243" s="1388" t="s">
        <v>22</v>
      </c>
      <c r="J243" s="34">
        <v>1</v>
      </c>
      <c r="K243" s="25">
        <v>41123</v>
      </c>
      <c r="L243" s="25">
        <v>41779</v>
      </c>
      <c r="M243" s="26">
        <f t="shared" si="26"/>
        <v>2014</v>
      </c>
      <c r="N243" s="27">
        <f>+IFERROR(INDEX([5]PARÁMETROS!$B$11:$B$37,MATCH(M243,[5]PARÁMETROS!$A$11:$A$37,0)),"")</f>
        <v>616000</v>
      </c>
      <c r="O243" s="205">
        <v>1605385195</v>
      </c>
      <c r="P243" s="27" t="s">
        <v>151</v>
      </c>
      <c r="Q243" s="19" t="s">
        <v>140</v>
      </c>
      <c r="R243" s="30" t="s">
        <v>140</v>
      </c>
      <c r="S243" s="31">
        <v>1</v>
      </c>
      <c r="T243" s="27">
        <f t="shared" si="25"/>
        <v>1605385195</v>
      </c>
      <c r="U243" s="16">
        <f t="shared" si="23"/>
        <v>2606.1447970779222</v>
      </c>
      <c r="V243" s="16">
        <f t="shared" si="24"/>
        <v>2606.1447970779222</v>
      </c>
      <c r="W243" s="208">
        <v>55</v>
      </c>
      <c r="X243" s="1485" t="s">
        <v>22</v>
      </c>
      <c r="Y243" s="1485"/>
      <c r="Z243" s="1485"/>
      <c r="AA243" s="1485" t="s">
        <v>22</v>
      </c>
      <c r="AB243" s="1485"/>
      <c r="AC243" s="1485"/>
      <c r="AD243" s="1485" t="s">
        <v>22</v>
      </c>
      <c r="AE243" s="1485"/>
      <c r="AF243" s="1485"/>
      <c r="AG243" s="1388" t="s">
        <v>22</v>
      </c>
      <c r="AH243" s="1485"/>
      <c r="AI243" s="1485"/>
      <c r="AJ243" s="1388" t="str">
        <f>+IF(V243="","",IF(V243&gt;=[5]PARÁMETROS!$D$5,"CUMPLE","NO CUMPLE"))</f>
        <v>CUMPLE</v>
      </c>
      <c r="AK243" s="97"/>
    </row>
    <row r="244" spans="1:37" ht="63.75" thickBot="1">
      <c r="A244" s="1612"/>
      <c r="B244" s="1510"/>
      <c r="C244" s="19" t="s">
        <v>2033</v>
      </c>
      <c r="D244" s="170">
        <v>156</v>
      </c>
      <c r="E244" s="101" t="str">
        <f>+IFERROR(INDEX([4]CONSOLIDADO!$D$4:$D$108,MATCH('Concur - Exp. General'!C244,[4]CONSOLIDADO!$C$4:$C$108,0)),"")</f>
        <v>ARENAS DE LA HOZ CONSULTORES S.A.S.</v>
      </c>
      <c r="F244" s="22" t="s">
        <v>2035</v>
      </c>
      <c r="G244" s="22" t="s">
        <v>2036</v>
      </c>
      <c r="H244" s="1388" t="s">
        <v>22</v>
      </c>
      <c r="I244" s="1388" t="s">
        <v>22</v>
      </c>
      <c r="J244" s="34">
        <v>1</v>
      </c>
      <c r="K244" s="25">
        <v>41632</v>
      </c>
      <c r="L244" s="25">
        <v>41632</v>
      </c>
      <c r="M244" s="26">
        <f t="shared" si="26"/>
        <v>2013</v>
      </c>
      <c r="N244" s="27">
        <f>+IFERROR(INDEX([5]PARÁMETROS!$B$11:$B$37,MATCH(M244,[5]PARÁMETROS!$A$11:$A$37,0)),"")</f>
        <v>589500</v>
      </c>
      <c r="O244" s="205">
        <v>958455800</v>
      </c>
      <c r="P244" s="27" t="s">
        <v>151</v>
      </c>
      <c r="Q244" s="19" t="s">
        <v>140</v>
      </c>
      <c r="R244" s="30" t="s">
        <v>140</v>
      </c>
      <c r="S244" s="31">
        <v>1</v>
      </c>
      <c r="T244" s="27">
        <f t="shared" si="25"/>
        <v>958455800</v>
      </c>
      <c r="U244" s="16">
        <f t="shared" si="23"/>
        <v>1625.8792196776931</v>
      </c>
      <c r="V244" s="16">
        <f t="shared" si="24"/>
        <v>1625.8792196776931</v>
      </c>
      <c r="W244" s="208">
        <v>46</v>
      </c>
      <c r="X244" s="1485" t="s">
        <v>22</v>
      </c>
      <c r="Y244" s="1485"/>
      <c r="Z244" s="1485"/>
      <c r="AA244" s="1485" t="s">
        <v>22</v>
      </c>
      <c r="AB244" s="1485"/>
      <c r="AC244" s="1485"/>
      <c r="AD244" s="1485" t="s">
        <v>22</v>
      </c>
      <c r="AE244" s="1485"/>
      <c r="AF244" s="1485"/>
      <c r="AG244" s="1388" t="s">
        <v>22</v>
      </c>
      <c r="AH244" s="1485"/>
      <c r="AI244" s="1485"/>
      <c r="AJ244" s="1388" t="str">
        <f>+IF(V244="","",IF(V244&gt;=[5]PARÁMETROS!$D$5,"CUMPLE","NO CUMPLE"))</f>
        <v>NO CUMPLE</v>
      </c>
      <c r="AK244" s="97"/>
    </row>
    <row r="245" spans="1:37" ht="63.75" thickBot="1">
      <c r="A245" s="1612"/>
      <c r="B245" s="1510"/>
      <c r="C245" s="19" t="s">
        <v>2033</v>
      </c>
      <c r="D245" s="170">
        <v>157</v>
      </c>
      <c r="E245" s="101" t="str">
        <f>+IFERROR(INDEX([4]CONSOLIDADO!$D$4:$D$108,MATCH('Concur - Exp. General'!C245,[4]CONSOLIDADO!$C$4:$C$108,0)),"")</f>
        <v>ARENAS DE LA HOZ CONSULTORES S.A.S.</v>
      </c>
      <c r="F245" s="22" t="s">
        <v>554</v>
      </c>
      <c r="G245" s="22" t="s">
        <v>2037</v>
      </c>
      <c r="H245" s="1388" t="s">
        <v>22</v>
      </c>
      <c r="I245" s="1388" t="s">
        <v>22</v>
      </c>
      <c r="J245" s="34">
        <v>0.5</v>
      </c>
      <c r="K245" s="25">
        <v>37188</v>
      </c>
      <c r="L245" s="25">
        <v>37623</v>
      </c>
      <c r="M245" s="26">
        <f t="shared" si="26"/>
        <v>2003</v>
      </c>
      <c r="N245" s="27">
        <f>+IFERROR(INDEX([5]PARÁMETROS!$B$11:$B$37,MATCH(M245,[5]PARÁMETROS!$A$11:$A$37,0)),"")</f>
        <v>332000</v>
      </c>
      <c r="O245" s="205">
        <v>761649757</v>
      </c>
      <c r="P245" s="27" t="s">
        <v>151</v>
      </c>
      <c r="Q245" s="19" t="s">
        <v>140</v>
      </c>
      <c r="R245" s="30" t="s">
        <v>140</v>
      </c>
      <c r="S245" s="31">
        <v>1</v>
      </c>
      <c r="T245" s="27">
        <f t="shared" si="25"/>
        <v>761649757</v>
      </c>
      <c r="U245" s="16">
        <f t="shared" si="23"/>
        <v>2294.1257740963856</v>
      </c>
      <c r="V245" s="16">
        <f t="shared" si="24"/>
        <v>1147.0628870481928</v>
      </c>
      <c r="W245" s="208">
        <v>11</v>
      </c>
      <c r="X245" s="1485" t="s">
        <v>22</v>
      </c>
      <c r="Y245" s="1485"/>
      <c r="Z245" s="1485"/>
      <c r="AA245" s="1485" t="s">
        <v>22</v>
      </c>
      <c r="AB245" s="1485"/>
      <c r="AC245" s="1485"/>
      <c r="AD245" s="1485" t="s">
        <v>22</v>
      </c>
      <c r="AE245" s="1485"/>
      <c r="AF245" s="1485"/>
      <c r="AG245" s="1388" t="s">
        <v>22</v>
      </c>
      <c r="AH245" s="1485"/>
      <c r="AI245" s="1485"/>
      <c r="AJ245" s="1388" t="str">
        <f>+IF(V245="","",IF(V245&gt;=[5]PARÁMETROS!$D$5,"CUMPLE","NO CUMPLE"))</f>
        <v>NO CUMPLE</v>
      </c>
      <c r="AK245" s="97"/>
    </row>
    <row r="246" spans="1:37" ht="48" thickBot="1">
      <c r="A246" s="1612"/>
      <c r="B246" s="1511"/>
      <c r="C246" s="99" t="s">
        <v>2038</v>
      </c>
      <c r="D246" s="178">
        <v>158</v>
      </c>
      <c r="E246" s="101" t="str">
        <f>+IFERROR(INDEX([4]CONSOLIDADO!$D$4:$D$108,MATCH('Concur - Exp. General'!C246,[4]CONSOLIDADO!$C$4:$C$108,0)),"")</f>
        <v>SILVA CARREÑO Y ASOCIADOS S.A.S.</v>
      </c>
      <c r="F246" s="102" t="s">
        <v>1744</v>
      </c>
      <c r="G246" s="102" t="s">
        <v>2039</v>
      </c>
      <c r="H246" s="1392" t="s">
        <v>22</v>
      </c>
      <c r="I246" s="1392" t="s">
        <v>22</v>
      </c>
      <c r="J246" s="119">
        <v>1</v>
      </c>
      <c r="K246" s="105">
        <v>36992</v>
      </c>
      <c r="L246" s="105">
        <v>37636</v>
      </c>
      <c r="M246" s="106">
        <f t="shared" si="26"/>
        <v>2003</v>
      </c>
      <c r="N246" s="107">
        <f>+IFERROR(INDEX([5]PARÁMETROS!$B$11:$B$37,MATCH(M246,[5]PARÁMETROS!$A$11:$A$37,0)),"")</f>
        <v>332000</v>
      </c>
      <c r="O246" s="338">
        <v>1135751411</v>
      </c>
      <c r="P246" s="107" t="s">
        <v>151</v>
      </c>
      <c r="Q246" s="99" t="s">
        <v>140</v>
      </c>
      <c r="R246" s="110" t="s">
        <v>140</v>
      </c>
      <c r="S246" s="111">
        <v>1</v>
      </c>
      <c r="T246" s="107">
        <f t="shared" si="25"/>
        <v>1135751411</v>
      </c>
      <c r="U246" s="112">
        <f t="shared" si="23"/>
        <v>3420.9379849397592</v>
      </c>
      <c r="V246" s="112">
        <f t="shared" si="24"/>
        <v>3420.9379849397592</v>
      </c>
      <c r="W246" s="213">
        <v>10</v>
      </c>
      <c r="X246" s="1486" t="s">
        <v>129</v>
      </c>
      <c r="Y246" s="1486"/>
      <c r="Z246" s="1486"/>
      <c r="AA246" s="1486" t="s">
        <v>22</v>
      </c>
      <c r="AB246" s="1486"/>
      <c r="AC246" s="1486"/>
      <c r="AD246" s="1486" t="s">
        <v>22</v>
      </c>
      <c r="AE246" s="1486"/>
      <c r="AF246" s="1486"/>
      <c r="AG246" s="1392" t="s">
        <v>22</v>
      </c>
      <c r="AH246" s="1486"/>
      <c r="AI246" s="1486"/>
      <c r="AJ246" s="1392" t="str">
        <f>+IF(V246="","",IF(V246&gt;=[5]PARÁMETROS!$D$5,"CUMPLE","NO CUMPLE"))</f>
        <v>CUMPLE</v>
      </c>
      <c r="AK246" s="113"/>
    </row>
    <row r="247" spans="1:37" ht="72" thickBot="1">
      <c r="A247" s="1612"/>
      <c r="B247" s="1605" t="s">
        <v>2040</v>
      </c>
      <c r="C247" s="81" t="s">
        <v>2041</v>
      </c>
      <c r="D247" s="169">
        <v>274</v>
      </c>
      <c r="E247" s="101" t="str">
        <f>+IFERROR(INDEX([4]CONSOLIDADO!$D$4:$D$108,MATCH('Concur - Exp. General'!C247,[4]CONSOLIDADO!$C$4:$C$108,0)),"")</f>
        <v>TECNOLOGIAS Y CONSULTORIAS AMBIENTALES Y GESTION S.A.</v>
      </c>
      <c r="F247" s="84" t="s">
        <v>207</v>
      </c>
      <c r="G247" s="85" t="s">
        <v>2042</v>
      </c>
      <c r="H247" s="1393" t="s">
        <v>22</v>
      </c>
      <c r="I247" s="1393" t="s">
        <v>22</v>
      </c>
      <c r="J247" s="86">
        <v>0.6</v>
      </c>
      <c r="K247" s="87">
        <v>39860</v>
      </c>
      <c r="L247" s="87">
        <v>41260</v>
      </c>
      <c r="M247" s="88">
        <f t="shared" si="26"/>
        <v>2012</v>
      </c>
      <c r="N247" s="89">
        <f>+IFERROR(INDEX([4]PARÁMETROS!$B$11:$B$37,MATCH(M247,[4]PARÁMETROS!$A$11:$A$37,0)),"")</f>
        <v>566700</v>
      </c>
      <c r="O247" s="90">
        <v>8593771469</v>
      </c>
      <c r="P247" s="91" t="s">
        <v>151</v>
      </c>
      <c r="Q247" s="81" t="s">
        <v>140</v>
      </c>
      <c r="R247" s="92" t="s">
        <v>140</v>
      </c>
      <c r="S247" s="93">
        <v>1</v>
      </c>
      <c r="T247" s="89">
        <f t="shared" si="25"/>
        <v>8593771469</v>
      </c>
      <c r="U247" s="94">
        <f t="shared" si="23"/>
        <v>15164.587028410093</v>
      </c>
      <c r="V247" s="94">
        <f t="shared" si="24"/>
        <v>9098.7522170460561</v>
      </c>
      <c r="W247" s="94">
        <v>18</v>
      </c>
      <c r="X247" s="1484" t="s">
        <v>22</v>
      </c>
      <c r="Y247" s="1484"/>
      <c r="Z247" s="1484"/>
      <c r="AA247" s="1484" t="s">
        <v>22</v>
      </c>
      <c r="AB247" s="1484"/>
      <c r="AC247" s="1484"/>
      <c r="AD247" s="1484" t="s">
        <v>129</v>
      </c>
      <c r="AE247" s="1484"/>
      <c r="AF247" s="1484"/>
      <c r="AG247" s="1393" t="s">
        <v>22</v>
      </c>
      <c r="AH247" s="1484" t="str">
        <f>IF(V247="","",IF(SUM(V247:V250)&gt;=[4]PARÁMETROS!$H$5,"CUMPLE","NO CUMPLE"))</f>
        <v>CUMPLE</v>
      </c>
      <c r="AI247" s="1484" t="str">
        <f>IF(V247="","",IF((V247+V248)&gt;=[4]PARÁMETROS!$F$5,"CUMPLE","NO CUMPLE"))</f>
        <v>CUMPLE</v>
      </c>
      <c r="AJ247" s="1393" t="str">
        <f>+IF(V247="","",IF(V247&gt;=[4]PARÁMETROS!$D$5,"CUMPLE","NO CUMPLE"))</f>
        <v>CUMPLE</v>
      </c>
      <c r="AK247" s="122"/>
    </row>
    <row r="248" spans="1:37" ht="63.75" thickBot="1">
      <c r="A248" s="1612"/>
      <c r="B248" s="1510"/>
      <c r="C248" s="19" t="s">
        <v>2041</v>
      </c>
      <c r="D248" s="170">
        <v>277</v>
      </c>
      <c r="E248" s="101" t="str">
        <f>+IFERROR(INDEX([4]CONSOLIDADO!$D$4:$D$108,MATCH('Concur - Exp. General'!C248,[4]CONSOLIDADO!$C$4:$C$108,0)),"")</f>
        <v>TECNOLOGIAS Y CONSULTORIAS AMBIENTALES Y GESTION S.A.</v>
      </c>
      <c r="F248" s="22" t="s">
        <v>2043</v>
      </c>
      <c r="G248" s="23" t="s">
        <v>2044</v>
      </c>
      <c r="H248" s="1388" t="s">
        <v>22</v>
      </c>
      <c r="I248" s="1388" t="s">
        <v>22</v>
      </c>
      <c r="J248" s="24">
        <v>0.7</v>
      </c>
      <c r="K248" s="25">
        <v>41404</v>
      </c>
      <c r="L248" s="25">
        <v>42137</v>
      </c>
      <c r="M248" s="26">
        <f t="shared" si="26"/>
        <v>2015</v>
      </c>
      <c r="N248" s="27">
        <f>+IFERROR(INDEX([4]PARÁMETROS!$B$11:$B$37,MATCH(M248,[4]PARÁMETROS!$A$11:$A$37,0)),"")</f>
        <v>644350</v>
      </c>
      <c r="O248" s="28">
        <v>5284171200</v>
      </c>
      <c r="P248" s="29" t="s">
        <v>151</v>
      </c>
      <c r="Q248" s="19" t="s">
        <v>140</v>
      </c>
      <c r="R248" s="30" t="s">
        <v>140</v>
      </c>
      <c r="S248" s="31">
        <v>1</v>
      </c>
      <c r="T248" s="27">
        <f t="shared" si="25"/>
        <v>5284171200</v>
      </c>
      <c r="U248" s="16">
        <f t="shared" si="23"/>
        <v>8200.7778381314511</v>
      </c>
      <c r="V248" s="16">
        <f t="shared" si="24"/>
        <v>5740.5444866920152</v>
      </c>
      <c r="W248" s="16">
        <v>47</v>
      </c>
      <c r="X248" s="1485" t="s">
        <v>22</v>
      </c>
      <c r="Y248" s="1485"/>
      <c r="Z248" s="1485"/>
      <c r="AA248" s="1485" t="s">
        <v>22</v>
      </c>
      <c r="AB248" s="1485"/>
      <c r="AC248" s="1485"/>
      <c r="AD248" s="1485" t="s">
        <v>22</v>
      </c>
      <c r="AE248" s="1485"/>
      <c r="AF248" s="1485"/>
      <c r="AG248" s="1388" t="s">
        <v>22</v>
      </c>
      <c r="AH248" s="1485"/>
      <c r="AI248" s="1485"/>
      <c r="AJ248" s="1388" t="str">
        <f>+IF(V248="","",IF(V248&gt;=[4]PARÁMETROS!$D$5,"CUMPLE","NO CUMPLE"))</f>
        <v>CUMPLE</v>
      </c>
      <c r="AK248" s="97"/>
    </row>
    <row r="249" spans="1:37" ht="63.75" thickBot="1">
      <c r="A249" s="1612"/>
      <c r="B249" s="1510"/>
      <c r="C249" s="19" t="s">
        <v>2045</v>
      </c>
      <c r="D249" s="170">
        <v>279</v>
      </c>
      <c r="E249" s="101" t="str">
        <f>+IFERROR(INDEX([4]CONSOLIDADO!$D$4:$D$108,MATCH('Concur - Exp. General'!C249,[4]CONSOLIDADO!$C$4:$C$108,0)),"")</f>
        <v>HORACIO FRANCISCO MENDOZA MARTINEZ</v>
      </c>
      <c r="F249" s="22" t="s">
        <v>281</v>
      </c>
      <c r="G249" s="23" t="s">
        <v>2046</v>
      </c>
      <c r="H249" s="1388" t="s">
        <v>22</v>
      </c>
      <c r="I249" s="1388" t="s">
        <v>22</v>
      </c>
      <c r="J249" s="24">
        <v>0.1</v>
      </c>
      <c r="K249" s="25">
        <v>37229</v>
      </c>
      <c r="L249" s="25">
        <v>40168</v>
      </c>
      <c r="M249" s="26">
        <f t="shared" si="26"/>
        <v>2009</v>
      </c>
      <c r="N249" s="27">
        <f>+IFERROR(INDEX([4]PARÁMETROS!$B$11:$B$37,MATCH(M249,[4]PARÁMETROS!$A$11:$A$37,0)),"")</f>
        <v>496900</v>
      </c>
      <c r="O249" s="28">
        <f>23197769047.38+6341313646+1215568184.53</f>
        <v>30754650877.91</v>
      </c>
      <c r="P249" s="29" t="s">
        <v>151</v>
      </c>
      <c r="Q249" s="19" t="s">
        <v>140</v>
      </c>
      <c r="R249" s="30" t="s">
        <v>140</v>
      </c>
      <c r="S249" s="31">
        <v>1</v>
      </c>
      <c r="T249" s="27">
        <f t="shared" si="25"/>
        <v>30754650877.91</v>
      </c>
      <c r="U249" s="16">
        <f t="shared" si="23"/>
        <v>61893.038595109683</v>
      </c>
      <c r="V249" s="16">
        <f t="shared" si="24"/>
        <v>6189.3038595109683</v>
      </c>
      <c r="W249" s="16">
        <v>76</v>
      </c>
      <c r="X249" s="1485" t="s">
        <v>22</v>
      </c>
      <c r="Y249" s="1485"/>
      <c r="Z249" s="1485"/>
      <c r="AA249" s="1485" t="s">
        <v>22</v>
      </c>
      <c r="AB249" s="1485"/>
      <c r="AC249" s="1485"/>
      <c r="AD249" s="1485" t="s">
        <v>22</v>
      </c>
      <c r="AE249" s="1485"/>
      <c r="AF249" s="1485"/>
      <c r="AG249" s="1388" t="s">
        <v>22</v>
      </c>
      <c r="AH249" s="1485"/>
      <c r="AI249" s="1485"/>
      <c r="AJ249" s="1388" t="str">
        <f>+IF(V249="","",IF(V249&gt;=[4]PARÁMETROS!$D$5,"CUMPLE","NO CUMPLE"))</f>
        <v>CUMPLE</v>
      </c>
      <c r="AK249" s="97"/>
    </row>
    <row r="250" spans="1:37" ht="72" thickBot="1">
      <c r="A250" s="1613"/>
      <c r="B250" s="1510"/>
      <c r="C250" s="99" t="s">
        <v>2047</v>
      </c>
      <c r="D250" s="178">
        <v>286</v>
      </c>
      <c r="E250" s="101" t="str">
        <f>+IFERROR(INDEX([4]CONSOLIDADO!$D$4:$D$108,MATCH('Concur - Exp. General'!C250,[4]CONSOLIDADO!$C$4:$C$108,0)),"")</f>
        <v>PROYECTOS TECNICOS DE COLOMBIA</v>
      </c>
      <c r="F250" s="102" t="s">
        <v>207</v>
      </c>
      <c r="G250" s="103" t="s">
        <v>2048</v>
      </c>
      <c r="H250" s="1392" t="s">
        <v>22</v>
      </c>
      <c r="I250" s="1392" t="s">
        <v>22</v>
      </c>
      <c r="J250" s="104">
        <v>0.5</v>
      </c>
      <c r="K250" s="105">
        <v>39862</v>
      </c>
      <c r="L250" s="105">
        <v>40878</v>
      </c>
      <c r="M250" s="106">
        <f t="shared" si="26"/>
        <v>2011</v>
      </c>
      <c r="N250" s="107">
        <f>+IFERROR(INDEX([4]PARÁMETROS!$B$11:$B$37,MATCH(M250,[4]PARÁMETROS!$A$11:$A$37,0)),"")</f>
        <v>535600</v>
      </c>
      <c r="O250" s="108">
        <v>8675772032</v>
      </c>
      <c r="P250" s="109" t="s">
        <v>151</v>
      </c>
      <c r="Q250" s="99" t="s">
        <v>140</v>
      </c>
      <c r="R250" s="110" t="s">
        <v>140</v>
      </c>
      <c r="S250" s="111">
        <v>1</v>
      </c>
      <c r="T250" s="107">
        <f t="shared" si="25"/>
        <v>8675772032</v>
      </c>
      <c r="U250" s="112">
        <f t="shared" si="23"/>
        <v>16198.23008215086</v>
      </c>
      <c r="V250" s="112">
        <f t="shared" si="24"/>
        <v>8099.1150410754299</v>
      </c>
      <c r="W250" s="112">
        <v>16</v>
      </c>
      <c r="X250" s="1486" t="s">
        <v>22</v>
      </c>
      <c r="Y250" s="1486"/>
      <c r="Z250" s="1486"/>
      <c r="AA250" s="1486" t="s">
        <v>129</v>
      </c>
      <c r="AB250" s="1486"/>
      <c r="AC250" s="1486"/>
      <c r="AD250" s="1486" t="s">
        <v>22</v>
      </c>
      <c r="AE250" s="1486"/>
      <c r="AF250" s="1486"/>
      <c r="AG250" s="1392" t="s">
        <v>22</v>
      </c>
      <c r="AH250" s="1486"/>
      <c r="AI250" s="1486"/>
      <c r="AJ250" s="1392" t="str">
        <f>+IF(V250="","",IF(V250&gt;=[4]PARÁMETROS!$D$5,"CUMPLE","NO CUMPLE"))</f>
        <v>CUMPLE</v>
      </c>
      <c r="AK250" s="97"/>
    </row>
    <row r="251" spans="1:37" ht="28.5">
      <c r="A251" s="1614" t="s">
        <v>2049</v>
      </c>
      <c r="B251" s="1509" t="s">
        <v>2050</v>
      </c>
      <c r="C251" s="81" t="s">
        <v>153</v>
      </c>
      <c r="D251" s="428">
        <v>317</v>
      </c>
      <c r="E251" s="274" t="s">
        <v>2051</v>
      </c>
      <c r="F251" s="95" t="s">
        <v>2052</v>
      </c>
      <c r="G251" s="85" t="s">
        <v>2053</v>
      </c>
      <c r="H251" s="1397" t="s">
        <v>22</v>
      </c>
      <c r="I251" s="1393" t="s">
        <v>22</v>
      </c>
      <c r="J251" s="86">
        <v>0.45</v>
      </c>
      <c r="K251" s="87">
        <v>39125</v>
      </c>
      <c r="L251" s="238">
        <v>42012</v>
      </c>
      <c r="M251" s="88">
        <f>IF(L251="","",YEAR(L251))</f>
        <v>2015</v>
      </c>
      <c r="N251" s="89">
        <f>+IFERROR(INDEX([14]PARÁMETROS!$B$11:$B$37,MATCH(M251,[14]PARÁMETROS!$A$11:$A$37,0)),"")</f>
        <v>644350</v>
      </c>
      <c r="O251" s="241">
        <v>15319357761</v>
      </c>
      <c r="P251" s="91" t="s">
        <v>151</v>
      </c>
      <c r="Q251" s="19" t="s">
        <v>140</v>
      </c>
      <c r="R251" s="19" t="s">
        <v>140</v>
      </c>
      <c r="S251" s="93">
        <v>1</v>
      </c>
      <c r="T251" s="89">
        <f>IF(S251&lt;&gt;"",O251*S251,"")</f>
        <v>15319357761</v>
      </c>
      <c r="U251" s="94">
        <f>+IFERROR(T251/N251,"")</f>
        <v>23774.901468146192</v>
      </c>
      <c r="V251" s="94">
        <f>IFERROR(U251*J251,"")</f>
        <v>10698.705660665786</v>
      </c>
      <c r="W251" s="1393" t="s">
        <v>1995</v>
      </c>
      <c r="X251" s="1484"/>
      <c r="Y251" s="1484"/>
      <c r="Z251" s="1484"/>
      <c r="AA251" s="1484"/>
      <c r="AB251" s="1484"/>
      <c r="AC251" s="1484"/>
      <c r="AD251" s="1484"/>
      <c r="AE251" s="1484"/>
      <c r="AF251" s="1484"/>
      <c r="AG251" s="1393"/>
      <c r="AH251" s="1484" t="str">
        <f>IF(V251:V255="","",IF(SUM(V251:V255)&gt;=[14]PARÁMETROS!$D$5,"HÁBIL","NO HÁBIL"))</f>
        <v>HÁBIL</v>
      </c>
      <c r="AI251" s="1484" t="str">
        <f>IF(V251="","",IF(SUM(V251)&gt;=[14]PARÁMETROS!$H$5,"HÁBIL","NO HÁBIL"))</f>
        <v>HÁBIL</v>
      </c>
      <c r="AJ251" s="1393" t="str">
        <f>+IF(V251="","",IF(V251&gt;=[14]PARÁMETROS!$D$5,"CUMPLE","NO CUMPLE"))</f>
        <v>CUMPLE</v>
      </c>
      <c r="AK251" s="429"/>
    </row>
    <row r="252" spans="1:37" ht="42.75">
      <c r="A252" s="1615"/>
      <c r="B252" s="1510"/>
      <c r="C252" s="19" t="s">
        <v>136</v>
      </c>
      <c r="D252" s="20">
        <v>342</v>
      </c>
      <c r="E252" s="21" t="s">
        <v>2054</v>
      </c>
      <c r="F252" s="32" t="s">
        <v>2055</v>
      </c>
      <c r="G252" s="22" t="s">
        <v>2056</v>
      </c>
      <c r="H252" s="1388" t="s">
        <v>22</v>
      </c>
      <c r="I252" s="1388" t="s">
        <v>22</v>
      </c>
      <c r="J252" s="34">
        <v>1</v>
      </c>
      <c r="K252" s="25">
        <v>38279</v>
      </c>
      <c r="L252" s="25">
        <v>39813</v>
      </c>
      <c r="M252" s="26">
        <f t="shared" ref="M252:M273" si="27">IF(L252="","",YEAR(L252))</f>
        <v>2008</v>
      </c>
      <c r="N252" s="27">
        <f>+IFERROR(INDEX([14]PARÁMETROS!$B$11:$B$37,MATCH(M252,[14]PARÁMETROS!$A$11:$A$37,0)),"")</f>
        <v>461500</v>
      </c>
      <c r="O252" s="35">
        <v>3975262277</v>
      </c>
      <c r="P252" s="27" t="s">
        <v>151</v>
      </c>
      <c r="Q252" s="19" t="s">
        <v>140</v>
      </c>
      <c r="R252" s="30" t="s">
        <v>140</v>
      </c>
      <c r="S252" s="31">
        <v>1</v>
      </c>
      <c r="T252" s="27">
        <f t="shared" ref="T252:T272" si="28">IF(S252&lt;&gt;"",O252*S252,"")</f>
        <v>3975262277</v>
      </c>
      <c r="U252" s="16">
        <f t="shared" ref="U252:U272" si="29">+IFERROR(T252/N252,"")</f>
        <v>8613.7860823401952</v>
      </c>
      <c r="V252" s="16">
        <f t="shared" ref="V252:V272" si="30">IFERROR(U252*J252,"")</f>
        <v>8613.7860823401952</v>
      </c>
      <c r="W252" s="1388">
        <v>9</v>
      </c>
      <c r="X252" s="1485" t="s">
        <v>22</v>
      </c>
      <c r="Y252" s="1485"/>
      <c r="Z252" s="1485"/>
      <c r="AA252" s="1485" t="s">
        <v>22</v>
      </c>
      <c r="AB252" s="1485"/>
      <c r="AC252" s="1485"/>
      <c r="AD252" s="1485" t="s">
        <v>22</v>
      </c>
      <c r="AE252" s="1485"/>
      <c r="AF252" s="1485"/>
      <c r="AG252" s="1388" t="s">
        <v>22</v>
      </c>
      <c r="AH252" s="1485"/>
      <c r="AI252" s="1485"/>
      <c r="AJ252" s="1388" t="str">
        <f>+IF(V252="","",IF(V252&gt;=[14]PARÁMETROS!$D$5,"CUMPLE","NO CUMPLE"))</f>
        <v>CUMPLE</v>
      </c>
      <c r="AK252" s="97"/>
    </row>
    <row r="253" spans="1:37" ht="57">
      <c r="A253" s="1615"/>
      <c r="B253" s="1510"/>
      <c r="C253" s="19" t="s">
        <v>136</v>
      </c>
      <c r="D253" s="20">
        <v>363</v>
      </c>
      <c r="E253" s="21" t="s">
        <v>2054</v>
      </c>
      <c r="F253" s="32" t="s">
        <v>2057</v>
      </c>
      <c r="G253" s="23" t="s">
        <v>2058</v>
      </c>
      <c r="H253" s="1388" t="s">
        <v>22</v>
      </c>
      <c r="I253" s="1388" t="s">
        <v>22</v>
      </c>
      <c r="J253" s="24">
        <v>1</v>
      </c>
      <c r="K253" s="25">
        <v>40498</v>
      </c>
      <c r="L253" s="25">
        <v>40973</v>
      </c>
      <c r="M253" s="26">
        <f t="shared" si="27"/>
        <v>2012</v>
      </c>
      <c r="N253" s="27">
        <f>+IFERROR(INDEX([14]PARÁMETROS!$B$11:$B$37,MATCH(M253,[14]PARÁMETROS!$A$11:$A$37,0)),"")</f>
        <v>566700</v>
      </c>
      <c r="O253" s="28">
        <v>2159474666</v>
      </c>
      <c r="P253" s="27" t="s">
        <v>151</v>
      </c>
      <c r="Q253" s="19" t="s">
        <v>140</v>
      </c>
      <c r="R253" s="30" t="s">
        <v>140</v>
      </c>
      <c r="S253" s="31">
        <v>1</v>
      </c>
      <c r="T253" s="27">
        <f t="shared" si="28"/>
        <v>2159474666</v>
      </c>
      <c r="U253" s="16">
        <f t="shared" si="29"/>
        <v>3810.6134921475209</v>
      </c>
      <c r="V253" s="16">
        <f t="shared" si="30"/>
        <v>3810.6134921475209</v>
      </c>
      <c r="W253" s="1388">
        <v>112</v>
      </c>
      <c r="X253" s="1485" t="s">
        <v>22</v>
      </c>
      <c r="Y253" s="1485"/>
      <c r="Z253" s="1485"/>
      <c r="AA253" s="1485" t="s">
        <v>22</v>
      </c>
      <c r="AB253" s="1485"/>
      <c r="AC253" s="1485"/>
      <c r="AD253" s="1485" t="s">
        <v>22</v>
      </c>
      <c r="AE253" s="1485"/>
      <c r="AF253" s="1485"/>
      <c r="AG253" s="1388" t="s">
        <v>22</v>
      </c>
      <c r="AH253" s="1485"/>
      <c r="AI253" s="1485"/>
      <c r="AJ253" s="1388" t="str">
        <f>+IF(V253="","",IF(V253&gt;=[14]PARÁMETROS!$F$5,"CUMPLE","NO CUMPLE"))</f>
        <v>CUMPLE</v>
      </c>
      <c r="AK253" s="97"/>
    </row>
    <row r="254" spans="1:37" ht="85.5">
      <c r="A254" s="1615"/>
      <c r="B254" s="1510"/>
      <c r="C254" s="19" t="s">
        <v>136</v>
      </c>
      <c r="D254" s="20">
        <v>363</v>
      </c>
      <c r="E254" s="21" t="s">
        <v>2054</v>
      </c>
      <c r="F254" s="32" t="s">
        <v>2059</v>
      </c>
      <c r="G254" s="23" t="s">
        <v>2060</v>
      </c>
      <c r="H254" s="1388" t="s">
        <v>22</v>
      </c>
      <c r="I254" s="1388" t="s">
        <v>22</v>
      </c>
      <c r="J254" s="24">
        <v>0.6</v>
      </c>
      <c r="K254" s="25">
        <v>40143</v>
      </c>
      <c r="L254" s="25">
        <v>41183</v>
      </c>
      <c r="M254" s="26">
        <f t="shared" si="27"/>
        <v>2012</v>
      </c>
      <c r="N254" s="27">
        <f>+IFERROR(INDEX([14]PARÁMETROS!$B$11:$B$37,MATCH(M254,[14]PARÁMETROS!$A$11:$A$37,0)),"")</f>
        <v>566700</v>
      </c>
      <c r="O254" s="28">
        <v>4331349652</v>
      </c>
      <c r="P254" s="29" t="s">
        <v>151</v>
      </c>
      <c r="Q254" s="19" t="s">
        <v>140</v>
      </c>
      <c r="R254" s="30" t="s">
        <v>140</v>
      </c>
      <c r="S254" s="31">
        <v>1</v>
      </c>
      <c r="T254" s="27">
        <f t="shared" si="28"/>
        <v>4331349652</v>
      </c>
      <c r="U254" s="16">
        <f t="shared" si="29"/>
        <v>7643.1086147873657</v>
      </c>
      <c r="V254" s="16">
        <f t="shared" si="30"/>
        <v>4585.8651688724194</v>
      </c>
      <c r="W254" s="1388">
        <v>118</v>
      </c>
      <c r="X254" s="1496" t="s">
        <v>22</v>
      </c>
      <c r="Y254" s="1497"/>
      <c r="Z254" s="1498"/>
      <c r="AA254" s="1496" t="s">
        <v>22</v>
      </c>
      <c r="AB254" s="1497"/>
      <c r="AC254" s="1498"/>
      <c r="AD254" s="1496" t="s">
        <v>22</v>
      </c>
      <c r="AE254" s="1497"/>
      <c r="AF254" s="1498"/>
      <c r="AG254" s="1388" t="s">
        <v>22</v>
      </c>
      <c r="AH254" s="1485"/>
      <c r="AI254" s="1485"/>
      <c r="AJ254" s="1388" t="str">
        <f>+IF(V254="","",IF(V254&gt;=[14]PARÁMETROS!$F$5,"CUMPLE","NO CUMPLE"))</f>
        <v>CUMPLE</v>
      </c>
      <c r="AK254" s="97"/>
    </row>
    <row r="255" spans="1:37" ht="86.25" customHeight="1" thickBot="1">
      <c r="A255" s="1615"/>
      <c r="B255" s="1553"/>
      <c r="C255" s="151" t="s">
        <v>136</v>
      </c>
      <c r="D255" s="152">
        <v>376</v>
      </c>
      <c r="E255" s="153" t="s">
        <v>2054</v>
      </c>
      <c r="F255" s="430" t="s">
        <v>2059</v>
      </c>
      <c r="G255" s="155" t="s">
        <v>2061</v>
      </c>
      <c r="H255" s="1419" t="s">
        <v>22</v>
      </c>
      <c r="I255" s="1419" t="s">
        <v>22</v>
      </c>
      <c r="J255" s="156">
        <v>0.5</v>
      </c>
      <c r="K255" s="157">
        <v>40137</v>
      </c>
      <c r="L255" s="157">
        <v>41232</v>
      </c>
      <c r="M255" s="158">
        <f t="shared" si="27"/>
        <v>2012</v>
      </c>
      <c r="N255" s="159">
        <f>+IFERROR(INDEX([14]PARÁMETROS!$B$11:$B$37,MATCH(M255,[14]PARÁMETROS!$A$11:$A$37,0)),"")</f>
        <v>566700</v>
      </c>
      <c r="O255" s="160">
        <v>4761160509</v>
      </c>
      <c r="P255" s="161" t="s">
        <v>151</v>
      </c>
      <c r="Q255" s="151" t="s">
        <v>140</v>
      </c>
      <c r="R255" s="162" t="s">
        <v>140</v>
      </c>
      <c r="S255" s="163">
        <v>1</v>
      </c>
      <c r="T255" s="159">
        <f t="shared" si="28"/>
        <v>4761160509</v>
      </c>
      <c r="U255" s="164">
        <f t="shared" si="29"/>
        <v>8401.5537480148232</v>
      </c>
      <c r="V255" s="164">
        <f t="shared" si="30"/>
        <v>4200.7768740074116</v>
      </c>
      <c r="W255" s="1419">
        <v>117</v>
      </c>
      <c r="X255" s="1606" t="s">
        <v>22</v>
      </c>
      <c r="Y255" s="1606"/>
      <c r="Z255" s="1606"/>
      <c r="AA255" s="1606" t="s">
        <v>22</v>
      </c>
      <c r="AB255" s="1606"/>
      <c r="AC255" s="1606"/>
      <c r="AD255" s="1606" t="s">
        <v>22</v>
      </c>
      <c r="AE255" s="1606"/>
      <c r="AF255" s="1606"/>
      <c r="AG255" s="1419" t="s">
        <v>22</v>
      </c>
      <c r="AH255" s="1606"/>
      <c r="AI255" s="1606"/>
      <c r="AJ255" s="1419" t="str">
        <f>+IF(V255="","",IF(V255&gt;=[14]PARÁMETROS!$F$5,"CUMPLE","NO CUMPLE"))</f>
        <v>CUMPLE</v>
      </c>
      <c r="AK255" s="195"/>
    </row>
    <row r="256" spans="1:37" ht="140.25">
      <c r="A256" s="1615"/>
      <c r="B256" s="1509" t="s">
        <v>2062</v>
      </c>
      <c r="C256" s="431" t="s">
        <v>159</v>
      </c>
      <c r="D256" s="431">
        <v>94</v>
      </c>
      <c r="E256" s="432" t="s">
        <v>2063</v>
      </c>
      <c r="F256" s="433" t="s">
        <v>517</v>
      </c>
      <c r="G256" s="434" t="s">
        <v>2064</v>
      </c>
      <c r="H256" s="1421" t="s">
        <v>22</v>
      </c>
      <c r="I256" s="1421" t="s">
        <v>22</v>
      </c>
      <c r="J256" s="435">
        <v>0.35</v>
      </c>
      <c r="K256" s="436">
        <v>41075</v>
      </c>
      <c r="L256" s="436">
        <v>42368</v>
      </c>
      <c r="M256" s="437">
        <f t="shared" si="27"/>
        <v>2015</v>
      </c>
      <c r="N256" s="438">
        <f>+IFERROR(INDEX([14]PARÁMETROS!$B$11:$B$37,MATCH(M256,[14]PARÁMETROS!$A$11:$A$37,0)),"")</f>
        <v>644350</v>
      </c>
      <c r="O256" s="439">
        <v>2592214710</v>
      </c>
      <c r="P256" s="440" t="s">
        <v>151</v>
      </c>
      <c r="Q256" s="431" t="s">
        <v>140</v>
      </c>
      <c r="R256" s="441" t="s">
        <v>140</v>
      </c>
      <c r="S256" s="442">
        <v>1</v>
      </c>
      <c r="T256" s="438">
        <v>7418064916</v>
      </c>
      <c r="U256" s="443">
        <f t="shared" si="29"/>
        <v>11512.477560332118</v>
      </c>
      <c r="V256" s="443">
        <f t="shared" si="30"/>
        <v>4029.3671461162407</v>
      </c>
      <c r="W256" s="1421" t="s">
        <v>1995</v>
      </c>
      <c r="X256" s="1620"/>
      <c r="Y256" s="1620"/>
      <c r="Z256" s="1620"/>
      <c r="AA256" s="1620"/>
      <c r="AB256" s="1620"/>
      <c r="AC256" s="1620"/>
      <c r="AD256" s="1620"/>
      <c r="AE256" s="1620"/>
      <c r="AF256" s="1620"/>
      <c r="AG256" s="1421"/>
      <c r="AH256" s="1484" t="str">
        <f>IF(V256:V259="","",IF(SUM(V256:V259)&gt;=[14]PARÁMETROS!$D$5,"HÁBIL","NO HÁBIL"))</f>
        <v>HÁBIL</v>
      </c>
      <c r="AI256" s="1484" t="str">
        <f>IF(V256="","",IF(V256+V257+V258&gt;=[14]PARÁMETROS!$H$5,"HÁBIL","NO HÁBIL"))</f>
        <v>HÁBIL</v>
      </c>
      <c r="AJ256" s="1421" t="str">
        <f>+IF(V256="","",IF(V256&gt;=[14]PARÁMETROS!$F$5,"CUMPLE","NO CUMPLE"))</f>
        <v>CUMPLE</v>
      </c>
      <c r="AK256" s="444"/>
    </row>
    <row r="257" spans="1:37" ht="51">
      <c r="A257" s="1615"/>
      <c r="B257" s="1510"/>
      <c r="C257" s="445" t="s">
        <v>159</v>
      </c>
      <c r="D257" s="445">
        <v>142</v>
      </c>
      <c r="E257" s="446" t="s">
        <v>2063</v>
      </c>
      <c r="F257" s="447" t="s">
        <v>214</v>
      </c>
      <c r="G257" s="448" t="s">
        <v>1075</v>
      </c>
      <c r="H257" s="449" t="s">
        <v>22</v>
      </c>
      <c r="I257" s="1422" t="s">
        <v>22</v>
      </c>
      <c r="J257" s="450">
        <v>1</v>
      </c>
      <c r="K257" s="451">
        <v>40391</v>
      </c>
      <c r="L257" s="451">
        <v>40209</v>
      </c>
      <c r="M257" s="452">
        <f t="shared" si="27"/>
        <v>2010</v>
      </c>
      <c r="N257" s="453">
        <f>+IFERROR(INDEX([14]PARÁMETROS!$B$11:$B$37,MATCH(M257,[14]PARÁMETROS!$A$11:$A$37,0)),"")</f>
        <v>515000</v>
      </c>
      <c r="O257" s="454">
        <v>1403754.99</v>
      </c>
      <c r="P257" s="455" t="s">
        <v>142</v>
      </c>
      <c r="Q257" s="445">
        <v>1.38575</v>
      </c>
      <c r="R257" s="456">
        <f>+O257*Q257</f>
        <v>1945253.4773925</v>
      </c>
      <c r="S257" s="457">
        <v>1982.29</v>
      </c>
      <c r="T257" s="458">
        <f>IF(S257&lt;&gt;"",R257*S257,"")</f>
        <v>3856056515.7003789</v>
      </c>
      <c r="U257" s="459">
        <f>+IFERROR(T257/N257,"")</f>
        <v>7487.4883800007356</v>
      </c>
      <c r="V257" s="460">
        <f t="shared" si="30"/>
        <v>7487.4883800007356</v>
      </c>
      <c r="W257" s="1422">
        <v>5</v>
      </c>
      <c r="X257" s="1619" t="s">
        <v>22</v>
      </c>
      <c r="Y257" s="1619"/>
      <c r="Z257" s="1619"/>
      <c r="AA257" s="1619" t="s">
        <v>22</v>
      </c>
      <c r="AB257" s="1619"/>
      <c r="AC257" s="1619"/>
      <c r="AD257" s="1619" t="s">
        <v>22</v>
      </c>
      <c r="AE257" s="1619"/>
      <c r="AF257" s="1619"/>
      <c r="AG257" s="1422" t="s">
        <v>22</v>
      </c>
      <c r="AH257" s="1485"/>
      <c r="AI257" s="1485"/>
      <c r="AJ257" s="461" t="str">
        <f>+IF(V257="","",IF(V257&gt;=[14]PARÁMETROS!$F$5,"CUMPLE","NO CUMPLE"))</f>
        <v>CUMPLE</v>
      </c>
      <c r="AK257" s="462"/>
    </row>
    <row r="258" spans="1:37" ht="51">
      <c r="A258" s="1615"/>
      <c r="B258" s="1510"/>
      <c r="C258" s="445" t="s">
        <v>159</v>
      </c>
      <c r="D258" s="445">
        <v>147</v>
      </c>
      <c r="E258" s="446" t="s">
        <v>2063</v>
      </c>
      <c r="F258" s="447" t="s">
        <v>214</v>
      </c>
      <c r="G258" s="448" t="s">
        <v>1076</v>
      </c>
      <c r="H258" s="1422" t="s">
        <v>22</v>
      </c>
      <c r="I258" s="1422" t="s">
        <v>22</v>
      </c>
      <c r="J258" s="450">
        <v>1</v>
      </c>
      <c r="K258" s="451">
        <v>39385</v>
      </c>
      <c r="L258" s="451">
        <v>41182</v>
      </c>
      <c r="M258" s="452">
        <f t="shared" si="27"/>
        <v>2012</v>
      </c>
      <c r="N258" s="453">
        <f>+IFERROR(INDEX([14]PARÁMETROS!$B$11:$B$37,MATCH(M258,[14]PARÁMETROS!$A$11:$A$37,0)),"")</f>
        <v>566700</v>
      </c>
      <c r="O258" s="463">
        <v>1943712.48</v>
      </c>
      <c r="P258" s="455" t="s">
        <v>142</v>
      </c>
      <c r="Q258" s="445">
        <v>1.2855399999999999</v>
      </c>
      <c r="R258" s="456">
        <f>+O258*Q258</f>
        <v>2498720.1415391997</v>
      </c>
      <c r="S258" s="457">
        <v>1800.52</v>
      </c>
      <c r="T258" s="458">
        <f>IF(S258&lt;&gt;"",R258*S258,"")</f>
        <v>4498995589.2441597</v>
      </c>
      <c r="U258" s="460">
        <f t="shared" si="29"/>
        <v>7938.9369847258858</v>
      </c>
      <c r="V258" s="460">
        <f t="shared" si="30"/>
        <v>7938.9369847258858</v>
      </c>
      <c r="W258" s="1422">
        <v>11</v>
      </c>
      <c r="X258" s="1619" t="s">
        <v>22</v>
      </c>
      <c r="Y258" s="1619"/>
      <c r="Z258" s="1619"/>
      <c r="AA258" s="1619" t="s">
        <v>22</v>
      </c>
      <c r="AB258" s="1619"/>
      <c r="AC258" s="1619"/>
      <c r="AD258" s="1619" t="s">
        <v>22</v>
      </c>
      <c r="AE258" s="1619"/>
      <c r="AF258" s="1619"/>
      <c r="AG258" s="1422" t="s">
        <v>22</v>
      </c>
      <c r="AH258" s="1485"/>
      <c r="AI258" s="1485"/>
      <c r="AJ258" s="461" t="str">
        <f>+IF(V258="","",IF(V258&gt;=[14]PARÁMETROS!$F$5,"CUMPLE","NO CUMPLE"))</f>
        <v>CUMPLE</v>
      </c>
      <c r="AK258" s="462"/>
    </row>
    <row r="259" spans="1:37" ht="57.75" thickBot="1">
      <c r="A259" s="1615"/>
      <c r="B259" s="1511"/>
      <c r="C259" s="99" t="s">
        <v>166</v>
      </c>
      <c r="D259" s="99">
        <v>153</v>
      </c>
      <c r="E259" s="101" t="s">
        <v>2065</v>
      </c>
      <c r="F259" s="225" t="s">
        <v>155</v>
      </c>
      <c r="G259" s="103" t="s">
        <v>2066</v>
      </c>
      <c r="H259" s="1392" t="s">
        <v>22</v>
      </c>
      <c r="I259" s="1392" t="s">
        <v>22</v>
      </c>
      <c r="J259" s="104">
        <v>0.75</v>
      </c>
      <c r="K259" s="105">
        <v>38327</v>
      </c>
      <c r="L259" s="105">
        <v>40668</v>
      </c>
      <c r="M259" s="106">
        <f t="shared" si="27"/>
        <v>2011</v>
      </c>
      <c r="N259" s="107">
        <f>+IFERROR(INDEX([14]PARÁMETROS!$B$11:$B$37,MATCH(M259,[14]PARÁMETROS!$A$11:$A$37,0)),"")</f>
        <v>535600</v>
      </c>
      <c r="O259" s="108">
        <v>6564670351</v>
      </c>
      <c r="P259" s="109" t="s">
        <v>151</v>
      </c>
      <c r="Q259" s="99" t="s">
        <v>140</v>
      </c>
      <c r="R259" s="110" t="s">
        <v>140</v>
      </c>
      <c r="S259" s="111">
        <v>1</v>
      </c>
      <c r="T259" s="464">
        <f>IF(S259&lt;&gt;"",O259*S259,"")</f>
        <v>6564670351</v>
      </c>
      <c r="U259" s="465">
        <f>+IFERROR(T259/N259,"")</f>
        <v>12256.66607729649</v>
      </c>
      <c r="V259" s="465">
        <f>IFERROR(U259*J259,"")</f>
        <v>9192.4995579723673</v>
      </c>
      <c r="W259" s="1392">
        <v>20</v>
      </c>
      <c r="X259" s="1486" t="s">
        <v>129</v>
      </c>
      <c r="Y259" s="1486"/>
      <c r="Z259" s="1486"/>
      <c r="AA259" s="1486" t="s">
        <v>129</v>
      </c>
      <c r="AB259" s="1486"/>
      <c r="AC259" s="1486"/>
      <c r="AD259" s="1486" t="s">
        <v>22</v>
      </c>
      <c r="AE259" s="1486"/>
      <c r="AF259" s="1486"/>
      <c r="AG259" s="1392" t="s">
        <v>22</v>
      </c>
      <c r="AH259" s="1486"/>
      <c r="AI259" s="1486"/>
      <c r="AJ259" s="466" t="str">
        <f>+IF(V259="","",IF(V259&gt;=[14]PARÁMETROS!$F$5,"CUMPLE","NO CUMPLE"))</f>
        <v>CUMPLE</v>
      </c>
      <c r="AK259" s="113"/>
    </row>
    <row r="260" spans="1:37" ht="78.75">
      <c r="A260" s="1615"/>
      <c r="B260" s="1509" t="s">
        <v>2067</v>
      </c>
      <c r="C260" s="81" t="s">
        <v>2068</v>
      </c>
      <c r="D260" s="81">
        <v>227</v>
      </c>
      <c r="E260" s="83" t="s">
        <v>2069</v>
      </c>
      <c r="F260" s="95" t="s">
        <v>2070</v>
      </c>
      <c r="G260" s="85" t="s">
        <v>2071</v>
      </c>
      <c r="H260" s="1393" t="s">
        <v>22</v>
      </c>
      <c r="I260" s="1393" t="s">
        <v>22</v>
      </c>
      <c r="J260" s="86">
        <v>1</v>
      </c>
      <c r="K260" s="87">
        <v>37573</v>
      </c>
      <c r="L260" s="87">
        <v>39407</v>
      </c>
      <c r="M260" s="88">
        <f t="shared" si="27"/>
        <v>2007</v>
      </c>
      <c r="N260" s="89">
        <f>+IFERROR(INDEX([14]PARÁMETROS!$B$11:$B$37,MATCH(M260,[14]PARÁMETROS!$A$11:$A$37,0)),"")</f>
        <v>433700</v>
      </c>
      <c r="O260" s="467">
        <v>938246.05</v>
      </c>
      <c r="P260" s="242" t="s">
        <v>142</v>
      </c>
      <c r="Q260" s="233">
        <v>1.4722900000000001</v>
      </c>
      <c r="R260" s="468">
        <f>+O260*Q260</f>
        <v>1381370.2769545002</v>
      </c>
      <c r="S260" s="468">
        <v>2056.2800000000002</v>
      </c>
      <c r="T260" s="240">
        <f>IF(S260&lt;&gt;"",R260*S260,"")</f>
        <v>2840484073.0960002</v>
      </c>
      <c r="U260" s="245">
        <f t="shared" si="29"/>
        <v>6549.4214274752139</v>
      </c>
      <c r="V260" s="245">
        <f t="shared" si="30"/>
        <v>6549.4214274752139</v>
      </c>
      <c r="W260" s="1393">
        <v>7</v>
      </c>
      <c r="X260" s="1484" t="s">
        <v>22</v>
      </c>
      <c r="Y260" s="1484"/>
      <c r="Z260" s="1484"/>
      <c r="AA260" s="1484" t="s">
        <v>129</v>
      </c>
      <c r="AB260" s="1484"/>
      <c r="AC260" s="1484"/>
      <c r="AD260" s="1484" t="s">
        <v>22</v>
      </c>
      <c r="AE260" s="1484"/>
      <c r="AF260" s="1484"/>
      <c r="AG260" s="1393" t="s">
        <v>22</v>
      </c>
      <c r="AH260" s="1484" t="str">
        <f>IF(V260="","",IF(SUM(V260:V263)&gt;=[14]PARÁMETROS!$D$5,"HÁBIL","NO HÁBIL"))</f>
        <v>HÁBIL</v>
      </c>
      <c r="AI260" s="1484" t="str">
        <f>IF(V260="","",IF(V260+V261&gt;=[14]PARÁMETROS!$H$5,"HÁBIL","NO HÁBIL"))</f>
        <v>HÁBIL</v>
      </c>
      <c r="AJ260" s="1421" t="str">
        <f>+IF(V260="","",IF(V260&gt;=[14]PARÁMETROS!$F$5,"CUMPLE","NO CUMPLE"))</f>
        <v>CUMPLE</v>
      </c>
      <c r="AK260" s="469"/>
    </row>
    <row r="261" spans="1:37" ht="78.75">
      <c r="A261" s="1615"/>
      <c r="B261" s="1510"/>
      <c r="C261" s="19" t="s">
        <v>2068</v>
      </c>
      <c r="D261" s="19">
        <v>233</v>
      </c>
      <c r="E261" s="21" t="s">
        <v>2069</v>
      </c>
      <c r="F261" s="32" t="s">
        <v>2070</v>
      </c>
      <c r="G261" s="23" t="s">
        <v>2072</v>
      </c>
      <c r="H261" s="1388" t="s">
        <v>22</v>
      </c>
      <c r="I261" s="1388" t="s">
        <v>22</v>
      </c>
      <c r="J261" s="34">
        <v>1</v>
      </c>
      <c r="K261" s="25">
        <v>38260</v>
      </c>
      <c r="L261" s="25">
        <v>39043</v>
      </c>
      <c r="M261" s="26">
        <f t="shared" si="27"/>
        <v>2006</v>
      </c>
      <c r="N261" s="27">
        <f>+IFERROR(INDEX([14]PARÁMETROS!$B$11:$B$37,MATCH(M261,[14]PARÁMETROS!$A$11:$A$37,0)),"")</f>
        <v>408000</v>
      </c>
      <c r="O261" s="35">
        <v>1703434.48</v>
      </c>
      <c r="P261" s="27" t="s">
        <v>142</v>
      </c>
      <c r="Q261" s="19">
        <v>1.28182</v>
      </c>
      <c r="R261" s="456">
        <f>+O261*Q261</f>
        <v>2183496.3851536</v>
      </c>
      <c r="S261" s="31">
        <v>2282.67</v>
      </c>
      <c r="T261" s="470">
        <f>IF(S261&lt;&gt;"",R261*S261,"")</f>
        <v>4984201693.4985685</v>
      </c>
      <c r="U261" s="471">
        <f t="shared" si="29"/>
        <v>12216.180621320022</v>
      </c>
      <c r="V261" s="471">
        <f t="shared" si="30"/>
        <v>12216.180621320022</v>
      </c>
      <c r="W261" s="1388">
        <v>15</v>
      </c>
      <c r="X261" s="1485" t="s">
        <v>22</v>
      </c>
      <c r="Y261" s="1485"/>
      <c r="Z261" s="1485"/>
      <c r="AA261" s="1485" t="s">
        <v>22</v>
      </c>
      <c r="AB261" s="1485"/>
      <c r="AC261" s="1485"/>
      <c r="AD261" s="1485" t="s">
        <v>22</v>
      </c>
      <c r="AE261" s="1485"/>
      <c r="AF261" s="1485"/>
      <c r="AG261" s="1388" t="s">
        <v>22</v>
      </c>
      <c r="AH261" s="1485"/>
      <c r="AI261" s="1485"/>
      <c r="AJ261" s="461" t="str">
        <f>+IF(V261="","",IF(V261&gt;=[14]PARÁMETROS!$F$5,"CUMPLE","NO CUMPLE"))</f>
        <v>CUMPLE</v>
      </c>
      <c r="AK261" s="97"/>
    </row>
    <row r="262" spans="1:37" ht="42.75">
      <c r="A262" s="1615"/>
      <c r="B262" s="1510"/>
      <c r="C262" s="19" t="s">
        <v>180</v>
      </c>
      <c r="D262" s="19">
        <v>237</v>
      </c>
      <c r="E262" s="21" t="s">
        <v>2073</v>
      </c>
      <c r="F262" s="32" t="s">
        <v>214</v>
      </c>
      <c r="G262" s="23" t="s">
        <v>2074</v>
      </c>
      <c r="H262" s="1388" t="s">
        <v>22</v>
      </c>
      <c r="I262" s="1388" t="s">
        <v>22</v>
      </c>
      <c r="J262" s="24">
        <v>1</v>
      </c>
      <c r="K262" s="25">
        <v>38056</v>
      </c>
      <c r="L262" s="25">
        <v>39436</v>
      </c>
      <c r="M262" s="26">
        <f t="shared" si="27"/>
        <v>2007</v>
      </c>
      <c r="N262" s="27">
        <f>+IFERROR(INDEX([14]PARÁMETROS!$B$11:$B$37,MATCH(M262,[14]PARÁMETROS!$A$11:$A$37,0)),"")</f>
        <v>433700</v>
      </c>
      <c r="O262" s="28">
        <v>947072.72</v>
      </c>
      <c r="P262" s="29" t="s">
        <v>142</v>
      </c>
      <c r="Q262" s="19">
        <v>1.4396800000000001</v>
      </c>
      <c r="R262" s="30">
        <f>+O262*Q262</f>
        <v>1363481.6535296</v>
      </c>
      <c r="S262" s="31">
        <v>2005.92</v>
      </c>
      <c r="T262" s="470">
        <f>IF(S262&lt;&gt;"",R262*S262,"")</f>
        <v>2735035118.4480953</v>
      </c>
      <c r="U262" s="471">
        <f t="shared" si="29"/>
        <v>6306.283418141792</v>
      </c>
      <c r="V262" s="471">
        <f t="shared" si="30"/>
        <v>6306.283418141792</v>
      </c>
      <c r="W262" s="1388">
        <v>2</v>
      </c>
      <c r="X262" s="1485" t="s">
        <v>22</v>
      </c>
      <c r="Y262" s="1485"/>
      <c r="Z262" s="1485"/>
      <c r="AA262" s="1485" t="s">
        <v>22</v>
      </c>
      <c r="AB262" s="1485"/>
      <c r="AC262" s="1485"/>
      <c r="AD262" s="1485" t="s">
        <v>22</v>
      </c>
      <c r="AE262" s="1485"/>
      <c r="AF262" s="1485"/>
      <c r="AG262" s="1388" t="s">
        <v>22</v>
      </c>
      <c r="AH262" s="1485"/>
      <c r="AI262" s="1485"/>
      <c r="AJ262" s="461" t="str">
        <f>+IF(V262="","",IF(V262&gt;=[14]PARÁMETROS!$F$5,"CUMPLE","NO CUMPLE"))</f>
        <v>CUMPLE</v>
      </c>
      <c r="AK262" s="97"/>
    </row>
    <row r="263" spans="1:37" ht="90" thickBot="1">
      <c r="A263" s="1615"/>
      <c r="B263" s="1511"/>
      <c r="C263" s="99" t="s">
        <v>171</v>
      </c>
      <c r="D263" s="99">
        <v>241</v>
      </c>
      <c r="E263" s="101" t="s">
        <v>2075</v>
      </c>
      <c r="F263" s="225" t="s">
        <v>517</v>
      </c>
      <c r="G263" s="472" t="s">
        <v>367</v>
      </c>
      <c r="H263" s="1392" t="s">
        <v>22</v>
      </c>
      <c r="I263" s="1392" t="s">
        <v>22</v>
      </c>
      <c r="J263" s="473">
        <v>0.51</v>
      </c>
      <c r="K263" s="105">
        <v>41878</v>
      </c>
      <c r="L263" s="105">
        <v>42312</v>
      </c>
      <c r="M263" s="106">
        <f t="shared" si="27"/>
        <v>2015</v>
      </c>
      <c r="N263" s="107">
        <f>+IFERROR(INDEX([14]PARÁMETROS!$B$11:$B$37,MATCH(M263,[14]PARÁMETROS!$A$11:$A$37,0)),"")</f>
        <v>644350</v>
      </c>
      <c r="O263" s="474">
        <v>4983941778</v>
      </c>
      <c r="P263" s="475" t="s">
        <v>151</v>
      </c>
      <c r="Q263" s="476" t="s">
        <v>140</v>
      </c>
      <c r="R263" s="477" t="s">
        <v>140</v>
      </c>
      <c r="S263" s="478">
        <v>1</v>
      </c>
      <c r="T263" s="464">
        <f>IF(S263&lt;&gt;"",O263*S263,"")</f>
        <v>4983941778</v>
      </c>
      <c r="U263" s="465">
        <f t="shared" si="29"/>
        <v>7734.8363125630476</v>
      </c>
      <c r="V263" s="465">
        <f>IFERROR(U263*J263,"")</f>
        <v>3944.7665194071542</v>
      </c>
      <c r="W263" s="1392" t="s">
        <v>1995</v>
      </c>
      <c r="X263" s="1486"/>
      <c r="Y263" s="1486"/>
      <c r="Z263" s="1486"/>
      <c r="AA263" s="1486"/>
      <c r="AB263" s="1486"/>
      <c r="AC263" s="1486"/>
      <c r="AD263" s="1486"/>
      <c r="AE263" s="1486"/>
      <c r="AF263" s="1486"/>
      <c r="AG263" s="1392"/>
      <c r="AH263" s="1486"/>
      <c r="AI263" s="1486"/>
      <c r="AJ263" s="466" t="str">
        <f>+IF(V263="","",IF(V263&gt;=[14]PARÁMETROS!$F$5,"CUMPLE","NO CUMPLE"))</f>
        <v>CUMPLE</v>
      </c>
      <c r="AK263" s="113"/>
    </row>
    <row r="264" spans="1:37" ht="47.25">
      <c r="A264" s="1615"/>
      <c r="B264" s="1509" t="s">
        <v>2076</v>
      </c>
      <c r="C264" s="81" t="s">
        <v>190</v>
      </c>
      <c r="D264" s="81">
        <v>189</v>
      </c>
      <c r="E264" s="83" t="s">
        <v>2077</v>
      </c>
      <c r="F264" s="479" t="s">
        <v>930</v>
      </c>
      <c r="G264" s="480" t="s">
        <v>1687</v>
      </c>
      <c r="H264" s="1393" t="s">
        <v>22</v>
      </c>
      <c r="I264" s="1393" t="s">
        <v>22</v>
      </c>
      <c r="J264" s="86">
        <v>0.9</v>
      </c>
      <c r="K264" s="87">
        <v>35730</v>
      </c>
      <c r="L264" s="87">
        <v>36459</v>
      </c>
      <c r="M264" s="88">
        <f t="shared" si="27"/>
        <v>1999</v>
      </c>
      <c r="N264" s="89">
        <f>+IFERROR(INDEX([14]PARÁMETROS!$B$11:$B$37,MATCH(M264,[14]PARÁMETROS!$A$11:$A$37,0)),"")</f>
        <v>236460</v>
      </c>
      <c r="O264" s="90">
        <v>1343799332.5</v>
      </c>
      <c r="P264" s="91" t="s">
        <v>151</v>
      </c>
      <c r="Q264" s="81" t="s">
        <v>140</v>
      </c>
      <c r="R264" s="92" t="s">
        <v>140</v>
      </c>
      <c r="S264" s="93">
        <v>1</v>
      </c>
      <c r="T264" s="89">
        <f t="shared" si="28"/>
        <v>1343799332.5</v>
      </c>
      <c r="U264" s="94">
        <f t="shared" si="29"/>
        <v>5682.9879577941301</v>
      </c>
      <c r="V264" s="94">
        <f t="shared" si="30"/>
        <v>5114.6891620147171</v>
      </c>
      <c r="W264" s="1393">
        <v>51</v>
      </c>
      <c r="X264" s="1484" t="s">
        <v>22</v>
      </c>
      <c r="Y264" s="1484"/>
      <c r="Z264" s="1484"/>
      <c r="AA264" s="1484" t="s">
        <v>22</v>
      </c>
      <c r="AB264" s="1484"/>
      <c r="AC264" s="1484"/>
      <c r="AD264" s="1484" t="s">
        <v>22</v>
      </c>
      <c r="AE264" s="1484"/>
      <c r="AF264" s="1484"/>
      <c r="AG264" s="1393" t="s">
        <v>22</v>
      </c>
      <c r="AH264" s="1484" t="str">
        <f>IF(V264="","",IF(SUM(V264:V268)&gt;=[14]PARÁMETROS!$D$5,"HÁBIL","NO HÁBIL"))</f>
        <v>HÁBIL</v>
      </c>
      <c r="AI264" s="1484" t="str">
        <f>IF(V264="","",IF(V264+V265+V266&gt;=[14]PARÁMETROS!$H$5,"HÁBIL","NO HÁBIL"))</f>
        <v>HÁBIL</v>
      </c>
      <c r="AJ264" s="1421" t="str">
        <f>+IF(V264="","",IF(V264&gt;=[14]PARÁMETROS!$F$5,"CUMPLE","NO CUMPLE"))</f>
        <v>CUMPLE</v>
      </c>
      <c r="AK264" s="96"/>
    </row>
    <row r="265" spans="1:37" ht="127.5">
      <c r="A265" s="1615"/>
      <c r="B265" s="1510"/>
      <c r="C265" s="19" t="s">
        <v>190</v>
      </c>
      <c r="D265" s="19">
        <v>205</v>
      </c>
      <c r="E265" s="21" t="s">
        <v>2077</v>
      </c>
      <c r="F265" s="481" t="s">
        <v>442</v>
      </c>
      <c r="G265" s="482" t="s">
        <v>2078</v>
      </c>
      <c r="H265" s="1388" t="s">
        <v>22</v>
      </c>
      <c r="I265" s="1388" t="s">
        <v>22</v>
      </c>
      <c r="J265" s="24">
        <v>0.5</v>
      </c>
      <c r="K265" s="25">
        <v>38772</v>
      </c>
      <c r="L265" s="25">
        <v>40656</v>
      </c>
      <c r="M265" s="26">
        <f t="shared" si="27"/>
        <v>2011</v>
      </c>
      <c r="N265" s="27">
        <f>+IFERROR(INDEX([14]PARÁMETROS!$B$11:$B$37,MATCH(M265,[14]PARÁMETROS!$A$11:$A$37,0)),"")</f>
        <v>535600</v>
      </c>
      <c r="O265" s="28">
        <v>4960831409</v>
      </c>
      <c r="P265" s="29" t="s">
        <v>151</v>
      </c>
      <c r="Q265" s="19" t="s">
        <v>140</v>
      </c>
      <c r="R265" s="30" t="s">
        <v>140</v>
      </c>
      <c r="S265" s="31">
        <v>1</v>
      </c>
      <c r="T265" s="27">
        <f t="shared" si="28"/>
        <v>4960831409</v>
      </c>
      <c r="U265" s="16">
        <f t="shared" si="29"/>
        <v>9262.1945649738609</v>
      </c>
      <c r="V265" s="16">
        <f t="shared" si="30"/>
        <v>4631.0972824869305</v>
      </c>
      <c r="W265" s="1388">
        <v>26</v>
      </c>
      <c r="X265" s="1485" t="s">
        <v>22</v>
      </c>
      <c r="Y265" s="1485"/>
      <c r="Z265" s="1485"/>
      <c r="AA265" s="1485" t="s">
        <v>22</v>
      </c>
      <c r="AB265" s="1485"/>
      <c r="AC265" s="1485"/>
      <c r="AD265" s="1485" t="s">
        <v>22</v>
      </c>
      <c r="AE265" s="1485"/>
      <c r="AF265" s="1485"/>
      <c r="AG265" s="1388" t="s">
        <v>22</v>
      </c>
      <c r="AH265" s="1485"/>
      <c r="AI265" s="1485"/>
      <c r="AJ265" s="461" t="str">
        <f>+IF(V265="","",IF(V265&gt;=[14]PARÁMETROS!$F$5,"CUMPLE","NO CUMPLE"))</f>
        <v>CUMPLE</v>
      </c>
      <c r="AK265" s="97"/>
    </row>
    <row r="266" spans="1:37" ht="51">
      <c r="A266" s="1615"/>
      <c r="B266" s="1510"/>
      <c r="C266" s="19" t="s">
        <v>190</v>
      </c>
      <c r="D266" s="19">
        <v>211</v>
      </c>
      <c r="E266" s="21" t="s">
        <v>2077</v>
      </c>
      <c r="F266" s="481" t="s">
        <v>1689</v>
      </c>
      <c r="G266" s="482" t="s">
        <v>2079</v>
      </c>
      <c r="H266" s="1388" t="s">
        <v>22</v>
      </c>
      <c r="I266" s="1388" t="s">
        <v>22</v>
      </c>
      <c r="J266" s="24">
        <v>0.6</v>
      </c>
      <c r="K266" s="25">
        <v>41568</v>
      </c>
      <c r="L266" s="25">
        <v>42373</v>
      </c>
      <c r="M266" s="26">
        <f t="shared" si="27"/>
        <v>2016</v>
      </c>
      <c r="N266" s="27">
        <f>+IFERROR(INDEX([14]PARÁMETROS!$B$11:$B$37,MATCH(M266,[14]PARÁMETROS!$A$11:$A$37,0)),"")</f>
        <v>689554</v>
      </c>
      <c r="O266" s="28">
        <v>2992430016</v>
      </c>
      <c r="P266" s="29" t="s">
        <v>151</v>
      </c>
      <c r="Q266" s="19" t="s">
        <v>140</v>
      </c>
      <c r="R266" s="30" t="s">
        <v>140</v>
      </c>
      <c r="S266" s="31">
        <v>1</v>
      </c>
      <c r="T266" s="27">
        <f t="shared" si="28"/>
        <v>2992430016</v>
      </c>
      <c r="U266" s="16">
        <f t="shared" si="29"/>
        <v>4339.6601513442019</v>
      </c>
      <c r="V266" s="16">
        <f t="shared" si="30"/>
        <v>2603.7960908065211</v>
      </c>
      <c r="W266" s="1388" t="s">
        <v>1995</v>
      </c>
      <c r="X266" s="1485" t="s">
        <v>22</v>
      </c>
      <c r="Y266" s="1485"/>
      <c r="Z266" s="1485"/>
      <c r="AA266" s="1485" t="s">
        <v>22</v>
      </c>
      <c r="AB266" s="1485"/>
      <c r="AC266" s="1485"/>
      <c r="AD266" s="1485" t="s">
        <v>22</v>
      </c>
      <c r="AE266" s="1485"/>
      <c r="AF266" s="1485"/>
      <c r="AG266" s="1388" t="s">
        <v>22</v>
      </c>
      <c r="AH266" s="1485"/>
      <c r="AI266" s="1485"/>
      <c r="AJ266" s="461" t="str">
        <f>+IF(V266="","",IF(V266&gt;=[14]PARÁMETROS!$F$5,"CUMPLE","NO CUMPLE"))</f>
        <v>CUMPLE</v>
      </c>
      <c r="AK266" s="97"/>
    </row>
    <row r="267" spans="1:37" ht="38.25">
      <c r="A267" s="1615"/>
      <c r="B267" s="1510"/>
      <c r="C267" s="19" t="s">
        <v>200</v>
      </c>
      <c r="D267" s="19">
        <v>216</v>
      </c>
      <c r="E267" s="21" t="s">
        <v>2080</v>
      </c>
      <c r="F267" s="483" t="s">
        <v>2015</v>
      </c>
      <c r="G267" s="482" t="s">
        <v>2081</v>
      </c>
      <c r="H267" s="1388" t="s">
        <v>22</v>
      </c>
      <c r="I267" s="1388" t="s">
        <v>22</v>
      </c>
      <c r="J267" s="484">
        <v>1</v>
      </c>
      <c r="K267" s="25">
        <v>37776</v>
      </c>
      <c r="L267" s="25">
        <v>38504</v>
      </c>
      <c r="M267" s="26">
        <f t="shared" si="27"/>
        <v>2005</v>
      </c>
      <c r="N267" s="27">
        <f>+IFERROR(INDEX([14]PARÁMETROS!$B$11:$B$37,MATCH(M267,[14]PARÁMETROS!$A$11:$A$37,0)),"")</f>
        <v>381500</v>
      </c>
      <c r="O267" s="485">
        <v>824026.3</v>
      </c>
      <c r="P267" s="29" t="s">
        <v>142</v>
      </c>
      <c r="Q267" s="19">
        <v>1.2303999999999999</v>
      </c>
      <c r="R267" s="30">
        <f>+O267*Q267</f>
        <v>1013881.95952</v>
      </c>
      <c r="S267" s="31">
        <v>2338.89</v>
      </c>
      <c r="T267" s="27">
        <f>IF(S267&lt;&gt;"",R267*S267,"")</f>
        <v>2371358376.3017325</v>
      </c>
      <c r="U267" s="16">
        <f t="shared" si="29"/>
        <v>6215.8804097030998</v>
      </c>
      <c r="V267" s="16">
        <f t="shared" si="30"/>
        <v>6215.8804097030998</v>
      </c>
      <c r="W267" s="1388">
        <v>4</v>
      </c>
      <c r="X267" s="1485" t="s">
        <v>22</v>
      </c>
      <c r="Y267" s="1485"/>
      <c r="Z267" s="1485"/>
      <c r="AA267" s="1485" t="s">
        <v>22</v>
      </c>
      <c r="AB267" s="1485"/>
      <c r="AC267" s="1485"/>
      <c r="AD267" s="1485" t="s">
        <v>22</v>
      </c>
      <c r="AE267" s="1485"/>
      <c r="AF267" s="1485"/>
      <c r="AG267" s="1388" t="s">
        <v>22</v>
      </c>
      <c r="AH267" s="1485"/>
      <c r="AI267" s="1485"/>
      <c r="AJ267" s="461" t="str">
        <f>+IF(V267="","",IF(V267&gt;=[14]PARÁMETROS!$F$5,"CUMPLE","NO CUMPLE"))</f>
        <v>CUMPLE</v>
      </c>
      <c r="AK267" s="97"/>
    </row>
    <row r="268" spans="1:37" ht="51.75" thickBot="1">
      <c r="A268" s="1615"/>
      <c r="B268" s="1511"/>
      <c r="C268" s="99" t="s">
        <v>200</v>
      </c>
      <c r="D268" s="99">
        <v>220</v>
      </c>
      <c r="E268" s="101" t="s">
        <v>2080</v>
      </c>
      <c r="F268" s="486" t="s">
        <v>2082</v>
      </c>
      <c r="G268" s="487" t="s">
        <v>2083</v>
      </c>
      <c r="H268" s="1392" t="s">
        <v>22</v>
      </c>
      <c r="I268" s="1392" t="s">
        <v>22</v>
      </c>
      <c r="J268" s="473">
        <v>1</v>
      </c>
      <c r="K268" s="105">
        <v>36281</v>
      </c>
      <c r="L268" s="105">
        <v>37468</v>
      </c>
      <c r="M268" s="106">
        <f t="shared" si="27"/>
        <v>2002</v>
      </c>
      <c r="N268" s="107">
        <f>+IFERROR(INDEX([14]PARÁMETROS!$B$11:$B$37,MATCH(M268,[14]PARÁMETROS!$A$11:$A$37,0)),"")</f>
        <v>309000</v>
      </c>
      <c r="O268" s="108">
        <v>1720437.64</v>
      </c>
      <c r="P268" s="109" t="s">
        <v>142</v>
      </c>
      <c r="Q268" s="99">
        <v>0.98329999999999995</v>
      </c>
      <c r="R268" s="110">
        <f>+O268*Q268</f>
        <v>1691706.3314119999</v>
      </c>
      <c r="S268" s="111">
        <v>2625.06</v>
      </c>
      <c r="T268" s="107">
        <f>IF(S268&lt;&gt;"",R268*S268,"")</f>
        <v>4440830622.3363848</v>
      </c>
      <c r="U268" s="112">
        <f t="shared" si="29"/>
        <v>14371.620137010954</v>
      </c>
      <c r="V268" s="112">
        <f t="shared" si="30"/>
        <v>14371.620137010954</v>
      </c>
      <c r="W268" s="1392">
        <v>5</v>
      </c>
      <c r="X268" s="1486" t="s">
        <v>22</v>
      </c>
      <c r="Y268" s="1486"/>
      <c r="Z268" s="1486"/>
      <c r="AA268" s="1486" t="s">
        <v>22</v>
      </c>
      <c r="AB268" s="1486"/>
      <c r="AC268" s="1486"/>
      <c r="AD268" s="1486" t="s">
        <v>22</v>
      </c>
      <c r="AE268" s="1486"/>
      <c r="AF268" s="1486"/>
      <c r="AG268" s="1392" t="s">
        <v>22</v>
      </c>
      <c r="AH268" s="1486"/>
      <c r="AI268" s="1486"/>
      <c r="AJ268" s="466" t="str">
        <f>+IF(V268="","",IF(V268&gt;=[14]PARÁMETROS!$F$5,"CUMPLE","NO CUMPLE"))</f>
        <v>CUMPLE</v>
      </c>
      <c r="AK268" s="113"/>
    </row>
    <row r="269" spans="1:37" ht="63">
      <c r="A269" s="1615"/>
      <c r="B269" s="1605" t="s">
        <v>2084</v>
      </c>
      <c r="C269" s="68" t="s">
        <v>205</v>
      </c>
      <c r="D269" s="68">
        <v>129</v>
      </c>
      <c r="E269" s="488" t="s">
        <v>2085</v>
      </c>
      <c r="F269" s="340" t="s">
        <v>2086</v>
      </c>
      <c r="G269" s="72" t="s">
        <v>2087</v>
      </c>
      <c r="H269" s="1394" t="s">
        <v>22</v>
      </c>
      <c r="I269" s="1394" t="s">
        <v>22</v>
      </c>
      <c r="J269" s="73">
        <v>0.45</v>
      </c>
      <c r="K269" s="74">
        <v>34338</v>
      </c>
      <c r="L269" s="74">
        <v>36305</v>
      </c>
      <c r="M269" s="116">
        <f t="shared" si="27"/>
        <v>1999</v>
      </c>
      <c r="N269" s="75">
        <f>+IFERROR(INDEX([14]PARÁMETROS!$B$11:$B$37,MATCH(M269,[14]PARÁMETROS!$A$11:$A$37,0)),"")</f>
        <v>236460</v>
      </c>
      <c r="O269" s="76">
        <v>4491569047</v>
      </c>
      <c r="P269" s="77" t="s">
        <v>151</v>
      </c>
      <c r="Q269" s="68" t="s">
        <v>140</v>
      </c>
      <c r="R269" s="78" t="s">
        <v>140</v>
      </c>
      <c r="S269" s="79">
        <v>1</v>
      </c>
      <c r="T269" s="75">
        <f t="shared" si="28"/>
        <v>4491569047</v>
      </c>
      <c r="U269" s="80">
        <f t="shared" si="29"/>
        <v>18995.04798697454</v>
      </c>
      <c r="V269" s="80">
        <f t="shared" si="30"/>
        <v>8547.7715941385432</v>
      </c>
      <c r="W269" s="1394">
        <v>10</v>
      </c>
      <c r="X269" s="1508" t="s">
        <v>129</v>
      </c>
      <c r="Y269" s="1508"/>
      <c r="Z269" s="1508"/>
      <c r="AA269" s="1508" t="s">
        <v>22</v>
      </c>
      <c r="AB269" s="1508"/>
      <c r="AC269" s="1508"/>
      <c r="AD269" s="1508" t="s">
        <v>22</v>
      </c>
      <c r="AE269" s="1508"/>
      <c r="AF269" s="1508"/>
      <c r="AG269" s="1394" t="s">
        <v>22</v>
      </c>
      <c r="AH269" s="1508" t="str">
        <f>IF(V269:V273="","",IF(SUM(V269:V273)&gt;=[14]PARÁMETROS!$D$5,"HÁBIL","NO HÁBIL"))</f>
        <v>HÁBIL</v>
      </c>
      <c r="AI269" s="1508" t="str">
        <f>IF(V269+V270+V271="","",IF(V269+V270+V271&gt;=[14]PARÁMETROS!$H$5,"HÁBIL","NO HÁBIL"))</f>
        <v>HÁBIL</v>
      </c>
      <c r="AJ269" s="461" t="str">
        <f>+IF(V269="","",IF(V269&gt;=[14]PARÁMETROS!$F$5,"CUMPLE","NO CUMPLE"))</f>
        <v>CUMPLE</v>
      </c>
      <c r="AK269" s="122"/>
    </row>
    <row r="270" spans="1:37" ht="63">
      <c r="A270" s="1615"/>
      <c r="B270" s="1510"/>
      <c r="C270" s="19" t="s">
        <v>205</v>
      </c>
      <c r="D270" s="19">
        <v>132</v>
      </c>
      <c r="E270" s="489" t="s">
        <v>2085</v>
      </c>
      <c r="F270" s="32" t="s">
        <v>2088</v>
      </c>
      <c r="G270" s="23" t="s">
        <v>2089</v>
      </c>
      <c r="H270" s="1388" t="s">
        <v>22</v>
      </c>
      <c r="I270" s="1388" t="s">
        <v>22</v>
      </c>
      <c r="J270" s="24">
        <v>1</v>
      </c>
      <c r="K270" s="25">
        <v>39142</v>
      </c>
      <c r="L270" s="25">
        <v>40920</v>
      </c>
      <c r="M270" s="26">
        <f t="shared" si="27"/>
        <v>2012</v>
      </c>
      <c r="N270" s="27">
        <f>+IFERROR(INDEX([14]PARÁMETROS!$B$11:$B$37,MATCH(M270,[14]PARÁMETROS!$A$11:$A$37,0)),"")</f>
        <v>566700</v>
      </c>
      <c r="O270" s="28">
        <v>3161732843</v>
      </c>
      <c r="P270" s="29" t="s">
        <v>151</v>
      </c>
      <c r="Q270" s="19" t="s">
        <v>140</v>
      </c>
      <c r="R270" s="30" t="s">
        <v>140</v>
      </c>
      <c r="S270" s="31">
        <v>1</v>
      </c>
      <c r="T270" s="27">
        <f t="shared" si="28"/>
        <v>3161732843</v>
      </c>
      <c r="U270" s="16">
        <f t="shared" si="29"/>
        <v>5579.2003582142224</v>
      </c>
      <c r="V270" s="16">
        <f t="shared" si="30"/>
        <v>5579.2003582142224</v>
      </c>
      <c r="W270" s="1388">
        <v>5</v>
      </c>
      <c r="X270" s="1485" t="s">
        <v>129</v>
      </c>
      <c r="Y270" s="1485"/>
      <c r="Z270" s="1485"/>
      <c r="AA270" s="1485" t="s">
        <v>22</v>
      </c>
      <c r="AB270" s="1485"/>
      <c r="AC270" s="1485"/>
      <c r="AD270" s="1485" t="s">
        <v>22</v>
      </c>
      <c r="AE270" s="1485"/>
      <c r="AF270" s="1485"/>
      <c r="AG270" s="1388" t="s">
        <v>22</v>
      </c>
      <c r="AH270" s="1485"/>
      <c r="AI270" s="1485"/>
      <c r="AJ270" s="461" t="str">
        <f>+IF(V270="","",IF(V270&gt;=[14]PARÁMETROS!$F$5,"CUMPLE","NO CUMPLE"))</f>
        <v>CUMPLE</v>
      </c>
      <c r="AK270" s="97"/>
    </row>
    <row r="271" spans="1:37" ht="63">
      <c r="A271" s="1615"/>
      <c r="B271" s="1510"/>
      <c r="C271" s="19" t="s">
        <v>205</v>
      </c>
      <c r="D271" s="19">
        <v>145</v>
      </c>
      <c r="E271" s="489" t="s">
        <v>2085</v>
      </c>
      <c r="F271" s="490" t="s">
        <v>2090</v>
      </c>
      <c r="G271" s="491" t="s">
        <v>2091</v>
      </c>
      <c r="H271" s="1388" t="s">
        <v>22</v>
      </c>
      <c r="I271" s="1388" t="s">
        <v>22</v>
      </c>
      <c r="J271" s="38">
        <v>0.5</v>
      </c>
      <c r="K271" s="25">
        <v>39125</v>
      </c>
      <c r="L271" s="25">
        <v>42368</v>
      </c>
      <c r="M271" s="26">
        <f t="shared" si="27"/>
        <v>2015</v>
      </c>
      <c r="N271" s="27">
        <f>+IFERROR(INDEX([14]PARÁMETROS!$B$11:$B$37,MATCH(M271,[14]PARÁMETROS!$A$11:$A$37,0)),"")</f>
        <v>644350</v>
      </c>
      <c r="O271" s="28">
        <v>22786421753.5</v>
      </c>
      <c r="P271" s="29" t="s">
        <v>151</v>
      </c>
      <c r="Q271" s="19" t="s">
        <v>140</v>
      </c>
      <c r="R271" s="30" t="s">
        <v>140</v>
      </c>
      <c r="S271" s="31">
        <v>1</v>
      </c>
      <c r="T271" s="27">
        <f t="shared" si="28"/>
        <v>22786421753.5</v>
      </c>
      <c r="U271" s="16">
        <f t="shared" si="29"/>
        <v>35363.423222627454</v>
      </c>
      <c r="V271" s="16">
        <f t="shared" si="30"/>
        <v>17681.711611313727</v>
      </c>
      <c r="W271" s="1388" t="s">
        <v>2092</v>
      </c>
      <c r="X271" s="1485" t="s">
        <v>22</v>
      </c>
      <c r="Y271" s="1485"/>
      <c r="Z271" s="1485"/>
      <c r="AA271" s="1485" t="s">
        <v>22</v>
      </c>
      <c r="AB271" s="1485"/>
      <c r="AC271" s="1485"/>
      <c r="AD271" s="1485" t="s">
        <v>22</v>
      </c>
      <c r="AE271" s="1485"/>
      <c r="AF271" s="1485"/>
      <c r="AG271" s="1388" t="s">
        <v>22</v>
      </c>
      <c r="AH271" s="1485"/>
      <c r="AI271" s="1485"/>
      <c r="AJ271" s="461" t="str">
        <f>+IF(V271="","",IF(V271&gt;=[14]PARÁMETROS!$F$5,"CUMPLE","NO CUMPLE"))</f>
        <v>CUMPLE</v>
      </c>
      <c r="AK271" s="121"/>
    </row>
    <row r="272" spans="1:37" ht="71.25">
      <c r="A272" s="1615"/>
      <c r="B272" s="1510"/>
      <c r="C272" s="19" t="s">
        <v>212</v>
      </c>
      <c r="D272" s="19">
        <v>198</v>
      </c>
      <c r="E272" s="21" t="s">
        <v>2093</v>
      </c>
      <c r="F272" s="32" t="s">
        <v>207</v>
      </c>
      <c r="G272" s="23" t="s">
        <v>2094</v>
      </c>
      <c r="H272" s="1388" t="s">
        <v>22</v>
      </c>
      <c r="I272" s="1388" t="s">
        <v>22</v>
      </c>
      <c r="J272" s="492">
        <v>0.65</v>
      </c>
      <c r="K272" s="40">
        <v>39615</v>
      </c>
      <c r="L272" s="41">
        <v>41152</v>
      </c>
      <c r="M272" s="26">
        <f t="shared" si="27"/>
        <v>2012</v>
      </c>
      <c r="N272" s="27">
        <f>+IFERROR(INDEX([14]PARÁMETROS!$B$11:$B$37,MATCH(M272,[14]PARÁMETROS!$A$11:$A$37,0)),"")</f>
        <v>566700</v>
      </c>
      <c r="O272" s="29">
        <v>19146251489</v>
      </c>
      <c r="P272" s="29" t="s">
        <v>151</v>
      </c>
      <c r="Q272" s="29" t="s">
        <v>140</v>
      </c>
      <c r="R272" s="29" t="s">
        <v>140</v>
      </c>
      <c r="S272" s="31">
        <v>1</v>
      </c>
      <c r="T272" s="27">
        <f t="shared" si="28"/>
        <v>19146251489</v>
      </c>
      <c r="U272" s="16">
        <f t="shared" si="29"/>
        <v>33785.515244397386</v>
      </c>
      <c r="V272" s="16">
        <f t="shared" si="30"/>
        <v>21960.584908858302</v>
      </c>
      <c r="W272" s="1388" t="s">
        <v>2095</v>
      </c>
      <c r="X272" s="1485"/>
      <c r="Y272" s="1485"/>
      <c r="Z272" s="1485"/>
      <c r="AA272" s="1485"/>
      <c r="AB272" s="1485"/>
      <c r="AC272" s="1485"/>
      <c r="AD272" s="1485"/>
      <c r="AE272" s="1485"/>
      <c r="AF272" s="1485"/>
      <c r="AG272" s="1388"/>
      <c r="AH272" s="1485"/>
      <c r="AI272" s="1485"/>
      <c r="AJ272" s="461" t="str">
        <f>+IF(V272="","",IF(V272&gt;=[14]PARÁMETROS!$F$5,"CUMPLE","NO CUMPLE"))</f>
        <v>CUMPLE</v>
      </c>
      <c r="AK272" s="97"/>
    </row>
    <row r="273" spans="1:37" ht="72" thickBot="1">
      <c r="A273" s="1615"/>
      <c r="B273" s="1510"/>
      <c r="C273" s="19" t="s">
        <v>212</v>
      </c>
      <c r="D273" s="19">
        <v>191</v>
      </c>
      <c r="E273" s="21" t="s">
        <v>2093</v>
      </c>
      <c r="F273" s="32" t="s">
        <v>2096</v>
      </c>
      <c r="G273" s="23" t="s">
        <v>2097</v>
      </c>
      <c r="H273" s="1388" t="s">
        <v>22</v>
      </c>
      <c r="I273" s="1388" t="s">
        <v>22</v>
      </c>
      <c r="J273" s="484">
        <v>1</v>
      </c>
      <c r="K273" s="25">
        <v>39434</v>
      </c>
      <c r="L273" s="25">
        <v>40895</v>
      </c>
      <c r="M273" s="26">
        <f t="shared" si="27"/>
        <v>2011</v>
      </c>
      <c r="N273" s="27">
        <f>+IFERROR(INDEX([14]PARÁMETROS!$B$11:$B$37,MATCH(M273,[14]PARÁMETROS!$A$11:$A$37,0)),"")</f>
        <v>535600</v>
      </c>
      <c r="O273" s="177">
        <v>2092531.72</v>
      </c>
      <c r="P273" s="29" t="s">
        <v>142</v>
      </c>
      <c r="Q273" s="19">
        <v>1.30382</v>
      </c>
      <c r="R273" s="30">
        <f>+O273*Q273</f>
        <v>2728284.7071703998</v>
      </c>
      <c r="S273" s="31">
        <v>1935.64</v>
      </c>
      <c r="T273" s="27">
        <f>IF(S273&lt;&gt;"",R273*S273,"")</f>
        <v>5280977010.5873127</v>
      </c>
      <c r="U273" s="16">
        <f>+IFERROR(T273/N273,"")</f>
        <v>9859.9272042332195</v>
      </c>
      <c r="V273" s="16">
        <f>IFERROR(U273*J273,"")</f>
        <v>9859.9272042332195</v>
      </c>
      <c r="W273" s="1388" t="s">
        <v>2095</v>
      </c>
      <c r="X273" s="1485"/>
      <c r="Y273" s="1485"/>
      <c r="Z273" s="1485"/>
      <c r="AA273" s="1485"/>
      <c r="AB273" s="1485"/>
      <c r="AC273" s="1485"/>
      <c r="AD273" s="1485"/>
      <c r="AE273" s="1485"/>
      <c r="AF273" s="1485"/>
      <c r="AG273" s="1388"/>
      <c r="AH273" s="1485"/>
      <c r="AI273" s="1485"/>
      <c r="AJ273" s="461" t="str">
        <f>+IF(V273="","",IF(V273&gt;=[14]PARÁMETROS!$F$5,"CUMPLE","NO CUMPLE"))</f>
        <v>CUMPLE</v>
      </c>
      <c r="AK273" s="97"/>
    </row>
    <row r="274" spans="1:37" ht="38.25">
      <c r="A274" s="1615"/>
      <c r="B274" s="1509" t="s">
        <v>2098</v>
      </c>
      <c r="C274" s="81" t="s">
        <v>217</v>
      </c>
      <c r="D274" s="82">
        <v>289</v>
      </c>
      <c r="E274" s="83" t="s">
        <v>2099</v>
      </c>
      <c r="F274" s="509" t="s">
        <v>2100</v>
      </c>
      <c r="G274" s="510" t="s">
        <v>1048</v>
      </c>
      <c r="H274" s="1393" t="s">
        <v>22</v>
      </c>
      <c r="I274" s="1393" t="s">
        <v>22</v>
      </c>
      <c r="J274" s="511">
        <v>0.7</v>
      </c>
      <c r="K274" s="512">
        <v>40561</v>
      </c>
      <c r="L274" s="513">
        <v>41500</v>
      </c>
      <c r="M274" s="88">
        <f>IF(L274="","",YEAR(L274))</f>
        <v>2013</v>
      </c>
      <c r="N274" s="89">
        <f>+IFERROR(INDEX([15]PARÁMETROS!$B$11:$B$37,MATCH(M274,[15]PARÁMETROS!$A$11:$A$37,0)),"")</f>
        <v>589500</v>
      </c>
      <c r="O274" s="90">
        <v>4482472748</v>
      </c>
      <c r="P274" s="91" t="s">
        <v>151</v>
      </c>
      <c r="Q274" s="81" t="s">
        <v>326</v>
      </c>
      <c r="R274" s="92" t="s">
        <v>326</v>
      </c>
      <c r="S274" s="93">
        <v>1</v>
      </c>
      <c r="T274" s="89">
        <f>IF(S274&lt;&gt;"",O274*S274,"")</f>
        <v>4482472748</v>
      </c>
      <c r="U274" s="94">
        <f>+IFERROR(T274/N274,"")</f>
        <v>7603.8553825275658</v>
      </c>
      <c r="V274" s="94">
        <f>IFERROR(U274*J274,"")</f>
        <v>5322.698767769296</v>
      </c>
      <c r="W274" s="95">
        <v>24</v>
      </c>
      <c r="X274" s="1484" t="s">
        <v>22</v>
      </c>
      <c r="Y274" s="1484"/>
      <c r="Z274" s="1484"/>
      <c r="AA274" s="1484" t="s">
        <v>22</v>
      </c>
      <c r="AB274" s="1484"/>
      <c r="AC274" s="1484"/>
      <c r="AD274" s="1484" t="s">
        <v>22</v>
      </c>
      <c r="AE274" s="1484"/>
      <c r="AF274" s="1484"/>
      <c r="AG274" s="1393" t="s">
        <v>22</v>
      </c>
      <c r="AH274" s="1484" t="str">
        <f>IF(V274:V278="","",IF(SUM(V274:V278)&gt;=[15]PARÁMETROS!$D$5,"HÁBIL","NO HÁBIL"))</f>
        <v>HÁBIL</v>
      </c>
      <c r="AI274" s="1484" t="str">
        <f>IF(V274="","",IF(V274+V275+V276&gt;=[15]PARÁMETROS!$H$5,"HÁBIL","NO HÁBIL"))</f>
        <v>HÁBIL</v>
      </c>
      <c r="AJ274" s="1400" t="str">
        <f>+IF(V274="","",IF(V274&gt;=[15]PARÁMETROS!$F$5,"CUMPLE","NO CUMPLE"))</f>
        <v>CUMPLE</v>
      </c>
      <c r="AK274" s="96"/>
    </row>
    <row r="275" spans="1:37" ht="38.25">
      <c r="A275" s="1615"/>
      <c r="B275" s="1510"/>
      <c r="C275" s="19" t="s">
        <v>217</v>
      </c>
      <c r="D275" s="20">
        <v>297</v>
      </c>
      <c r="E275" s="21" t="s">
        <v>2099</v>
      </c>
      <c r="F275" s="514" t="s">
        <v>2100</v>
      </c>
      <c r="G275" s="515" t="s">
        <v>1048</v>
      </c>
      <c r="H275" s="1388" t="s">
        <v>22</v>
      </c>
      <c r="I275" s="1388" t="s">
        <v>22</v>
      </c>
      <c r="J275" s="516">
        <v>0.7</v>
      </c>
      <c r="K275" s="517">
        <v>40186</v>
      </c>
      <c r="L275" s="518">
        <v>40561</v>
      </c>
      <c r="M275" s="26">
        <f t="shared" ref="M275:M309" si="31">IF(L275="","",YEAR(L275))</f>
        <v>2011</v>
      </c>
      <c r="N275" s="27">
        <f>+IFERROR(INDEX([15]PARÁMETROS!$B$11:$B$37,MATCH(M275,[15]PARÁMETROS!$A$11:$A$37,0)),"")</f>
        <v>535600</v>
      </c>
      <c r="O275" s="35">
        <v>3104182180</v>
      </c>
      <c r="P275" s="27" t="str">
        <f>+P274</f>
        <v>COP</v>
      </c>
      <c r="Q275" s="19" t="s">
        <v>326</v>
      </c>
      <c r="R275" s="30" t="str">
        <f>+R274</f>
        <v>NA</v>
      </c>
      <c r="S275" s="31">
        <v>1</v>
      </c>
      <c r="T275" s="27">
        <f t="shared" ref="T275:T304" si="32">IF(S275&lt;&gt;"",O275*S275,"")</f>
        <v>3104182180</v>
      </c>
      <c r="U275" s="16">
        <f t="shared" ref="U275:U309" si="33">+IFERROR(T275/N275,"")</f>
        <v>5795.7098207617628</v>
      </c>
      <c r="V275" s="16">
        <f t="shared" ref="V275:V309" si="34">IFERROR(U275*J275,"")</f>
        <v>4056.9968745332335</v>
      </c>
      <c r="W275" s="32">
        <v>19</v>
      </c>
      <c r="X275" s="1485" t="s">
        <v>22</v>
      </c>
      <c r="Y275" s="1485"/>
      <c r="Z275" s="1485"/>
      <c r="AA275" s="1485" t="s">
        <v>22</v>
      </c>
      <c r="AB275" s="1485"/>
      <c r="AC275" s="1485"/>
      <c r="AD275" s="1485" t="s">
        <v>22</v>
      </c>
      <c r="AE275" s="1485"/>
      <c r="AF275" s="1485"/>
      <c r="AG275" s="1388" t="s">
        <v>22</v>
      </c>
      <c r="AH275" s="1485"/>
      <c r="AI275" s="1485"/>
      <c r="AJ275" s="1388" t="str">
        <f>+IF(V275="","",IF(V275&gt;=[15]PARÁMETROS!$F$5,"CUMPLE","NO CUMPLE"))</f>
        <v>CUMPLE</v>
      </c>
      <c r="AK275" s="97"/>
    </row>
    <row r="276" spans="1:37" ht="63.75">
      <c r="A276" s="1615"/>
      <c r="B276" s="1510"/>
      <c r="C276" s="19" t="s">
        <v>217</v>
      </c>
      <c r="D276" s="20">
        <v>302</v>
      </c>
      <c r="E276" s="21" t="s">
        <v>2099</v>
      </c>
      <c r="F276" s="514" t="s">
        <v>155</v>
      </c>
      <c r="G276" s="519" t="s">
        <v>2101</v>
      </c>
      <c r="H276" s="1388" t="s">
        <v>22</v>
      </c>
      <c r="I276" s="1388" t="s">
        <v>22</v>
      </c>
      <c r="J276" s="520">
        <v>0.5</v>
      </c>
      <c r="K276" s="521">
        <v>38692</v>
      </c>
      <c r="L276" s="522">
        <v>39629</v>
      </c>
      <c r="M276" s="26">
        <f t="shared" si="31"/>
        <v>2008</v>
      </c>
      <c r="N276" s="27">
        <f>+IFERROR(INDEX([15]PARÁMETROS!$B$11:$B$37,MATCH(M276,[15]PARÁMETROS!$A$11:$A$37,0)),"")</f>
        <v>461500</v>
      </c>
      <c r="O276" s="28">
        <v>1433130434</v>
      </c>
      <c r="P276" s="29" t="str">
        <f>+P275</f>
        <v>COP</v>
      </c>
      <c r="Q276" s="19" t="s">
        <v>326</v>
      </c>
      <c r="R276" s="30" t="str">
        <f>+R275</f>
        <v>NA</v>
      </c>
      <c r="S276" s="31">
        <v>1</v>
      </c>
      <c r="T276" s="27">
        <f>IF(S276&lt;&gt;"",O276*S276,"")</f>
        <v>1433130434</v>
      </c>
      <c r="U276" s="16">
        <f>+IFERROR(T276/N276,"")</f>
        <v>3105.3747215601302</v>
      </c>
      <c r="V276" s="16">
        <f t="shared" si="34"/>
        <v>1552.6873607800651</v>
      </c>
      <c r="W276" s="32">
        <v>16</v>
      </c>
      <c r="X276" s="1485" t="s">
        <v>22</v>
      </c>
      <c r="Y276" s="1485"/>
      <c r="Z276" s="1485"/>
      <c r="AA276" s="1485" t="s">
        <v>22</v>
      </c>
      <c r="AB276" s="1485"/>
      <c r="AC276" s="1485"/>
      <c r="AD276" s="1485" t="s">
        <v>22</v>
      </c>
      <c r="AE276" s="1485"/>
      <c r="AF276" s="1485"/>
      <c r="AG276" s="1388" t="s">
        <v>22</v>
      </c>
      <c r="AH276" s="1485"/>
      <c r="AI276" s="1485"/>
      <c r="AJ276" s="1388" t="str">
        <f>+IF(V276="","",IF(V276&gt;=[15]PARÁMETROS!$F$5,"CUMPLE","NO CUMPLE"))</f>
        <v>NO CUMPLE</v>
      </c>
      <c r="AK276" s="98"/>
    </row>
    <row r="277" spans="1:37" ht="40.5">
      <c r="A277" s="1615"/>
      <c r="B277" s="1510"/>
      <c r="C277" s="19" t="s">
        <v>234</v>
      </c>
      <c r="D277" s="20">
        <v>305</v>
      </c>
      <c r="E277" s="21" t="s">
        <v>2102</v>
      </c>
      <c r="F277" s="447" t="s">
        <v>517</v>
      </c>
      <c r="G277" s="523" t="s">
        <v>1053</v>
      </c>
      <c r="H277" s="1388" t="s">
        <v>22</v>
      </c>
      <c r="I277" s="1388" t="s">
        <v>22</v>
      </c>
      <c r="J277" s="524">
        <v>0.5</v>
      </c>
      <c r="K277" s="525">
        <v>39595</v>
      </c>
      <c r="L277" s="526">
        <v>42370</v>
      </c>
      <c r="M277" s="26">
        <f t="shared" si="31"/>
        <v>2016</v>
      </c>
      <c r="N277" s="27">
        <f>+IFERROR(INDEX([15]PARÁMETROS!$B$11:$B$37,MATCH(M277,[15]PARÁMETROS!$A$11:$A$37,0)),"")</f>
        <v>689554</v>
      </c>
      <c r="O277" s="28">
        <v>41325941530</v>
      </c>
      <c r="P277" s="29" t="str">
        <f>+P276</f>
        <v>COP</v>
      </c>
      <c r="Q277" s="19" t="s">
        <v>326</v>
      </c>
      <c r="R277" s="30" t="str">
        <f>+R276</f>
        <v>NA</v>
      </c>
      <c r="S277" s="31">
        <f>+S276</f>
        <v>1</v>
      </c>
      <c r="T277" s="27">
        <f t="shared" si="32"/>
        <v>41325941530</v>
      </c>
      <c r="U277" s="16">
        <f t="shared" si="33"/>
        <v>59931.407155929774</v>
      </c>
      <c r="V277" s="16">
        <f t="shared" si="34"/>
        <v>29965.703577964887</v>
      </c>
      <c r="W277" s="32" t="s">
        <v>2103</v>
      </c>
      <c r="X277" s="1496"/>
      <c r="Y277" s="1497"/>
      <c r="Z277" s="1498"/>
      <c r="AA277" s="1496"/>
      <c r="AB277" s="1497"/>
      <c r="AC277" s="1498"/>
      <c r="AD277" s="1496"/>
      <c r="AE277" s="1497"/>
      <c r="AF277" s="1498"/>
      <c r="AG277" s="1388"/>
      <c r="AH277" s="1485"/>
      <c r="AI277" s="1485"/>
      <c r="AJ277" s="1388" t="str">
        <f>+IF(V277="","",IF(V277&gt;=[15]PARÁMETROS!$F$5,"CUMPLE","NO CUMPLE"))</f>
        <v>CUMPLE</v>
      </c>
      <c r="AK277" s="98"/>
    </row>
    <row r="278" spans="1:37" ht="63.75" thickBot="1">
      <c r="A278" s="1615"/>
      <c r="B278" s="1511"/>
      <c r="C278" s="99" t="s">
        <v>224</v>
      </c>
      <c r="D278" s="123">
        <v>316</v>
      </c>
      <c r="E278" s="101" t="s">
        <v>201</v>
      </c>
      <c r="F278" s="527" t="s">
        <v>202</v>
      </c>
      <c r="G278" s="528" t="s">
        <v>2104</v>
      </c>
      <c r="H278" s="1392" t="s">
        <v>22</v>
      </c>
      <c r="I278" s="1392" t="s">
        <v>22</v>
      </c>
      <c r="J278" s="529">
        <v>1</v>
      </c>
      <c r="K278" s="530">
        <v>40190</v>
      </c>
      <c r="L278" s="531">
        <v>41240</v>
      </c>
      <c r="M278" s="106">
        <f t="shared" si="31"/>
        <v>2012</v>
      </c>
      <c r="N278" s="107">
        <f>+IFERROR(INDEX([15]PARÁMETROS!$B$11:$B$37,MATCH(M278,[15]PARÁMETROS!$A$11:$A$37,0)),"")</f>
        <v>566700</v>
      </c>
      <c r="O278" s="108">
        <v>3164576487</v>
      </c>
      <c r="P278" s="109" t="str">
        <f>+P277</f>
        <v>COP</v>
      </c>
      <c r="Q278" s="99" t="s">
        <v>326</v>
      </c>
      <c r="R278" s="110" t="str">
        <f>+R277</f>
        <v>NA</v>
      </c>
      <c r="S278" s="111">
        <f>+S277</f>
        <v>1</v>
      </c>
      <c r="T278" s="107">
        <f t="shared" si="32"/>
        <v>3164576487</v>
      </c>
      <c r="U278" s="112">
        <f t="shared" si="33"/>
        <v>5584.2182583377453</v>
      </c>
      <c r="V278" s="112">
        <f t="shared" si="34"/>
        <v>5584.2182583377453</v>
      </c>
      <c r="W278" s="225">
        <v>2</v>
      </c>
      <c r="X278" s="1486" t="s">
        <v>22</v>
      </c>
      <c r="Y278" s="1486"/>
      <c r="Z278" s="1486"/>
      <c r="AA278" s="1486" t="s">
        <v>22</v>
      </c>
      <c r="AB278" s="1486"/>
      <c r="AC278" s="1486"/>
      <c r="AD278" s="1486" t="s">
        <v>22</v>
      </c>
      <c r="AE278" s="1486"/>
      <c r="AF278" s="1486"/>
      <c r="AG278" s="1392" t="s">
        <v>22</v>
      </c>
      <c r="AH278" s="1486"/>
      <c r="AI278" s="1486"/>
      <c r="AJ278" s="1392" t="str">
        <f>+IF(V278="","",IF(V278&gt;=[15]PARÁMETROS!$F$5,"CUMPLE","NO CUMPLE"))</f>
        <v>CUMPLE</v>
      </c>
      <c r="AK278" s="124"/>
    </row>
    <row r="279" spans="1:37" ht="99">
      <c r="A279" s="1615"/>
      <c r="B279" s="1605" t="s">
        <v>2105</v>
      </c>
      <c r="C279" s="68" t="s">
        <v>239</v>
      </c>
      <c r="D279" s="339">
        <v>212</v>
      </c>
      <c r="E279" s="70" t="s">
        <v>1238</v>
      </c>
      <c r="F279" s="532" t="s">
        <v>1239</v>
      </c>
      <c r="G279" s="533" t="s">
        <v>1240</v>
      </c>
      <c r="H279" s="1394" t="s">
        <v>22</v>
      </c>
      <c r="I279" s="1394" t="s">
        <v>22</v>
      </c>
      <c r="J279" s="534">
        <v>0.33</v>
      </c>
      <c r="K279" s="535">
        <v>39792</v>
      </c>
      <c r="L279" s="535">
        <v>40977</v>
      </c>
      <c r="M279" s="116">
        <f t="shared" si="31"/>
        <v>2012</v>
      </c>
      <c r="N279" s="75">
        <f>+IFERROR(INDEX([15]PARÁMETROS!$B$11:$B$37,MATCH(M279,[15]PARÁMETROS!$A$11:$A$37,0)),"")</f>
        <v>566700</v>
      </c>
      <c r="O279" s="117">
        <v>4939884563</v>
      </c>
      <c r="P279" s="77" t="s">
        <v>151</v>
      </c>
      <c r="Q279" s="68" t="s">
        <v>326</v>
      </c>
      <c r="R279" s="78" t="s">
        <v>326</v>
      </c>
      <c r="S279" s="79">
        <v>1</v>
      </c>
      <c r="T279" s="75">
        <f>IF(S279&lt;&gt;"",O279*S279,"")</f>
        <v>4939884563</v>
      </c>
      <c r="U279" s="80">
        <f t="shared" si="33"/>
        <v>8716.9305858478911</v>
      </c>
      <c r="V279" s="80">
        <f t="shared" si="34"/>
        <v>2876.5870933298042</v>
      </c>
      <c r="W279" s="340">
        <v>170</v>
      </c>
      <c r="X279" s="1621" t="s">
        <v>22</v>
      </c>
      <c r="Y279" s="1622"/>
      <c r="Z279" s="1623"/>
      <c r="AA279" s="1621" t="s">
        <v>22</v>
      </c>
      <c r="AB279" s="1622"/>
      <c r="AC279" s="1623"/>
      <c r="AD279" s="1621" t="s">
        <v>22</v>
      </c>
      <c r="AE279" s="1622"/>
      <c r="AF279" s="1623"/>
      <c r="AG279" s="1394" t="s">
        <v>22</v>
      </c>
      <c r="AH279" s="1508" t="str">
        <f>IF(V279:V284="","",IF(SUM(V279:V284)&gt;=[15]PARÁMETROS!$H$5,"HÁBIL","NO HÁBIL"))</f>
        <v>HÁBIL</v>
      </c>
      <c r="AI279" s="1508" t="str">
        <f>IF(V279="","",IF(V279+V280+V281+V282&gt;=[15]PARÁMETROS!$F$5,"HÁBIL","NO HÁBIL"))</f>
        <v>HÁBIL</v>
      </c>
      <c r="AJ279" s="1401" t="str">
        <f>+IF(V279="","",IF(V279&gt;=[15]PARÁMETROS!$F$5,"CUMPLE","NO CUMPLE"))</f>
        <v>CUMPLE</v>
      </c>
      <c r="AK279" s="122"/>
    </row>
    <row r="280" spans="1:37" ht="49.5">
      <c r="A280" s="1615"/>
      <c r="B280" s="1510"/>
      <c r="C280" s="19" t="s">
        <v>239</v>
      </c>
      <c r="D280" s="20">
        <v>222</v>
      </c>
      <c r="E280" s="21" t="s">
        <v>1238</v>
      </c>
      <c r="F280" s="536" t="s">
        <v>957</v>
      </c>
      <c r="G280" s="537" t="s">
        <v>1241</v>
      </c>
      <c r="H280" s="1388" t="s">
        <v>22</v>
      </c>
      <c r="I280" s="1388" t="s">
        <v>22</v>
      </c>
      <c r="J280" s="524">
        <v>1</v>
      </c>
      <c r="K280" s="538">
        <v>38366</v>
      </c>
      <c r="L280" s="538">
        <v>39071</v>
      </c>
      <c r="M280" s="26">
        <f t="shared" si="31"/>
        <v>2006</v>
      </c>
      <c r="N280" s="27">
        <f>+IFERROR(INDEX([15]PARÁMETROS!$B$11:$B$37,MATCH(M280,[15]PARÁMETROS!$A$11:$A$37,0)),"")</f>
        <v>408000</v>
      </c>
      <c r="O280" s="28">
        <v>1534302721</v>
      </c>
      <c r="P280" s="29" t="s">
        <v>151</v>
      </c>
      <c r="Q280" s="19" t="s">
        <v>326</v>
      </c>
      <c r="R280" s="30" t="s">
        <v>326</v>
      </c>
      <c r="S280" s="31">
        <v>1</v>
      </c>
      <c r="T280" s="27">
        <f t="shared" si="32"/>
        <v>1534302721</v>
      </c>
      <c r="U280" s="16">
        <f t="shared" si="33"/>
        <v>3760.5458848039216</v>
      </c>
      <c r="V280" s="16">
        <f t="shared" si="34"/>
        <v>3760.5458848039216</v>
      </c>
      <c r="W280" s="32">
        <v>10</v>
      </c>
      <c r="X280" s="1496" t="s">
        <v>22</v>
      </c>
      <c r="Y280" s="1497"/>
      <c r="Z280" s="1498"/>
      <c r="AA280" s="1496" t="s">
        <v>22</v>
      </c>
      <c r="AB280" s="1497"/>
      <c r="AC280" s="1498"/>
      <c r="AD280" s="1496" t="s">
        <v>22</v>
      </c>
      <c r="AE280" s="1497"/>
      <c r="AF280" s="1498"/>
      <c r="AG280" s="1388" t="s">
        <v>22</v>
      </c>
      <c r="AH280" s="1485"/>
      <c r="AI280" s="1485"/>
      <c r="AJ280" s="1388" t="str">
        <f>+IF(V280="","",IF(V280&gt;=[15]PARÁMETROS!$F$5,"CUMPLE","NO CUMPLE"))</f>
        <v>CUMPLE</v>
      </c>
      <c r="AK280" s="97"/>
    </row>
    <row r="281" spans="1:37" ht="49.5">
      <c r="A281" s="1615"/>
      <c r="B281" s="1510"/>
      <c r="C281" s="19" t="s">
        <v>239</v>
      </c>
      <c r="D281" s="20">
        <v>227</v>
      </c>
      <c r="E281" s="21" t="s">
        <v>1238</v>
      </c>
      <c r="F281" s="536" t="s">
        <v>957</v>
      </c>
      <c r="G281" s="537" t="s">
        <v>1242</v>
      </c>
      <c r="H281" s="1388" t="s">
        <v>22</v>
      </c>
      <c r="I281" s="1388" t="s">
        <v>22</v>
      </c>
      <c r="J281" s="524">
        <v>1</v>
      </c>
      <c r="K281" s="538">
        <v>35409</v>
      </c>
      <c r="L281" s="538">
        <v>35864</v>
      </c>
      <c r="M281" s="26">
        <f t="shared" si="31"/>
        <v>1998</v>
      </c>
      <c r="N281" s="27">
        <f>+IFERROR(INDEX([15]PARÁMETROS!$B$11:$B$37,MATCH(M281,[15]PARÁMETROS!$A$11:$A$37,0)),"")</f>
        <v>203826</v>
      </c>
      <c r="O281" s="28">
        <v>749999988</v>
      </c>
      <c r="P281" s="29" t="s">
        <v>151</v>
      </c>
      <c r="Q281" s="19" t="s">
        <v>326</v>
      </c>
      <c r="R281" s="30" t="s">
        <v>326</v>
      </c>
      <c r="S281" s="31">
        <v>1</v>
      </c>
      <c r="T281" s="27">
        <f t="shared" si="32"/>
        <v>749999988</v>
      </c>
      <c r="U281" s="16">
        <f t="shared" si="33"/>
        <v>3679.6090194577728</v>
      </c>
      <c r="V281" s="16">
        <f t="shared" si="34"/>
        <v>3679.6090194577728</v>
      </c>
      <c r="W281" s="32">
        <v>96</v>
      </c>
      <c r="X281" s="1496" t="s">
        <v>22</v>
      </c>
      <c r="Y281" s="1497"/>
      <c r="Z281" s="1498"/>
      <c r="AA281" s="1496" t="s">
        <v>22</v>
      </c>
      <c r="AB281" s="1497"/>
      <c r="AC281" s="1498"/>
      <c r="AD281" s="1496" t="s">
        <v>22</v>
      </c>
      <c r="AE281" s="1497"/>
      <c r="AF281" s="1498"/>
      <c r="AG281" s="1388" t="s">
        <v>22</v>
      </c>
      <c r="AH281" s="1485"/>
      <c r="AI281" s="1485"/>
      <c r="AJ281" s="1388" t="str">
        <f>+IF(V281="","",IF(V281&gt;=[15]PARÁMETROS!$F$5,"CUMPLE","NO CUMPLE"))</f>
        <v>CUMPLE</v>
      </c>
      <c r="AK281" s="97"/>
    </row>
    <row r="282" spans="1:37" ht="99">
      <c r="A282" s="1615"/>
      <c r="B282" s="1510"/>
      <c r="C282" s="19" t="s">
        <v>239</v>
      </c>
      <c r="D282" s="20">
        <v>233</v>
      </c>
      <c r="E282" s="21" t="s">
        <v>1238</v>
      </c>
      <c r="F282" s="536" t="s">
        <v>1243</v>
      </c>
      <c r="G282" s="537" t="s">
        <v>1244</v>
      </c>
      <c r="H282" s="1388" t="s">
        <v>22</v>
      </c>
      <c r="I282" s="1388" t="s">
        <v>22</v>
      </c>
      <c r="J282" s="524">
        <v>0.5</v>
      </c>
      <c r="K282" s="538">
        <v>38034</v>
      </c>
      <c r="L282" s="538">
        <v>40770</v>
      </c>
      <c r="M282" s="26">
        <f t="shared" si="31"/>
        <v>2011</v>
      </c>
      <c r="N282" s="27">
        <f>+IFERROR(INDEX([15]PARÁMETROS!$B$11:$B$37,MATCH(M282,[15]PARÁMETROS!$A$11:$A$37,0)),"")</f>
        <v>535600</v>
      </c>
      <c r="O282" s="28">
        <v>9131630030</v>
      </c>
      <c r="P282" s="29" t="s">
        <v>151</v>
      </c>
      <c r="Q282" s="19" t="s">
        <v>326</v>
      </c>
      <c r="R282" s="30" t="s">
        <v>326</v>
      </c>
      <c r="S282" s="31">
        <v>1</v>
      </c>
      <c r="T282" s="27">
        <f t="shared" si="32"/>
        <v>9131630030</v>
      </c>
      <c r="U282" s="16">
        <f t="shared" si="33"/>
        <v>17049.346583271097</v>
      </c>
      <c r="V282" s="16">
        <f t="shared" si="34"/>
        <v>8524.6732916355486</v>
      </c>
      <c r="W282" s="32">
        <v>21</v>
      </c>
      <c r="X282" s="1496" t="s">
        <v>22</v>
      </c>
      <c r="Y282" s="1497"/>
      <c r="Z282" s="1498"/>
      <c r="AA282" s="1496" t="s">
        <v>22</v>
      </c>
      <c r="AB282" s="1497"/>
      <c r="AC282" s="1498"/>
      <c r="AD282" s="1496" t="s">
        <v>22</v>
      </c>
      <c r="AE282" s="1497"/>
      <c r="AF282" s="1498"/>
      <c r="AG282" s="1388" t="s">
        <v>22</v>
      </c>
      <c r="AH282" s="1485"/>
      <c r="AI282" s="1485"/>
      <c r="AJ282" s="1394" t="str">
        <f>+IF(V282="","",IF(V282&gt;=[15]PARÁMETROS!$F$5,"CUMPLE","NO CUMPLE"))</f>
        <v>CUMPLE</v>
      </c>
      <c r="AK282" s="97"/>
    </row>
    <row r="283" spans="1:37" ht="78.75">
      <c r="A283" s="1615"/>
      <c r="B283" s="1510"/>
      <c r="C283" s="19" t="s">
        <v>1699</v>
      </c>
      <c r="D283" s="170">
        <v>248</v>
      </c>
      <c r="E283" s="21" t="s">
        <v>1246</v>
      </c>
      <c r="F283" s="536" t="s">
        <v>1247</v>
      </c>
      <c r="G283" s="537" t="s">
        <v>1248</v>
      </c>
      <c r="H283" s="1388" t="s">
        <v>22</v>
      </c>
      <c r="I283" s="1388" t="s">
        <v>22</v>
      </c>
      <c r="J283" s="524">
        <v>1</v>
      </c>
      <c r="K283" s="539">
        <v>38562</v>
      </c>
      <c r="L283" s="539">
        <v>39521</v>
      </c>
      <c r="M283" s="26">
        <f t="shared" si="31"/>
        <v>2008</v>
      </c>
      <c r="N283" s="27">
        <f>+IFERROR(INDEX([15]PARÁMETROS!$B$11:$B$37,MATCH(M283,[15]PARÁMETROS!$A$11:$A$37,0)),"")</f>
        <v>461500</v>
      </c>
      <c r="O283" s="28">
        <v>2838230</v>
      </c>
      <c r="P283" s="29" t="s">
        <v>1727</v>
      </c>
      <c r="Q283" s="19">
        <v>1.56097</v>
      </c>
      <c r="R283" s="30">
        <f>+(O283*Q283)</f>
        <v>4430391.8831000002</v>
      </c>
      <c r="S283" s="31">
        <v>1856.01</v>
      </c>
      <c r="T283" s="27">
        <f>IF(S283&lt;&gt;"",R283*S283,"")</f>
        <v>8222851638.9524317</v>
      </c>
      <c r="U283" s="16">
        <f t="shared" si="33"/>
        <v>17817.663356343299</v>
      </c>
      <c r="V283" s="16">
        <f t="shared" si="34"/>
        <v>17817.663356343299</v>
      </c>
      <c r="W283" s="32">
        <v>28</v>
      </c>
      <c r="X283" s="1496" t="s">
        <v>22</v>
      </c>
      <c r="Y283" s="1497"/>
      <c r="Z283" s="1498"/>
      <c r="AA283" s="1496" t="s">
        <v>22</v>
      </c>
      <c r="AB283" s="1497"/>
      <c r="AC283" s="1498"/>
      <c r="AD283" s="1496" t="s">
        <v>22</v>
      </c>
      <c r="AE283" s="1497"/>
      <c r="AF283" s="1498"/>
      <c r="AG283" s="1388" t="s">
        <v>22</v>
      </c>
      <c r="AH283" s="1485"/>
      <c r="AI283" s="1485"/>
      <c r="AJ283" s="1388" t="str">
        <f>+IF(V283="","",IF(V283&gt;=[15]PARÁMETROS!$F$5,"CUMPLE","NO CUMPLE"))</f>
        <v>CUMPLE</v>
      </c>
      <c r="AK283" s="97"/>
    </row>
    <row r="284" spans="1:37" ht="79.5" thickBot="1">
      <c r="A284" s="1615"/>
      <c r="B284" s="1553"/>
      <c r="C284" s="151" t="s">
        <v>1699</v>
      </c>
      <c r="D284" s="172">
        <v>257</v>
      </c>
      <c r="E284" s="153" t="s">
        <v>1246</v>
      </c>
      <c r="F284" s="540" t="s">
        <v>1250</v>
      </c>
      <c r="G284" s="541" t="s">
        <v>1251</v>
      </c>
      <c r="H284" s="1419" t="s">
        <v>22</v>
      </c>
      <c r="I284" s="1419" t="s">
        <v>22</v>
      </c>
      <c r="J284" s="542">
        <v>1</v>
      </c>
      <c r="K284" s="543">
        <v>38701</v>
      </c>
      <c r="L284" s="543">
        <v>40085</v>
      </c>
      <c r="M284" s="158">
        <f t="shared" si="31"/>
        <v>2009</v>
      </c>
      <c r="N284" s="159">
        <f>+IFERROR(INDEX([15]PARÁMETROS!$B$11:$B$37,MATCH(M284,[15]PARÁMETROS!$A$11:$A$37,0)),"")</f>
        <v>496900</v>
      </c>
      <c r="O284" s="544">
        <v>1183264.6000000001</v>
      </c>
      <c r="P284" s="161" t="str">
        <f>+P283</f>
        <v>EURO</v>
      </c>
      <c r="Q284" s="151">
        <v>1.45905</v>
      </c>
      <c r="R284" s="162">
        <f>+(O284*Q284)</f>
        <v>1726442.2146300001</v>
      </c>
      <c r="S284" s="163">
        <v>1921.64</v>
      </c>
      <c r="T284" s="159">
        <f>IF(S284&lt;&gt;"",R284*S284,"")</f>
        <v>3317600417.3215933</v>
      </c>
      <c r="U284" s="164">
        <f t="shared" si="33"/>
        <v>6676.5957281577648</v>
      </c>
      <c r="V284" s="164">
        <f t="shared" si="34"/>
        <v>6676.5957281577648</v>
      </c>
      <c r="W284" s="430">
        <v>60</v>
      </c>
      <c r="X284" s="1606" t="s">
        <v>22</v>
      </c>
      <c r="Y284" s="1606"/>
      <c r="Z284" s="1606"/>
      <c r="AA284" s="1606" t="s">
        <v>22</v>
      </c>
      <c r="AB284" s="1606"/>
      <c r="AC284" s="1606"/>
      <c r="AD284" s="1606" t="s">
        <v>22</v>
      </c>
      <c r="AE284" s="1606"/>
      <c r="AF284" s="1606"/>
      <c r="AG284" s="1419" t="s">
        <v>22</v>
      </c>
      <c r="AH284" s="1606"/>
      <c r="AI284" s="1606"/>
      <c r="AJ284" s="1419" t="str">
        <f>+IF(V283="","",IF(V283&gt;=[15]PARÁMETROS!$F$5,"CUMPLE","NO CUMPLE"))</f>
        <v>CUMPLE</v>
      </c>
      <c r="AK284" s="195"/>
    </row>
    <row r="285" spans="1:37" ht="71.25">
      <c r="A285" s="1615"/>
      <c r="B285" s="1509" t="s">
        <v>2106</v>
      </c>
      <c r="C285" s="81" t="s">
        <v>252</v>
      </c>
      <c r="D285" s="169">
        <v>57</v>
      </c>
      <c r="E285" s="83" t="s">
        <v>561</v>
      </c>
      <c r="F285" s="84" t="s">
        <v>2107</v>
      </c>
      <c r="G285" s="85" t="s">
        <v>2108</v>
      </c>
      <c r="H285" s="1393" t="s">
        <v>22</v>
      </c>
      <c r="I285" s="1400" t="s">
        <v>22</v>
      </c>
      <c r="J285" s="86">
        <v>1</v>
      </c>
      <c r="K285" s="87">
        <v>37809</v>
      </c>
      <c r="L285" s="87">
        <v>38260</v>
      </c>
      <c r="M285" s="88">
        <f t="shared" si="31"/>
        <v>2004</v>
      </c>
      <c r="N285" s="89">
        <f>+IFERROR(INDEX([15]PARÁMETROS!$B$11:$B$37,MATCH(M285,[15]PARÁMETROS!$A$11:$A$37,0)),"")</f>
        <v>358000</v>
      </c>
      <c r="O285" s="90">
        <v>19507017.219999999</v>
      </c>
      <c r="P285" s="91" t="s">
        <v>2109</v>
      </c>
      <c r="Q285" s="81">
        <v>8.7510000000000004E-2</v>
      </c>
      <c r="R285" s="92">
        <f>+(O285*Q285)</f>
        <v>1707059.0769221999</v>
      </c>
      <c r="S285" s="93">
        <v>2595.17</v>
      </c>
      <c r="T285" s="89">
        <f>IF(S285&lt;&gt;"",R285*S285,"")</f>
        <v>4430108504.6561861</v>
      </c>
      <c r="U285" s="94">
        <f t="shared" si="33"/>
        <v>12374.604761609458</v>
      </c>
      <c r="V285" s="94">
        <f>IFERROR(U285*J285,"")</f>
        <v>12374.604761609458</v>
      </c>
      <c r="W285" s="95">
        <v>21</v>
      </c>
      <c r="X285" s="1505" t="s">
        <v>22</v>
      </c>
      <c r="Y285" s="1505"/>
      <c r="Z285" s="1505"/>
      <c r="AA285" s="1505" t="s">
        <v>22</v>
      </c>
      <c r="AB285" s="1505"/>
      <c r="AC285" s="1505"/>
      <c r="AD285" s="1505" t="s">
        <v>22</v>
      </c>
      <c r="AE285" s="1505"/>
      <c r="AF285" s="1505"/>
      <c r="AG285" s="1400" t="s">
        <v>22</v>
      </c>
      <c r="AH285" s="1484" t="str">
        <f>IF(V285="","",IF(SUM(V285:V287)&gt;=[15]PARÁMETROS!$H$5,"HÁBIL","NO HÁBIL"))</f>
        <v>HÁBIL</v>
      </c>
      <c r="AI285" s="1484" t="str">
        <f>IF(V285="","",IF(V285+V286+V287&gt;=[15]PARÁMETROS!$F$5,"HÁBIL","NO HÁBIL"))</f>
        <v>HÁBIL</v>
      </c>
      <c r="AJ285" s="1393" t="str">
        <f>+IF(V285="","",IF(V285&gt;=[15]PARÁMETROS!$F$5,"CUMPLE","NO CUMPLE"))</f>
        <v>CUMPLE</v>
      </c>
      <c r="AK285" s="96"/>
    </row>
    <row r="286" spans="1:37" ht="71.25">
      <c r="A286" s="1615"/>
      <c r="B286" s="1510"/>
      <c r="C286" s="19" t="s">
        <v>252</v>
      </c>
      <c r="D286" s="170">
        <v>125</v>
      </c>
      <c r="E286" s="21" t="s">
        <v>561</v>
      </c>
      <c r="F286" s="22" t="s">
        <v>2107</v>
      </c>
      <c r="G286" s="22" t="s">
        <v>2110</v>
      </c>
      <c r="H286" s="1388" t="s">
        <v>22</v>
      </c>
      <c r="I286" s="1388" t="s">
        <v>22</v>
      </c>
      <c r="J286" s="34">
        <v>1</v>
      </c>
      <c r="K286" s="25">
        <v>38467</v>
      </c>
      <c r="L286" s="25">
        <v>38960</v>
      </c>
      <c r="M286" s="26">
        <f t="shared" si="31"/>
        <v>2006</v>
      </c>
      <c r="N286" s="27">
        <f>+IFERROR(INDEX([15]PARÁMETROS!$B$11:$B$37,MATCH(M286,[15]PARÁMETROS!$A$11:$A$37,0)),"")</f>
        <v>408000</v>
      </c>
      <c r="O286" s="35">
        <v>13552658.52</v>
      </c>
      <c r="P286" s="27" t="str">
        <f>+P285</f>
        <v>MX</v>
      </c>
      <c r="Q286" s="19">
        <v>9.1899999999999996E-2</v>
      </c>
      <c r="R286" s="30">
        <f>+(O286*Q286)</f>
        <v>1245489.3179879999</v>
      </c>
      <c r="S286" s="31">
        <v>2396.63</v>
      </c>
      <c r="T286" s="27">
        <f>IF(S286&lt;&gt;"",R286*S286,"")</f>
        <v>2984977064.1695805</v>
      </c>
      <c r="U286" s="16">
        <f t="shared" si="33"/>
        <v>7316.120255317599</v>
      </c>
      <c r="V286" s="16">
        <f t="shared" si="34"/>
        <v>7316.120255317599</v>
      </c>
      <c r="W286" s="32">
        <v>25</v>
      </c>
      <c r="X286" s="1485" t="s">
        <v>22</v>
      </c>
      <c r="Y286" s="1485"/>
      <c r="Z286" s="1485"/>
      <c r="AA286" s="1485" t="s">
        <v>22</v>
      </c>
      <c r="AB286" s="1485"/>
      <c r="AC286" s="1485"/>
      <c r="AD286" s="1485" t="s">
        <v>22</v>
      </c>
      <c r="AE286" s="1485"/>
      <c r="AF286" s="1485"/>
      <c r="AG286" s="1388" t="s">
        <v>22</v>
      </c>
      <c r="AH286" s="1485"/>
      <c r="AI286" s="1485"/>
      <c r="AJ286" s="1388" t="str">
        <f>+IF(V286="","",IF(V286&gt;=[15]PARÁMETROS!$F$5,"CUMPLE","NO CUMPLE"))</f>
        <v>CUMPLE</v>
      </c>
      <c r="AK286" s="97"/>
    </row>
    <row r="287" spans="1:37" ht="71.25">
      <c r="A287" s="1615"/>
      <c r="B287" s="1510"/>
      <c r="C287" s="19" t="s">
        <v>252</v>
      </c>
      <c r="D287" s="170">
        <v>131</v>
      </c>
      <c r="E287" s="21" t="s">
        <v>561</v>
      </c>
      <c r="F287" s="22" t="s">
        <v>2107</v>
      </c>
      <c r="G287" s="23" t="s">
        <v>2111</v>
      </c>
      <c r="H287" s="1388" t="s">
        <v>22</v>
      </c>
      <c r="I287" s="1388" t="s">
        <v>22</v>
      </c>
      <c r="J287" s="24">
        <v>1</v>
      </c>
      <c r="K287" s="25">
        <v>40735</v>
      </c>
      <c r="L287" s="25">
        <v>41079</v>
      </c>
      <c r="M287" s="26">
        <f t="shared" si="31"/>
        <v>2012</v>
      </c>
      <c r="N287" s="27">
        <f>+IFERROR(INDEX([15]PARÁMETROS!$B$11:$B$37,MATCH(M287,[15]PARÁMETROS!$A$11:$A$37,0)),"")</f>
        <v>566700</v>
      </c>
      <c r="O287" s="28">
        <v>14149067.300000001</v>
      </c>
      <c r="P287" s="29" t="str">
        <f>+P286</f>
        <v>MX</v>
      </c>
      <c r="Q287" s="19">
        <v>7.2069999999999995E-2</v>
      </c>
      <c r="R287" s="30">
        <f>+(O287*Q287)</f>
        <v>1019723.280311</v>
      </c>
      <c r="S287" s="31">
        <v>1786.21</v>
      </c>
      <c r="T287" s="27">
        <f>IF(S287&lt;&gt;"",R287*S287,"")</f>
        <v>1821439920.5243113</v>
      </c>
      <c r="U287" s="16">
        <f t="shared" si="33"/>
        <v>3214.1166764148779</v>
      </c>
      <c r="V287" s="16">
        <f t="shared" si="34"/>
        <v>3214.1166764148779</v>
      </c>
      <c r="W287" s="32">
        <v>10</v>
      </c>
      <c r="X287" s="1485" t="s">
        <v>22</v>
      </c>
      <c r="Y287" s="1485"/>
      <c r="Z287" s="1485"/>
      <c r="AA287" s="1485" t="s">
        <v>22</v>
      </c>
      <c r="AB287" s="1485"/>
      <c r="AC287" s="1485"/>
      <c r="AD287" s="1485" t="s">
        <v>22</v>
      </c>
      <c r="AE287" s="1485"/>
      <c r="AF287" s="1485"/>
      <c r="AG287" s="1388" t="s">
        <v>22</v>
      </c>
      <c r="AH287" s="1485"/>
      <c r="AI287" s="1485"/>
      <c r="AJ287" s="1388" t="str">
        <f>+IF(V287="","",IF(V287&gt;=[15]PARÁMETROS!$F$5,"CUMPLE","NO CUMPLE"))</f>
        <v>CUMPLE</v>
      </c>
      <c r="AK287" s="97"/>
    </row>
    <row r="288" spans="1:37" ht="78.75">
      <c r="A288" s="1615"/>
      <c r="B288" s="1510"/>
      <c r="C288" s="19" t="s">
        <v>1710</v>
      </c>
      <c r="D288" s="170">
        <v>153</v>
      </c>
      <c r="E288" s="21" t="s">
        <v>553</v>
      </c>
      <c r="F288" s="22" t="s">
        <v>1243</v>
      </c>
      <c r="G288" s="37" t="s">
        <v>2112</v>
      </c>
      <c r="H288" s="1388" t="s">
        <v>22</v>
      </c>
      <c r="I288" s="1388" t="s">
        <v>22</v>
      </c>
      <c r="J288" s="24">
        <v>1</v>
      </c>
      <c r="K288" s="25">
        <v>39156</v>
      </c>
      <c r="L288" s="25">
        <v>39964</v>
      </c>
      <c r="M288" s="26">
        <f t="shared" si="31"/>
        <v>2009</v>
      </c>
      <c r="N288" s="27">
        <f>+IFERROR(INDEX([15]PARÁMETROS!$B$11:$B$37,MATCH(M288,[15]PARÁMETROS!$A$11:$A$37,0)),"")</f>
        <v>496900</v>
      </c>
      <c r="O288" s="28">
        <v>2927141854</v>
      </c>
      <c r="P288" s="29" t="s">
        <v>151</v>
      </c>
      <c r="Q288" s="19" t="s">
        <v>326</v>
      </c>
      <c r="R288" s="30" t="s">
        <v>326</v>
      </c>
      <c r="S288" s="31">
        <v>1</v>
      </c>
      <c r="T288" s="27">
        <f>IF(S288&lt;&gt;"",O288*S288,"")</f>
        <v>2927141854</v>
      </c>
      <c r="U288" s="16">
        <f>+IFERROR(T288/N288,"")</f>
        <v>5890.8067095995166</v>
      </c>
      <c r="V288" s="16">
        <f t="shared" si="34"/>
        <v>5890.8067095995166</v>
      </c>
      <c r="W288" s="32">
        <v>21</v>
      </c>
      <c r="X288" s="1621" t="s">
        <v>22</v>
      </c>
      <c r="Y288" s="1622"/>
      <c r="Z288" s="1623"/>
      <c r="AA288" s="1621" t="s">
        <v>22</v>
      </c>
      <c r="AB288" s="1622"/>
      <c r="AC288" s="1623"/>
      <c r="AD288" s="1621" t="s">
        <v>22</v>
      </c>
      <c r="AE288" s="1622"/>
      <c r="AF288" s="1623"/>
      <c r="AG288" s="1394" t="s">
        <v>22</v>
      </c>
      <c r="AH288" s="1485"/>
      <c r="AI288" s="1485"/>
      <c r="AJ288" s="1388" t="str">
        <f>+IF(V288="","",IF(V288&gt;=[15]PARÁMETROS!$F$5,"CUMPLE","NO CUMPLE"))</f>
        <v>CUMPLE</v>
      </c>
      <c r="AK288" s="97"/>
    </row>
    <row r="289" spans="1:37" ht="57.75" thickBot="1">
      <c r="A289" s="1615"/>
      <c r="B289" s="1511"/>
      <c r="C289" s="99" t="s">
        <v>1710</v>
      </c>
      <c r="D289" s="178">
        <v>167</v>
      </c>
      <c r="E289" s="101" t="s">
        <v>553</v>
      </c>
      <c r="F289" s="102" t="s">
        <v>263</v>
      </c>
      <c r="G289" s="103" t="s">
        <v>2113</v>
      </c>
      <c r="H289" s="1392" t="s">
        <v>22</v>
      </c>
      <c r="I289" s="1402" t="s">
        <v>22</v>
      </c>
      <c r="J289" s="104">
        <v>1</v>
      </c>
      <c r="K289" s="105">
        <v>39147</v>
      </c>
      <c r="L289" s="105">
        <v>40016</v>
      </c>
      <c r="M289" s="106">
        <f t="shared" si="31"/>
        <v>2009</v>
      </c>
      <c r="N289" s="107">
        <f>+IFERROR(INDEX([15]PARÁMETROS!$B$11:$B$37,MATCH(M289,[15]PARÁMETROS!$A$11:$A$37,0)),"")</f>
        <v>496900</v>
      </c>
      <c r="O289" s="108">
        <v>4704397815</v>
      </c>
      <c r="P289" s="109" t="s">
        <v>151</v>
      </c>
      <c r="Q289" s="99" t="s">
        <v>326</v>
      </c>
      <c r="R289" s="110" t="s">
        <v>326</v>
      </c>
      <c r="S289" s="111">
        <v>1</v>
      </c>
      <c r="T289" s="107">
        <f>IF(S289&lt;&gt;"",O289*S289,"")</f>
        <v>4704397815</v>
      </c>
      <c r="U289" s="112">
        <f t="shared" si="33"/>
        <v>9467.4940933789494</v>
      </c>
      <c r="V289" s="112">
        <f t="shared" si="34"/>
        <v>9467.4940933789494</v>
      </c>
      <c r="W289" s="225">
        <v>5</v>
      </c>
      <c r="X289" s="1493" t="s">
        <v>22</v>
      </c>
      <c r="Y289" s="1494"/>
      <c r="Z289" s="1495"/>
      <c r="AA289" s="1493" t="s">
        <v>22</v>
      </c>
      <c r="AB289" s="1494"/>
      <c r="AC289" s="1495"/>
      <c r="AD289" s="1486" t="s">
        <v>22</v>
      </c>
      <c r="AE289" s="1486"/>
      <c r="AF289" s="1486"/>
      <c r="AG289" s="1392" t="s">
        <v>22</v>
      </c>
      <c r="AH289" s="1486"/>
      <c r="AI289" s="1486"/>
      <c r="AJ289" s="1392" t="str">
        <f>+IF(V289="","",IF(V289&gt;=[15]PARÁMETROS!$F$5,"CUMPLE","NO CUMPLE"))</f>
        <v>CUMPLE</v>
      </c>
      <c r="AK289" s="113"/>
    </row>
    <row r="290" spans="1:37" ht="49.5">
      <c r="A290" s="1615"/>
      <c r="B290" s="1509" t="s">
        <v>2114</v>
      </c>
      <c r="C290" s="81" t="s">
        <v>278</v>
      </c>
      <c r="D290" s="169">
        <v>171</v>
      </c>
      <c r="E290" s="83" t="s">
        <v>834</v>
      </c>
      <c r="F290" s="545" t="s">
        <v>2115</v>
      </c>
      <c r="G290" s="546" t="s">
        <v>2116</v>
      </c>
      <c r="H290" s="1393" t="s">
        <v>22</v>
      </c>
      <c r="I290" s="1400" t="s">
        <v>22</v>
      </c>
      <c r="J290" s="547">
        <v>0.5</v>
      </c>
      <c r="K290" s="548">
        <v>36752</v>
      </c>
      <c r="L290" s="548">
        <v>42111</v>
      </c>
      <c r="M290" s="88">
        <f t="shared" si="31"/>
        <v>2015</v>
      </c>
      <c r="N290" s="89">
        <f>+IFERROR(INDEX([15]PARÁMETROS!$B$11:$B$37,MATCH(M290,[15]PARÁMETROS!$A$11:$A$37,0)),"")</f>
        <v>644350</v>
      </c>
      <c r="O290" s="90">
        <v>5014683563</v>
      </c>
      <c r="P290" s="91" t="s">
        <v>151</v>
      </c>
      <c r="Q290" s="81" t="s">
        <v>326</v>
      </c>
      <c r="R290" s="92" t="s">
        <v>326</v>
      </c>
      <c r="S290" s="93">
        <v>1</v>
      </c>
      <c r="T290" s="89">
        <f t="shared" si="32"/>
        <v>5014683563</v>
      </c>
      <c r="U290" s="94">
        <f t="shared" si="33"/>
        <v>7782.546074338481</v>
      </c>
      <c r="V290" s="94">
        <f t="shared" si="34"/>
        <v>3891.2730371692405</v>
      </c>
      <c r="W290" s="94" t="s">
        <v>2103</v>
      </c>
      <c r="X290" s="1499"/>
      <c r="Y290" s="1500"/>
      <c r="Z290" s="1501"/>
      <c r="AA290" s="1499"/>
      <c r="AB290" s="1500"/>
      <c r="AC290" s="1501"/>
      <c r="AD290" s="1499"/>
      <c r="AE290" s="1500"/>
      <c r="AF290" s="1501"/>
      <c r="AG290" s="1400"/>
      <c r="AH290" s="1484" t="str">
        <f>IF(V290:V293="","",IF(SUM(V290:V293)&gt;=[15]PARÁMETROS!$H$5,"HÁBIL","NO HÁBIL"))</f>
        <v>HÁBIL</v>
      </c>
      <c r="AI290" s="1484" t="str">
        <f>IF(V290="","",IF(V290+V291+V292&gt;=[15]PARÁMETROS!$F$5,"HÁBIL","NO HÁBIL"))</f>
        <v>HÁBIL</v>
      </c>
      <c r="AJ290" s="1393" t="str">
        <f>+IF(V290="","",IF(V290&gt;=[15]PARÁMETROS!$F$5,"CUMPLE","NO CUMPLE"))</f>
        <v>CUMPLE</v>
      </c>
      <c r="AK290" s="96"/>
    </row>
    <row r="291" spans="1:37" ht="99">
      <c r="A291" s="1615"/>
      <c r="B291" s="1510"/>
      <c r="C291" s="19" t="s">
        <v>278</v>
      </c>
      <c r="D291" s="170">
        <v>174</v>
      </c>
      <c r="E291" s="21" t="s">
        <v>834</v>
      </c>
      <c r="F291" s="549" t="s">
        <v>1143</v>
      </c>
      <c r="G291" s="550" t="s">
        <v>2117</v>
      </c>
      <c r="H291" s="1388" t="s">
        <v>22</v>
      </c>
      <c r="I291" s="1388" t="s">
        <v>22</v>
      </c>
      <c r="J291" s="551">
        <v>0.5</v>
      </c>
      <c r="K291" s="552">
        <v>40099</v>
      </c>
      <c r="L291" s="552">
        <v>40558</v>
      </c>
      <c r="M291" s="26">
        <f t="shared" si="31"/>
        <v>2011</v>
      </c>
      <c r="N291" s="27">
        <f>+IFERROR(INDEX([15]PARÁMETROS!$B$11:$B$37,MATCH(M291,[15]PARÁMETROS!$A$11:$A$37,0)),"")</f>
        <v>535600</v>
      </c>
      <c r="O291" s="28">
        <v>4561047955</v>
      </c>
      <c r="P291" s="29" t="str">
        <f t="shared" ref="P291:P299" si="35">+P290</f>
        <v>COP</v>
      </c>
      <c r="Q291" s="19" t="s">
        <v>326</v>
      </c>
      <c r="R291" s="30" t="s">
        <v>326</v>
      </c>
      <c r="S291" s="31">
        <v>1</v>
      </c>
      <c r="T291" s="27">
        <f t="shared" si="32"/>
        <v>4561047955</v>
      </c>
      <c r="U291" s="16">
        <f t="shared" si="33"/>
        <v>8515.7728808812553</v>
      </c>
      <c r="V291" s="16">
        <f t="shared" si="34"/>
        <v>4257.8864404406277</v>
      </c>
      <c r="W291" s="26">
        <v>17</v>
      </c>
      <c r="X291" s="1496" t="s">
        <v>22</v>
      </c>
      <c r="Y291" s="1497"/>
      <c r="Z291" s="1498"/>
      <c r="AA291" s="1496" t="s">
        <v>22</v>
      </c>
      <c r="AB291" s="1497"/>
      <c r="AC291" s="1498"/>
      <c r="AD291" s="1496" t="s">
        <v>22</v>
      </c>
      <c r="AE291" s="1497"/>
      <c r="AF291" s="1498"/>
      <c r="AG291" s="1388" t="s">
        <v>22</v>
      </c>
      <c r="AH291" s="1485"/>
      <c r="AI291" s="1485"/>
      <c r="AJ291" s="1388" t="str">
        <f>+IF(V291="","",IF(V291&gt;=[15]PARÁMETROS!$F$5,"CUMPLE","NO CUMPLE"))</f>
        <v>CUMPLE</v>
      </c>
      <c r="AK291" s="97"/>
    </row>
    <row r="292" spans="1:37" ht="66">
      <c r="A292" s="1615"/>
      <c r="B292" s="1510"/>
      <c r="C292" s="19" t="s">
        <v>278</v>
      </c>
      <c r="D292" s="170">
        <v>194</v>
      </c>
      <c r="E292" s="21" t="s">
        <v>834</v>
      </c>
      <c r="F292" s="549" t="s">
        <v>155</v>
      </c>
      <c r="G292" s="550" t="s">
        <v>2118</v>
      </c>
      <c r="H292" s="1388" t="s">
        <v>22</v>
      </c>
      <c r="I292" s="1388" t="s">
        <v>22</v>
      </c>
      <c r="J292" s="551">
        <v>1</v>
      </c>
      <c r="K292" s="552">
        <v>34541</v>
      </c>
      <c r="L292" s="552">
        <v>35002</v>
      </c>
      <c r="M292" s="26">
        <f t="shared" si="31"/>
        <v>1995</v>
      </c>
      <c r="N292" s="27">
        <f>+IFERROR(INDEX([15]PARÁMETROS!$B$11:$B$37,MATCH(M292,[15]PARÁMETROS!$A$11:$A$37,0)),"")</f>
        <v>118933.5</v>
      </c>
      <c r="O292" s="28">
        <v>418334254</v>
      </c>
      <c r="P292" s="29" t="str">
        <f t="shared" si="35"/>
        <v>COP</v>
      </c>
      <c r="Q292" s="19" t="s">
        <v>326</v>
      </c>
      <c r="R292" s="30" t="s">
        <v>326</v>
      </c>
      <c r="S292" s="31">
        <v>1</v>
      </c>
      <c r="T292" s="27">
        <f t="shared" si="32"/>
        <v>418334254</v>
      </c>
      <c r="U292" s="16">
        <f t="shared" si="33"/>
        <v>3517.3794935825481</v>
      </c>
      <c r="V292" s="16">
        <f t="shared" si="34"/>
        <v>3517.3794935825481</v>
      </c>
      <c r="W292" s="26">
        <v>89</v>
      </c>
      <c r="X292" s="1496" t="s">
        <v>22</v>
      </c>
      <c r="Y292" s="1497"/>
      <c r="Z292" s="1498"/>
      <c r="AA292" s="1496" t="s">
        <v>22</v>
      </c>
      <c r="AB292" s="1497"/>
      <c r="AC292" s="1498"/>
      <c r="AD292" s="1496" t="s">
        <v>22</v>
      </c>
      <c r="AE292" s="1497"/>
      <c r="AF292" s="1498"/>
      <c r="AG292" s="1388" t="s">
        <v>22</v>
      </c>
      <c r="AH292" s="1485"/>
      <c r="AI292" s="1485"/>
      <c r="AJ292" s="1388" t="str">
        <f>+IF(V292="","",IF(V292&gt;=[15]PARÁMETROS!$F$5,"CUMPLE","NO CUMPLE"))</f>
        <v>CUMPLE</v>
      </c>
      <c r="AK292" s="97"/>
    </row>
    <row r="293" spans="1:37" ht="48" thickBot="1">
      <c r="A293" s="1615"/>
      <c r="B293" s="1511"/>
      <c r="C293" s="99" t="s">
        <v>270</v>
      </c>
      <c r="D293" s="178">
        <v>195</v>
      </c>
      <c r="E293" s="101" t="s">
        <v>835</v>
      </c>
      <c r="F293" s="225" t="s">
        <v>155</v>
      </c>
      <c r="G293" s="553" t="s">
        <v>2119</v>
      </c>
      <c r="H293" s="1392" t="s">
        <v>22</v>
      </c>
      <c r="I293" s="1402" t="s">
        <v>22</v>
      </c>
      <c r="J293" s="326">
        <v>0.15</v>
      </c>
      <c r="K293" s="554">
        <v>40487</v>
      </c>
      <c r="L293" s="554">
        <v>42368</v>
      </c>
      <c r="M293" s="106">
        <f t="shared" si="31"/>
        <v>2015</v>
      </c>
      <c r="N293" s="107">
        <f>+IFERROR(INDEX([15]PARÁMETROS!$B$11:$B$37,MATCH(M293,[15]PARÁMETROS!$A$11:$A$37,0)),"")</f>
        <v>644350</v>
      </c>
      <c r="O293" s="108">
        <v>25305101612</v>
      </c>
      <c r="P293" s="109" t="str">
        <f t="shared" si="35"/>
        <v>COP</v>
      </c>
      <c r="Q293" s="99" t="s">
        <v>326</v>
      </c>
      <c r="R293" s="110" t="str">
        <f t="shared" ref="R293:R299" si="36">+R292</f>
        <v>NA</v>
      </c>
      <c r="S293" s="111">
        <v>1</v>
      </c>
      <c r="T293" s="107">
        <f t="shared" si="32"/>
        <v>25305101612</v>
      </c>
      <c r="U293" s="112">
        <f t="shared" si="33"/>
        <v>39272.292406300927</v>
      </c>
      <c r="V293" s="112">
        <f t="shared" si="34"/>
        <v>5890.8438609451387</v>
      </c>
      <c r="W293" s="112" t="s">
        <v>2103</v>
      </c>
      <c r="X293" s="1493"/>
      <c r="Y293" s="1494"/>
      <c r="Z293" s="1495"/>
      <c r="AA293" s="1493"/>
      <c r="AB293" s="1494"/>
      <c r="AC293" s="1495"/>
      <c r="AD293" s="1493"/>
      <c r="AE293" s="1494"/>
      <c r="AF293" s="1495"/>
      <c r="AG293" s="1402"/>
      <c r="AH293" s="1486"/>
      <c r="AI293" s="1486"/>
      <c r="AJ293" s="1392" t="str">
        <f>+IF(V293="","",IF(V293&gt;=[15]PARÁMETROS!$F$5,"CUMPLE","NO CUMPLE"))</f>
        <v>CUMPLE</v>
      </c>
      <c r="AK293" s="113"/>
    </row>
    <row r="294" spans="1:37" ht="75">
      <c r="A294" s="1615"/>
      <c r="B294" s="1509" t="s">
        <v>2120</v>
      </c>
      <c r="C294" s="81" t="s">
        <v>289</v>
      </c>
      <c r="D294" s="169">
        <v>77</v>
      </c>
      <c r="E294" s="83" t="s">
        <v>2121</v>
      </c>
      <c r="F294" s="555" t="s">
        <v>528</v>
      </c>
      <c r="G294" s="556" t="s">
        <v>530</v>
      </c>
      <c r="H294" s="1400" t="s">
        <v>22</v>
      </c>
      <c r="I294" s="1400" t="s">
        <v>22</v>
      </c>
      <c r="J294" s="557">
        <v>1</v>
      </c>
      <c r="K294" s="558">
        <v>38321</v>
      </c>
      <c r="L294" s="558">
        <v>39901</v>
      </c>
      <c r="M294" s="88">
        <f t="shared" si="31"/>
        <v>2009</v>
      </c>
      <c r="N294" s="89">
        <f>+IFERROR(INDEX([15]PARÁMETROS!$B$11:$B$37,MATCH(M294,[15]PARÁMETROS!$A$11:$A$37,0)),"")</f>
        <v>496900</v>
      </c>
      <c r="O294" s="559">
        <v>1676200327</v>
      </c>
      <c r="P294" s="286" t="str">
        <f t="shared" si="35"/>
        <v>COP</v>
      </c>
      <c r="Q294" s="81" t="s">
        <v>326</v>
      </c>
      <c r="R294" s="92" t="str">
        <f t="shared" si="36"/>
        <v>NA</v>
      </c>
      <c r="S294" s="93">
        <v>1</v>
      </c>
      <c r="T294" s="89">
        <f t="shared" si="32"/>
        <v>1676200327</v>
      </c>
      <c r="U294" s="94">
        <f t="shared" si="33"/>
        <v>3373.3152082914066</v>
      </c>
      <c r="V294" s="94">
        <f t="shared" si="34"/>
        <v>3373.3152082914066</v>
      </c>
      <c r="W294" s="88">
        <v>45</v>
      </c>
      <c r="X294" s="1499" t="s">
        <v>22</v>
      </c>
      <c r="Y294" s="1500"/>
      <c r="Z294" s="1501"/>
      <c r="AA294" s="1499" t="s">
        <v>22</v>
      </c>
      <c r="AB294" s="1500"/>
      <c r="AC294" s="1501"/>
      <c r="AD294" s="1499" t="s">
        <v>22</v>
      </c>
      <c r="AE294" s="1500"/>
      <c r="AF294" s="1501"/>
      <c r="AG294" s="1400" t="s">
        <v>22</v>
      </c>
      <c r="AH294" s="1484" t="str">
        <f>IF(V294:V299="","",IF(SUM(V294:V299)&gt;=[15]PARÁMETROS!$H$5,"HÁBIL","NO HÁBIL"))</f>
        <v>HÁBIL</v>
      </c>
      <c r="AI294" s="1484" t="str">
        <f>IF(V294="","",IF(V294+V295+V296+V297+V298+V299&gt;=[15]PARÁMETROS!$F$5,"HÁBIL","NO HÁBIL"))</f>
        <v>HÁBIL</v>
      </c>
      <c r="AJ294" s="1393" t="str">
        <f>+IF(V294="","",IF(V294&gt;=[15]PARÁMETROS!$F$5,"CUMPLE","NO CUMPLE"))</f>
        <v>CUMPLE</v>
      </c>
      <c r="AK294" s="96"/>
    </row>
    <row r="295" spans="1:37" ht="90">
      <c r="A295" s="1615"/>
      <c r="B295" s="1510"/>
      <c r="C295" s="19" t="s">
        <v>289</v>
      </c>
      <c r="D295" s="170">
        <v>87</v>
      </c>
      <c r="E295" s="21" t="s">
        <v>2121</v>
      </c>
      <c r="F295" s="560" t="s">
        <v>155</v>
      </c>
      <c r="G295" s="561" t="s">
        <v>532</v>
      </c>
      <c r="H295" s="1388" t="s">
        <v>22</v>
      </c>
      <c r="I295" s="1388" t="s">
        <v>22</v>
      </c>
      <c r="J295" s="562">
        <v>1</v>
      </c>
      <c r="K295" s="563">
        <v>38658</v>
      </c>
      <c r="L295" s="563">
        <v>39813</v>
      </c>
      <c r="M295" s="26">
        <f t="shared" si="31"/>
        <v>2008</v>
      </c>
      <c r="N295" s="27">
        <f>+IFERROR(INDEX([15]PARÁMETROS!$B$11:$B$37,MATCH(M295,[15]PARÁMETROS!$A$11:$A$37,0)),"")</f>
        <v>461500</v>
      </c>
      <c r="O295" s="28">
        <v>2904906735</v>
      </c>
      <c r="P295" s="29" t="str">
        <f t="shared" si="35"/>
        <v>COP</v>
      </c>
      <c r="Q295" s="19" t="s">
        <v>326</v>
      </c>
      <c r="R295" s="30" t="str">
        <f t="shared" si="36"/>
        <v>NA</v>
      </c>
      <c r="S295" s="31">
        <v>1</v>
      </c>
      <c r="T295" s="27">
        <f t="shared" si="32"/>
        <v>2904906735</v>
      </c>
      <c r="U295" s="16">
        <f t="shared" si="33"/>
        <v>6294.4891332611051</v>
      </c>
      <c r="V295" s="16">
        <f t="shared" si="34"/>
        <v>6294.4891332611051</v>
      </c>
      <c r="W295" s="26">
        <v>46</v>
      </c>
      <c r="X295" s="1496" t="s">
        <v>22</v>
      </c>
      <c r="Y295" s="1497"/>
      <c r="Z295" s="1498"/>
      <c r="AA295" s="1496" t="s">
        <v>22</v>
      </c>
      <c r="AB295" s="1497"/>
      <c r="AC295" s="1498"/>
      <c r="AD295" s="1496" t="s">
        <v>22</v>
      </c>
      <c r="AE295" s="1497"/>
      <c r="AF295" s="1498"/>
      <c r="AG295" s="1388" t="s">
        <v>22</v>
      </c>
      <c r="AH295" s="1485"/>
      <c r="AI295" s="1485"/>
      <c r="AJ295" s="1388" t="str">
        <f>+IF(V295="","",IF(V295&gt;=[15]PARÁMETROS!$F$5,"CUMPLE","NO CUMPLE"))</f>
        <v>CUMPLE</v>
      </c>
      <c r="AK295" s="97"/>
    </row>
    <row r="296" spans="1:37" ht="75">
      <c r="A296" s="1615"/>
      <c r="B296" s="1510"/>
      <c r="C296" s="19" t="s">
        <v>289</v>
      </c>
      <c r="D296" s="170">
        <v>98</v>
      </c>
      <c r="E296" s="21" t="s">
        <v>2121</v>
      </c>
      <c r="F296" s="560" t="s">
        <v>1005</v>
      </c>
      <c r="G296" s="561" t="s">
        <v>956</v>
      </c>
      <c r="H296" s="1388" t="s">
        <v>22</v>
      </c>
      <c r="I296" s="1388" t="s">
        <v>22</v>
      </c>
      <c r="J296" s="562">
        <v>0.33</v>
      </c>
      <c r="K296" s="563">
        <v>39792</v>
      </c>
      <c r="L296" s="563">
        <v>40977</v>
      </c>
      <c r="M296" s="26">
        <f t="shared" si="31"/>
        <v>2012</v>
      </c>
      <c r="N296" s="27">
        <f>+IFERROR(INDEX([15]PARÁMETROS!$B$11:$B$37,MATCH(M296,[15]PARÁMETROS!$A$11:$A$37,0)),"")</f>
        <v>566700</v>
      </c>
      <c r="O296" s="28">
        <v>4939884563</v>
      </c>
      <c r="P296" s="29" t="str">
        <f t="shared" si="35"/>
        <v>COP</v>
      </c>
      <c r="Q296" s="19" t="s">
        <v>326</v>
      </c>
      <c r="R296" s="30" t="str">
        <f t="shared" si="36"/>
        <v>NA</v>
      </c>
      <c r="S296" s="31">
        <v>1</v>
      </c>
      <c r="T296" s="27">
        <f t="shared" si="32"/>
        <v>4939884563</v>
      </c>
      <c r="U296" s="16">
        <f t="shared" si="33"/>
        <v>8716.9305858478911</v>
      </c>
      <c r="V296" s="16">
        <f>IFERROR(U296*J296,"")</f>
        <v>2876.5870933298042</v>
      </c>
      <c r="W296" s="26">
        <v>67</v>
      </c>
      <c r="X296" s="1496" t="s">
        <v>22</v>
      </c>
      <c r="Y296" s="1497"/>
      <c r="Z296" s="1498"/>
      <c r="AA296" s="1496" t="s">
        <v>22</v>
      </c>
      <c r="AB296" s="1497"/>
      <c r="AC296" s="1498"/>
      <c r="AD296" s="1496" t="s">
        <v>22</v>
      </c>
      <c r="AE296" s="1497"/>
      <c r="AF296" s="1498"/>
      <c r="AG296" s="1388" t="s">
        <v>22</v>
      </c>
      <c r="AH296" s="1485"/>
      <c r="AI296" s="1485"/>
      <c r="AJ296" s="1388" t="str">
        <f>+IF(V296="","",IF(V296&gt;=[15]PARÁMETROS!$F$5,"CUMPLE","NO CUMPLE"))</f>
        <v>CUMPLE</v>
      </c>
      <c r="AK296" s="121"/>
    </row>
    <row r="297" spans="1:37" ht="120">
      <c r="A297" s="1615"/>
      <c r="B297" s="1510"/>
      <c r="C297" s="19" t="s">
        <v>289</v>
      </c>
      <c r="D297" s="170">
        <v>121</v>
      </c>
      <c r="E297" s="21" t="s">
        <v>2121</v>
      </c>
      <c r="F297" s="564" t="s">
        <v>155</v>
      </c>
      <c r="G297" s="565" t="s">
        <v>769</v>
      </c>
      <c r="H297" s="1388" t="s">
        <v>22</v>
      </c>
      <c r="I297" s="1388" t="s">
        <v>22</v>
      </c>
      <c r="J297" s="566">
        <v>0.5</v>
      </c>
      <c r="K297" s="567">
        <v>39778</v>
      </c>
      <c r="L297" s="567">
        <v>41374</v>
      </c>
      <c r="M297" s="26">
        <f t="shared" si="31"/>
        <v>2013</v>
      </c>
      <c r="N297" s="27">
        <f>+IFERROR(INDEX([15]PARÁMETROS!$B$11:$B$37,MATCH(M297,[15]PARÁMETROS!$A$11:$A$37,0)),"")</f>
        <v>589500</v>
      </c>
      <c r="O297" s="29">
        <v>5413567912</v>
      </c>
      <c r="P297" s="29" t="str">
        <f t="shared" si="35"/>
        <v>COP</v>
      </c>
      <c r="Q297" s="29" t="s">
        <v>326</v>
      </c>
      <c r="R297" s="30" t="str">
        <f t="shared" si="36"/>
        <v>NA</v>
      </c>
      <c r="S297" s="31">
        <v>1</v>
      </c>
      <c r="T297" s="27">
        <f t="shared" si="32"/>
        <v>5413567912</v>
      </c>
      <c r="U297" s="16">
        <f t="shared" si="33"/>
        <v>9183.321309584393</v>
      </c>
      <c r="V297" s="16">
        <f t="shared" si="34"/>
        <v>4591.6606547921965</v>
      </c>
      <c r="W297" s="568">
        <v>66</v>
      </c>
      <c r="X297" s="1496" t="s">
        <v>22</v>
      </c>
      <c r="Y297" s="1497"/>
      <c r="Z297" s="1498"/>
      <c r="AA297" s="1496" t="s">
        <v>22</v>
      </c>
      <c r="AB297" s="1497"/>
      <c r="AC297" s="1498"/>
      <c r="AD297" s="1496" t="s">
        <v>22</v>
      </c>
      <c r="AE297" s="1497"/>
      <c r="AF297" s="1498"/>
      <c r="AG297" s="1388" t="s">
        <v>22</v>
      </c>
      <c r="AH297" s="1485"/>
      <c r="AI297" s="1485"/>
      <c r="AJ297" s="1388" t="str">
        <f>+IF(V297="","",IF(V297&gt;=[15]PARÁMETROS!$F$5,"CUMPLE","NO CUMPLE"))</f>
        <v>CUMPLE</v>
      </c>
      <c r="AK297" s="97"/>
    </row>
    <row r="298" spans="1:37" ht="45">
      <c r="A298" s="1615"/>
      <c r="B298" s="1510"/>
      <c r="C298" s="19" t="s">
        <v>289</v>
      </c>
      <c r="D298" s="170">
        <v>136</v>
      </c>
      <c r="E298" s="21" t="s">
        <v>2121</v>
      </c>
      <c r="F298" s="564" t="s">
        <v>155</v>
      </c>
      <c r="G298" s="565" t="s">
        <v>535</v>
      </c>
      <c r="H298" s="1388" t="s">
        <v>22</v>
      </c>
      <c r="I298" s="1388" t="s">
        <v>22</v>
      </c>
      <c r="J298" s="566">
        <v>1</v>
      </c>
      <c r="K298" s="567">
        <v>35171</v>
      </c>
      <c r="L298" s="567">
        <v>36083</v>
      </c>
      <c r="M298" s="26">
        <f t="shared" si="31"/>
        <v>1998</v>
      </c>
      <c r="N298" s="27">
        <f>+IFERROR(INDEX([15]PARÁMETROS!$B$11:$B$37,MATCH(M298,[15]PARÁMETROS!$A$11:$A$37,0)),"")</f>
        <v>203826</v>
      </c>
      <c r="O298" s="28">
        <v>1224631240</v>
      </c>
      <c r="P298" s="29" t="str">
        <f t="shared" si="35"/>
        <v>COP</v>
      </c>
      <c r="Q298" s="19" t="s">
        <v>326</v>
      </c>
      <c r="R298" s="30" t="str">
        <f t="shared" si="36"/>
        <v>NA</v>
      </c>
      <c r="S298" s="31">
        <v>1</v>
      </c>
      <c r="T298" s="27">
        <f>IF(S298&lt;&gt;"",O298*S298,"")</f>
        <v>1224631240</v>
      </c>
      <c r="U298" s="16">
        <f t="shared" si="33"/>
        <v>6008.218971083179</v>
      </c>
      <c r="V298" s="16">
        <f t="shared" si="34"/>
        <v>6008.218971083179</v>
      </c>
      <c r="W298" s="26">
        <v>12</v>
      </c>
      <c r="X298" s="1496" t="s">
        <v>22</v>
      </c>
      <c r="Y298" s="1497"/>
      <c r="Z298" s="1498"/>
      <c r="AA298" s="1496" t="s">
        <v>22</v>
      </c>
      <c r="AB298" s="1497"/>
      <c r="AC298" s="1498"/>
      <c r="AD298" s="1496" t="s">
        <v>22</v>
      </c>
      <c r="AE298" s="1497"/>
      <c r="AF298" s="1498"/>
      <c r="AG298" s="1388" t="s">
        <v>22</v>
      </c>
      <c r="AH298" s="1485"/>
      <c r="AI298" s="1485"/>
      <c r="AJ298" s="1388" t="str">
        <f>+IF(V298="","",IF(V298&gt;=[15]PARÁMETROS!$F$5,"CUMPLE","NO CUMPLE"))</f>
        <v>CUMPLE</v>
      </c>
      <c r="AK298" s="97"/>
    </row>
    <row r="299" spans="1:37" ht="105.75" thickBot="1">
      <c r="A299" s="1615"/>
      <c r="B299" s="1511"/>
      <c r="C299" s="99" t="s">
        <v>289</v>
      </c>
      <c r="D299" s="178">
        <v>144</v>
      </c>
      <c r="E299" s="101" t="s">
        <v>2121</v>
      </c>
      <c r="F299" s="569" t="s">
        <v>155</v>
      </c>
      <c r="G299" s="570" t="s">
        <v>959</v>
      </c>
      <c r="H299" s="1402" t="s">
        <v>22</v>
      </c>
      <c r="I299" s="1402" t="s">
        <v>22</v>
      </c>
      <c r="J299" s="571">
        <v>1</v>
      </c>
      <c r="K299" s="572">
        <v>38673</v>
      </c>
      <c r="L299" s="572">
        <v>39675</v>
      </c>
      <c r="M299" s="106">
        <f t="shared" si="31"/>
        <v>2008</v>
      </c>
      <c r="N299" s="107">
        <f>+IFERROR(INDEX([15]PARÁMETROS!$B$11:$B$37,MATCH(M299,[15]PARÁMETROS!$A$11:$A$37,0)),"")</f>
        <v>461500</v>
      </c>
      <c r="O299" s="329">
        <v>2205036734</v>
      </c>
      <c r="P299" s="330" t="str">
        <f t="shared" si="35"/>
        <v>COP</v>
      </c>
      <c r="Q299" s="99" t="s">
        <v>326</v>
      </c>
      <c r="R299" s="110" t="str">
        <f t="shared" si="36"/>
        <v>NA</v>
      </c>
      <c r="S299" s="111">
        <v>1</v>
      </c>
      <c r="T299" s="107">
        <f t="shared" si="32"/>
        <v>2205036734</v>
      </c>
      <c r="U299" s="112">
        <f>+IFERROR(T299/N299,"")</f>
        <v>4777.9777551462621</v>
      </c>
      <c r="V299" s="112">
        <f t="shared" si="34"/>
        <v>4777.9777551462621</v>
      </c>
      <c r="W299" s="106">
        <v>48</v>
      </c>
      <c r="X299" s="1493" t="s">
        <v>22</v>
      </c>
      <c r="Y299" s="1494"/>
      <c r="Z299" s="1495"/>
      <c r="AA299" s="1493" t="s">
        <v>22</v>
      </c>
      <c r="AB299" s="1494"/>
      <c r="AC299" s="1495"/>
      <c r="AD299" s="1493" t="s">
        <v>22</v>
      </c>
      <c r="AE299" s="1494"/>
      <c r="AF299" s="1495"/>
      <c r="AG299" s="1402" t="s">
        <v>22</v>
      </c>
      <c r="AH299" s="1486"/>
      <c r="AI299" s="1486"/>
      <c r="AJ299" s="1392" t="str">
        <f>+IF(V299="","",IF(V299&gt;=[15]PARÁMETROS!$F$5,"CUMPLE","NO CUMPLE"))</f>
        <v>CUMPLE</v>
      </c>
      <c r="AK299" s="113"/>
    </row>
    <row r="300" spans="1:37" ht="128.25">
      <c r="A300" s="1615"/>
      <c r="B300" s="1509" t="s">
        <v>2122</v>
      </c>
      <c r="C300" s="81" t="s">
        <v>310</v>
      </c>
      <c r="D300" s="169">
        <v>179</v>
      </c>
      <c r="E300" s="83" t="s">
        <v>508</v>
      </c>
      <c r="F300" s="95" t="s">
        <v>2123</v>
      </c>
      <c r="G300" s="85" t="s">
        <v>2124</v>
      </c>
      <c r="H300" s="1393" t="s">
        <v>22</v>
      </c>
      <c r="I300" s="1400" t="s">
        <v>22</v>
      </c>
      <c r="J300" s="86">
        <v>1</v>
      </c>
      <c r="K300" s="87">
        <v>38733</v>
      </c>
      <c r="L300" s="87">
        <v>39254</v>
      </c>
      <c r="M300" s="88">
        <f t="shared" si="31"/>
        <v>2007</v>
      </c>
      <c r="N300" s="89">
        <f>+IFERROR(INDEX([15]PARÁMETROS!$B$11:$B$37,MATCH(M300,[15]PARÁMETROS!$A$11:$A$37,0)),"")</f>
        <v>433700</v>
      </c>
      <c r="O300" s="90">
        <v>465430.5</v>
      </c>
      <c r="P300" s="91" t="s">
        <v>222</v>
      </c>
      <c r="Q300" s="81">
        <v>1.3425</v>
      </c>
      <c r="R300" s="92">
        <f>+(O300*Q300)</f>
        <v>624840.44625000004</v>
      </c>
      <c r="S300" s="93">
        <v>1905.13</v>
      </c>
      <c r="T300" s="89">
        <f>IF(S300&lt;&gt;"",R300*S300,"")</f>
        <v>1190402279.3642626</v>
      </c>
      <c r="U300" s="94">
        <f>+IFERROR(T300/N300,"")</f>
        <v>2744.7596941763031</v>
      </c>
      <c r="V300" s="94">
        <f>IFERROR(U300*J300,"")</f>
        <v>2744.7596941763031</v>
      </c>
      <c r="W300" s="94" t="s">
        <v>2125</v>
      </c>
      <c r="X300" s="1499"/>
      <c r="Y300" s="1500"/>
      <c r="Z300" s="1501"/>
      <c r="AA300" s="1499"/>
      <c r="AB300" s="1500"/>
      <c r="AC300" s="1501"/>
      <c r="AD300" s="1499"/>
      <c r="AE300" s="1500"/>
      <c r="AF300" s="1501"/>
      <c r="AG300" s="1393"/>
      <c r="AH300" s="1484" t="str">
        <f>IF(V300:V305="","",IF(SUM(V300:V305)&gt;=[15]PARÁMETROS!$H$5,"HÁBIL","NO HÁBIL"))</f>
        <v>HÁBIL</v>
      </c>
      <c r="AI300" s="1484" t="str">
        <f>IF(V300="","",IF(V300+V301+V302+V303&gt;=[15]PARÁMETROS!$F$5,"HÁBIL","NO HÁBIL"))</f>
        <v>HÁBIL</v>
      </c>
      <c r="AJ300" s="1393" t="str">
        <f>+IF(V300="","",IF(V300&gt;=[15]PARÁMETROS!$F$5,"CUMPLE","NO CUMPLE"))</f>
        <v>CUMPLE</v>
      </c>
      <c r="AK300" s="469"/>
    </row>
    <row r="301" spans="1:37" ht="128.25">
      <c r="A301" s="1615"/>
      <c r="B301" s="1510"/>
      <c r="C301" s="19" t="s">
        <v>310</v>
      </c>
      <c r="D301" s="170">
        <v>188</v>
      </c>
      <c r="E301" s="21" t="s">
        <v>508</v>
      </c>
      <c r="F301" s="32" t="s">
        <v>2123</v>
      </c>
      <c r="G301" s="23" t="s">
        <v>2126</v>
      </c>
      <c r="H301" s="1388" t="s">
        <v>22</v>
      </c>
      <c r="I301" s="1388" t="s">
        <v>22</v>
      </c>
      <c r="J301" s="24">
        <v>1</v>
      </c>
      <c r="K301" s="25">
        <v>39839</v>
      </c>
      <c r="L301" s="25">
        <v>40339</v>
      </c>
      <c r="M301" s="26">
        <f t="shared" si="31"/>
        <v>2010</v>
      </c>
      <c r="N301" s="27">
        <f>+IFERROR(INDEX([15]PARÁMETROS!$B$11:$B$37,MATCH(M301,[15]PARÁMETROS!$A$11:$A$37,0)),"")</f>
        <v>515000</v>
      </c>
      <c r="O301" s="28">
        <v>864969.84</v>
      </c>
      <c r="P301" s="29" t="str">
        <f>+P300</f>
        <v>EUROS</v>
      </c>
      <c r="Q301" s="19">
        <v>1.1988799999999999</v>
      </c>
      <c r="R301" s="30">
        <f>+(O301*Q301)</f>
        <v>1036995.0417792</v>
      </c>
      <c r="S301" s="31">
        <v>1943</v>
      </c>
      <c r="T301" s="27">
        <f>IF(S301&lt;&gt;"",R301*S301,"")</f>
        <v>2014881366.1769855</v>
      </c>
      <c r="U301" s="16">
        <f>+IFERROR(T301/N301,"")</f>
        <v>3912.3910022854088</v>
      </c>
      <c r="V301" s="16">
        <f t="shared" si="34"/>
        <v>3912.3910022854088</v>
      </c>
      <c r="W301" s="16" t="s">
        <v>2125</v>
      </c>
      <c r="X301" s="1496"/>
      <c r="Y301" s="1497"/>
      <c r="Z301" s="1498"/>
      <c r="AA301" s="1496"/>
      <c r="AB301" s="1497"/>
      <c r="AC301" s="1498"/>
      <c r="AD301" s="1496"/>
      <c r="AE301" s="1497"/>
      <c r="AF301" s="1498"/>
      <c r="AG301" s="1419"/>
      <c r="AH301" s="1485"/>
      <c r="AI301" s="1485"/>
      <c r="AJ301" s="1388" t="str">
        <f>+IF(V301="","",IF(V301&gt;=[15]PARÁMETROS!$F$5,"CUMPLE","NO CUMPLE"))</f>
        <v>CUMPLE</v>
      </c>
      <c r="AK301" s="97"/>
    </row>
    <row r="302" spans="1:37" ht="128.25">
      <c r="A302" s="1615"/>
      <c r="B302" s="1510"/>
      <c r="C302" s="19" t="s">
        <v>310</v>
      </c>
      <c r="D302" s="170">
        <v>197</v>
      </c>
      <c r="E302" s="21" t="s">
        <v>508</v>
      </c>
      <c r="F302" s="32" t="s">
        <v>2123</v>
      </c>
      <c r="G302" s="23" t="s">
        <v>2127</v>
      </c>
      <c r="H302" s="1388" t="s">
        <v>22</v>
      </c>
      <c r="I302" s="1388" t="s">
        <v>22</v>
      </c>
      <c r="J302" s="24">
        <v>1</v>
      </c>
      <c r="K302" s="25">
        <v>40400</v>
      </c>
      <c r="L302" s="25">
        <v>40753</v>
      </c>
      <c r="M302" s="26">
        <f t="shared" si="31"/>
        <v>2011</v>
      </c>
      <c r="N302" s="27">
        <f>+IFERROR(INDEX([15]PARÁMETROS!$B$11:$B$37,MATCH(M302,[15]PARÁMETROS!$A$11:$A$37,0)),"")</f>
        <v>535600</v>
      </c>
      <c r="O302" s="28">
        <v>655152.30000000005</v>
      </c>
      <c r="P302" s="29" t="str">
        <f>+P301</f>
        <v>EUROS</v>
      </c>
      <c r="Q302" s="19">
        <v>1.43323</v>
      </c>
      <c r="R302" s="30">
        <f>+(O302*Q302)</f>
        <v>938983.93092900002</v>
      </c>
      <c r="S302" s="31">
        <v>1771.15</v>
      </c>
      <c r="T302" s="27">
        <f>IF(S302&lt;&gt;"",R302*S302,"")</f>
        <v>1663081389.2648985</v>
      </c>
      <c r="U302" s="16">
        <f>+IFERROR(T302/N302,"")</f>
        <v>3105.0810105767337</v>
      </c>
      <c r="V302" s="16">
        <f t="shared" si="34"/>
        <v>3105.0810105767337</v>
      </c>
      <c r="W302" s="16" t="s">
        <v>2125</v>
      </c>
      <c r="X302" s="1496"/>
      <c r="Y302" s="1497"/>
      <c r="Z302" s="1498"/>
      <c r="AA302" s="1496"/>
      <c r="AB302" s="1497"/>
      <c r="AC302" s="1498"/>
      <c r="AD302" s="1496"/>
      <c r="AE302" s="1497"/>
      <c r="AF302" s="1498"/>
      <c r="AG302" s="1388"/>
      <c r="AH302" s="1485"/>
      <c r="AI302" s="1485"/>
      <c r="AJ302" s="1388" t="str">
        <f>+IF(V302="","",IF(V302&gt;=[15]PARÁMETROS!$F$5,"CUMPLE","NO CUMPLE"))</f>
        <v>CUMPLE</v>
      </c>
      <c r="AK302" s="97"/>
    </row>
    <row r="303" spans="1:37" ht="128.25">
      <c r="A303" s="1615"/>
      <c r="B303" s="1510"/>
      <c r="C303" s="19" t="s">
        <v>310</v>
      </c>
      <c r="D303" s="170">
        <v>206</v>
      </c>
      <c r="E303" s="21" t="s">
        <v>508</v>
      </c>
      <c r="F303" s="32" t="s">
        <v>2123</v>
      </c>
      <c r="G303" s="23" t="s">
        <v>2128</v>
      </c>
      <c r="H303" s="1388" t="s">
        <v>22</v>
      </c>
      <c r="I303" s="1388" t="s">
        <v>22</v>
      </c>
      <c r="J303" s="24">
        <v>1</v>
      </c>
      <c r="K303" s="25">
        <v>37572</v>
      </c>
      <c r="L303" s="25">
        <v>38330</v>
      </c>
      <c r="M303" s="26">
        <f t="shared" si="31"/>
        <v>2004</v>
      </c>
      <c r="N303" s="27">
        <f>+IFERROR(INDEX([15]PARÁMETROS!$B$11:$B$37,MATCH(M303,[15]PARÁMETROS!$A$11:$A$37,0)),"")</f>
        <v>358000</v>
      </c>
      <c r="O303" s="28">
        <v>610050.4</v>
      </c>
      <c r="P303" s="29" t="str">
        <f>+P302</f>
        <v>EUROS</v>
      </c>
      <c r="Q303" s="19">
        <v>1.29247</v>
      </c>
      <c r="R303" s="30">
        <f>+(O303*Q303)</f>
        <v>788471.84048800007</v>
      </c>
      <c r="S303" s="31">
        <v>2455.12</v>
      </c>
      <c r="T303" s="27">
        <f>IF(S303&lt;&gt;"",R303*S303,"")</f>
        <v>1935792985.0188987</v>
      </c>
      <c r="U303" s="16">
        <f>+IFERROR(T303/N303,"")</f>
        <v>5407.2429749131252</v>
      </c>
      <c r="V303" s="16">
        <f t="shared" si="34"/>
        <v>5407.2429749131252</v>
      </c>
      <c r="W303" s="16" t="s">
        <v>2125</v>
      </c>
      <c r="X303" s="1496"/>
      <c r="Y303" s="1497"/>
      <c r="Z303" s="1498"/>
      <c r="AA303" s="1496"/>
      <c r="AB303" s="1497"/>
      <c r="AC303" s="1498"/>
      <c r="AD303" s="1496"/>
      <c r="AE303" s="1497"/>
      <c r="AF303" s="1498"/>
      <c r="AG303" s="1388"/>
      <c r="AH303" s="1485"/>
      <c r="AI303" s="1485"/>
      <c r="AJ303" s="1388" t="str">
        <f>+IF(V303="","",IF(V303&gt;=[15]PARÁMETROS!$F$5,"CUMPLE","NO CUMPLE"))</f>
        <v>CUMPLE</v>
      </c>
      <c r="AK303" s="97"/>
    </row>
    <row r="304" spans="1:37" ht="114">
      <c r="A304" s="1615"/>
      <c r="B304" s="1510"/>
      <c r="C304" s="19" t="s">
        <v>314</v>
      </c>
      <c r="D304" s="170">
        <v>210</v>
      </c>
      <c r="E304" s="21" t="s">
        <v>146</v>
      </c>
      <c r="F304" s="22" t="s">
        <v>1005</v>
      </c>
      <c r="G304" s="23" t="s">
        <v>2129</v>
      </c>
      <c r="H304" s="1388" t="s">
        <v>22</v>
      </c>
      <c r="I304" s="1388" t="s">
        <v>22</v>
      </c>
      <c r="J304" s="24">
        <v>0.6</v>
      </c>
      <c r="K304" s="25">
        <v>41649</v>
      </c>
      <c r="L304" s="25">
        <v>42417</v>
      </c>
      <c r="M304" s="26">
        <f t="shared" si="31"/>
        <v>2016</v>
      </c>
      <c r="N304" s="27">
        <f>+IFERROR(INDEX([15]PARÁMETROS!$B$11:$B$37,MATCH(M304,[15]PARÁMETROS!$A$11:$A$37,0)),"")</f>
        <v>689554</v>
      </c>
      <c r="O304" s="28">
        <v>7329927363</v>
      </c>
      <c r="P304" s="29" t="s">
        <v>151</v>
      </c>
      <c r="Q304" s="19" t="s">
        <v>326</v>
      </c>
      <c r="R304" s="30" t="s">
        <v>326</v>
      </c>
      <c r="S304" s="573">
        <v>1</v>
      </c>
      <c r="T304" s="27">
        <f t="shared" si="32"/>
        <v>7329927363</v>
      </c>
      <c r="U304" s="16">
        <f t="shared" si="33"/>
        <v>10629.954090615092</v>
      </c>
      <c r="V304" s="16">
        <f t="shared" si="34"/>
        <v>6377.9724543690554</v>
      </c>
      <c r="W304" s="16" t="s">
        <v>2103</v>
      </c>
      <c r="X304" s="1496"/>
      <c r="Y304" s="1497"/>
      <c r="Z304" s="1498"/>
      <c r="AA304" s="1496"/>
      <c r="AB304" s="1497"/>
      <c r="AC304" s="1498"/>
      <c r="AD304" s="1496"/>
      <c r="AE304" s="1497"/>
      <c r="AF304" s="1498"/>
      <c r="AG304" s="1388"/>
      <c r="AH304" s="1485"/>
      <c r="AI304" s="1485"/>
      <c r="AJ304" s="1388" t="str">
        <f>+IF(V304="","",IF(V304&gt;=[15]PARÁMETROS!$F$5,"CUMPLE","NO CUMPLE"))</f>
        <v>CUMPLE</v>
      </c>
      <c r="AK304" s="97"/>
    </row>
    <row r="305" spans="1:37" ht="57.75" thickBot="1">
      <c r="A305" s="1615"/>
      <c r="B305" s="1511"/>
      <c r="C305" s="99" t="s">
        <v>314</v>
      </c>
      <c r="D305" s="178">
        <v>213</v>
      </c>
      <c r="E305" s="101" t="s">
        <v>146</v>
      </c>
      <c r="F305" s="225" t="s">
        <v>1243</v>
      </c>
      <c r="G305" s="103" t="s">
        <v>2130</v>
      </c>
      <c r="H305" s="1392" t="s">
        <v>22</v>
      </c>
      <c r="I305" s="1402" t="s">
        <v>22</v>
      </c>
      <c r="J305" s="104">
        <v>0.55000000000000004</v>
      </c>
      <c r="K305" s="105">
        <v>39860</v>
      </c>
      <c r="L305" s="105">
        <v>41213</v>
      </c>
      <c r="M305" s="106">
        <f t="shared" si="31"/>
        <v>2012</v>
      </c>
      <c r="N305" s="107">
        <f>+IFERROR(INDEX([15]PARÁMETROS!$B$11:$B$37,MATCH(M305,[15]PARÁMETROS!$A$11:$A$37,0)),"")</f>
        <v>566700</v>
      </c>
      <c r="O305" s="108">
        <v>8291206645</v>
      </c>
      <c r="P305" s="109" t="s">
        <v>151</v>
      </c>
      <c r="Q305" s="99" t="s">
        <v>326</v>
      </c>
      <c r="R305" s="110" t="s">
        <v>326</v>
      </c>
      <c r="S305" s="574">
        <v>1</v>
      </c>
      <c r="T305" s="107">
        <f>IF(S305&lt;&gt;"",O305*S305,"")</f>
        <v>8291206645</v>
      </c>
      <c r="U305" s="112">
        <f>+IFERROR(T305/N305,"")</f>
        <v>14630.680509970001</v>
      </c>
      <c r="V305" s="112">
        <f>IFERROR(U305*J305,"")</f>
        <v>8046.874280483501</v>
      </c>
      <c r="W305" s="106">
        <v>7</v>
      </c>
      <c r="X305" s="1493" t="s">
        <v>22</v>
      </c>
      <c r="Y305" s="1494"/>
      <c r="Z305" s="1495"/>
      <c r="AA305" s="1493" t="s">
        <v>22</v>
      </c>
      <c r="AB305" s="1494"/>
      <c r="AC305" s="1495"/>
      <c r="AD305" s="1493" t="s">
        <v>22</v>
      </c>
      <c r="AE305" s="1494"/>
      <c r="AF305" s="1495"/>
      <c r="AG305" s="1402" t="s">
        <v>22</v>
      </c>
      <c r="AH305" s="1486"/>
      <c r="AI305" s="1486"/>
      <c r="AJ305" s="1392" t="str">
        <f>+IF(V305="","",IF(V305&gt;=[15]PARÁMETROS!$F$5,"CUMPLE","NO CUMPLE"))</f>
        <v>CUMPLE</v>
      </c>
      <c r="AK305" s="113"/>
    </row>
    <row r="306" spans="1:37" ht="63">
      <c r="A306" s="1615"/>
      <c r="B306" s="1509" t="s">
        <v>2131</v>
      </c>
      <c r="C306" s="81" t="s">
        <v>318</v>
      </c>
      <c r="D306" s="169">
        <v>171</v>
      </c>
      <c r="E306" s="83" t="s">
        <v>815</v>
      </c>
      <c r="F306" s="95" t="s">
        <v>2132</v>
      </c>
      <c r="G306" s="85" t="s">
        <v>2133</v>
      </c>
      <c r="H306" s="1393" t="s">
        <v>22</v>
      </c>
      <c r="I306" s="1393" t="s">
        <v>22</v>
      </c>
      <c r="J306" s="86">
        <v>1</v>
      </c>
      <c r="K306" s="87">
        <v>38049</v>
      </c>
      <c r="L306" s="87">
        <v>40545</v>
      </c>
      <c r="M306" s="88">
        <f t="shared" si="31"/>
        <v>2011</v>
      </c>
      <c r="N306" s="89">
        <f>+IFERROR(INDEX([15]PARÁMETROS!$B$11:$B$37,MATCH(M306,[15]PARÁMETROS!$A$11:$A$37,0)),"")</f>
        <v>535600</v>
      </c>
      <c r="O306" s="90">
        <v>4478229438</v>
      </c>
      <c r="P306" s="91" t="s">
        <v>174</v>
      </c>
      <c r="Q306" s="81">
        <v>2.1199999999999999E-3</v>
      </c>
      <c r="R306" s="92">
        <f>+O306*Q306</f>
        <v>9493846.4085600004</v>
      </c>
      <c r="S306" s="93">
        <v>1913.98</v>
      </c>
      <c r="T306" s="89">
        <f>IF(S306&lt;&gt;"",R306*S306,"")</f>
        <v>18171032149.055668</v>
      </c>
      <c r="U306" s="94">
        <f>+IFERROR(T306/N306,"")</f>
        <v>33926.497664405651</v>
      </c>
      <c r="V306" s="94">
        <f t="shared" si="34"/>
        <v>33926.497664405651</v>
      </c>
      <c r="W306" s="88">
        <v>1</v>
      </c>
      <c r="X306" s="1499" t="s">
        <v>22</v>
      </c>
      <c r="Y306" s="1500"/>
      <c r="Z306" s="1501"/>
      <c r="AA306" s="1499" t="s">
        <v>22</v>
      </c>
      <c r="AB306" s="1500"/>
      <c r="AC306" s="1501"/>
      <c r="AD306" s="1499" t="s">
        <v>22</v>
      </c>
      <c r="AE306" s="1500"/>
      <c r="AF306" s="1501"/>
      <c r="AG306" s="1400" t="s">
        <v>22</v>
      </c>
      <c r="AH306" s="1484" t="str">
        <f>IF(V306:V309="","",IF(SUM(V306:V309)&gt;=[15]PARÁMETROS!$H$5,"HÁBIL","NO HÁBIL"))</f>
        <v>HÁBIL</v>
      </c>
      <c r="AI306" s="1484" t="str">
        <f>IF(V306="","",IF(V306&gt;=[15]PARÁMETROS!$F$5,"HÁBIL","NO HÁBIL"))</f>
        <v>HÁBIL</v>
      </c>
      <c r="AJ306" s="1393" t="str">
        <f>+IF(V306="","",IF(V306&gt;=[15]PARÁMETROS!$F$5,"CUMPLE","NO CUMPLE"))</f>
        <v>CUMPLE</v>
      </c>
      <c r="AK306" s="96"/>
    </row>
    <row r="307" spans="1:37" ht="63">
      <c r="A307" s="1615"/>
      <c r="B307" s="1510"/>
      <c r="C307" s="19" t="s">
        <v>318</v>
      </c>
      <c r="D307" s="170">
        <v>184</v>
      </c>
      <c r="E307" s="21" t="s">
        <v>815</v>
      </c>
      <c r="F307" s="32" t="s">
        <v>2132</v>
      </c>
      <c r="G307" s="23" t="s">
        <v>2134</v>
      </c>
      <c r="H307" s="1388" t="s">
        <v>22</v>
      </c>
      <c r="I307" s="1388" t="s">
        <v>22</v>
      </c>
      <c r="J307" s="24">
        <v>0.25</v>
      </c>
      <c r="K307" s="25">
        <v>36363</v>
      </c>
      <c r="L307" s="25">
        <v>37843</v>
      </c>
      <c r="M307" s="26">
        <f t="shared" si="31"/>
        <v>2003</v>
      </c>
      <c r="N307" s="27">
        <f>+IFERROR(INDEX([15]PARÁMETROS!$B$11:$B$37,MATCH(M307,[15]PARÁMETROS!$A$11:$A$37,0)),"")</f>
        <v>332000</v>
      </c>
      <c r="O307" s="28">
        <v>6541364.1500000004</v>
      </c>
      <c r="P307" s="29" t="s">
        <v>179</v>
      </c>
      <c r="Q307" s="19"/>
      <c r="R307" s="30"/>
      <c r="S307" s="31">
        <v>2875.18</v>
      </c>
      <c r="T307" s="27">
        <f>IF(S307&lt;&gt;"",O307*S307,"")</f>
        <v>18807599376.797001</v>
      </c>
      <c r="U307" s="16">
        <f>+IFERROR(T307/N307,"")</f>
        <v>56649.395713243975</v>
      </c>
      <c r="V307" s="16">
        <f>IFERROR(U307*J307,"")</f>
        <v>14162.348928310994</v>
      </c>
      <c r="W307" s="26">
        <v>3</v>
      </c>
      <c r="X307" s="1496" t="s">
        <v>22</v>
      </c>
      <c r="Y307" s="1497"/>
      <c r="Z307" s="1498"/>
      <c r="AA307" s="1496" t="s">
        <v>22</v>
      </c>
      <c r="AB307" s="1497"/>
      <c r="AC307" s="1498"/>
      <c r="AD307" s="1496" t="s">
        <v>22</v>
      </c>
      <c r="AE307" s="1497"/>
      <c r="AF307" s="1498"/>
      <c r="AG307" s="1388" t="s">
        <v>22</v>
      </c>
      <c r="AH307" s="1485"/>
      <c r="AI307" s="1485"/>
      <c r="AJ307" s="1388" t="str">
        <f>+IF(V307="","",IF(V307&gt;=[15]PARÁMETROS!$F$5,"CUMPLE","NO CUMPLE"))</f>
        <v>CUMPLE</v>
      </c>
      <c r="AK307" s="97"/>
    </row>
    <row r="308" spans="1:37" ht="57">
      <c r="A308" s="1615"/>
      <c r="B308" s="1510"/>
      <c r="C308" s="19" t="s">
        <v>327</v>
      </c>
      <c r="D308" s="170">
        <v>192</v>
      </c>
      <c r="E308" s="21" t="s">
        <v>2135</v>
      </c>
      <c r="F308" s="32" t="s">
        <v>182</v>
      </c>
      <c r="G308" s="23" t="s">
        <v>2136</v>
      </c>
      <c r="H308" s="1388" t="s">
        <v>22</v>
      </c>
      <c r="I308" s="1388" t="s">
        <v>22</v>
      </c>
      <c r="J308" s="24">
        <v>0.4</v>
      </c>
      <c r="K308" s="25">
        <v>37377</v>
      </c>
      <c r="L308" s="25">
        <v>39994</v>
      </c>
      <c r="M308" s="26">
        <f t="shared" si="31"/>
        <v>2009</v>
      </c>
      <c r="N308" s="27">
        <f>+IFERROR(INDEX([15]PARÁMETROS!$B$11:$B$37,MATCH(M308,[15]PARÁMETROS!$A$11:$A$37,0)),"")</f>
        <v>496900</v>
      </c>
      <c r="O308" s="28">
        <v>5809824</v>
      </c>
      <c r="P308" s="29" t="s">
        <v>1727</v>
      </c>
      <c r="Q308" s="19">
        <v>1.40466</v>
      </c>
      <c r="R308" s="30">
        <f>+O308*Q308</f>
        <v>8160827.3798400005</v>
      </c>
      <c r="S308" s="31">
        <v>2158.67</v>
      </c>
      <c r="T308" s="27">
        <f>IF(S308&lt;&gt;"",R308*S308,"")</f>
        <v>17616533240.039215</v>
      </c>
      <c r="U308" s="16">
        <f>+IFERROR(T308/N308,"")</f>
        <v>35452.874300743038</v>
      </c>
      <c r="V308" s="16">
        <f>IFERROR(U308*J308,"")</f>
        <v>14181.149720297217</v>
      </c>
      <c r="W308" s="26">
        <v>16</v>
      </c>
      <c r="X308" s="1496" t="s">
        <v>22</v>
      </c>
      <c r="Y308" s="1497"/>
      <c r="Z308" s="1498"/>
      <c r="AA308" s="1496" t="s">
        <v>22</v>
      </c>
      <c r="AB308" s="1497"/>
      <c r="AC308" s="1498"/>
      <c r="AD308" s="1496" t="s">
        <v>22</v>
      </c>
      <c r="AE308" s="1497"/>
      <c r="AF308" s="1498"/>
      <c r="AG308" s="1388" t="s">
        <v>22</v>
      </c>
      <c r="AH308" s="1485"/>
      <c r="AI308" s="1485"/>
      <c r="AJ308" s="1388" t="str">
        <f>+IF(V308="","",IF(V308&gt;=[15]PARÁMETROS!$F$5,"CUMPLE","NO CUMPLE"))</f>
        <v>CUMPLE</v>
      </c>
      <c r="AK308" s="97"/>
    </row>
    <row r="309" spans="1:37" ht="72" thickBot="1">
      <c r="A309" s="1615"/>
      <c r="B309" s="1511"/>
      <c r="C309" s="99" t="s">
        <v>327</v>
      </c>
      <c r="D309" s="178">
        <v>199</v>
      </c>
      <c r="E309" s="101" t="s">
        <v>2135</v>
      </c>
      <c r="F309" s="575" t="s">
        <v>182</v>
      </c>
      <c r="G309" s="367" t="s">
        <v>2137</v>
      </c>
      <c r="H309" s="1392" t="s">
        <v>22</v>
      </c>
      <c r="I309" s="1392" t="s">
        <v>22</v>
      </c>
      <c r="J309" s="368">
        <v>0.35</v>
      </c>
      <c r="K309" s="576">
        <v>37518</v>
      </c>
      <c r="L309" s="576">
        <v>40025</v>
      </c>
      <c r="M309" s="106">
        <f t="shared" si="31"/>
        <v>2009</v>
      </c>
      <c r="N309" s="107">
        <f>+IFERROR(INDEX([15]PARÁMETROS!$B$11:$B$37,MATCH(M309,[15]PARÁMETROS!$A$11:$A$37,0)),"")</f>
        <v>496900</v>
      </c>
      <c r="O309" s="577">
        <v>5822747.0499999998</v>
      </c>
      <c r="P309" s="371" t="str">
        <f>+P308</f>
        <v>EURO</v>
      </c>
      <c r="Q309" s="99">
        <v>1.4059299999999999</v>
      </c>
      <c r="R309" s="110">
        <f>+O309*Q309</f>
        <v>8186374.7600064995</v>
      </c>
      <c r="S309" s="111">
        <v>2043.37</v>
      </c>
      <c r="T309" s="107">
        <f>IF(S309&lt;&gt;"",R309*S309,"")</f>
        <v>16727792593.354481</v>
      </c>
      <c r="U309" s="112">
        <f t="shared" si="33"/>
        <v>33664.30387070735</v>
      </c>
      <c r="V309" s="112">
        <f t="shared" si="34"/>
        <v>11782.506354747571</v>
      </c>
      <c r="W309" s="106">
        <v>5</v>
      </c>
      <c r="X309" s="1493" t="s">
        <v>22</v>
      </c>
      <c r="Y309" s="1494"/>
      <c r="Z309" s="1495"/>
      <c r="AA309" s="1493" t="s">
        <v>22</v>
      </c>
      <c r="AB309" s="1494"/>
      <c r="AC309" s="1495"/>
      <c r="AD309" s="1493" t="s">
        <v>22</v>
      </c>
      <c r="AE309" s="1494"/>
      <c r="AF309" s="1495"/>
      <c r="AG309" s="1402" t="s">
        <v>22</v>
      </c>
      <c r="AH309" s="1486"/>
      <c r="AI309" s="1486"/>
      <c r="AJ309" s="1392" t="str">
        <f>+IF(V309="","",IF(V309&gt;=[15]PARÁMETROS!$F$5,"CUMPLE","NO CUMPLE"))</f>
        <v>CUMPLE</v>
      </c>
      <c r="AK309" s="124"/>
    </row>
    <row r="310" spans="1:37" ht="57">
      <c r="A310" s="1615"/>
      <c r="B310" s="1624" t="s">
        <v>2138</v>
      </c>
      <c r="C310" s="918" t="s">
        <v>329</v>
      </c>
      <c r="D310" s="82">
        <v>130</v>
      </c>
      <c r="E310" s="83" t="s">
        <v>1099</v>
      </c>
      <c r="F310" s="84" t="s">
        <v>2139</v>
      </c>
      <c r="G310" s="85" t="s">
        <v>2140</v>
      </c>
      <c r="H310" s="1393" t="s">
        <v>22</v>
      </c>
      <c r="I310" s="1393" t="s">
        <v>22</v>
      </c>
      <c r="J310" s="86">
        <v>0.4</v>
      </c>
      <c r="K310" s="87">
        <v>37432</v>
      </c>
      <c r="L310" s="87">
        <v>38216</v>
      </c>
      <c r="M310" s="88">
        <f>IF(L310="","",YEAR(L310))</f>
        <v>2004</v>
      </c>
      <c r="N310" s="89">
        <f>+IFERROR(INDEX([16]PARÁMETROS!$B$11:$B$37,MATCH(M310,[16]PARÁMETROS!$A$11:$A$37,0)),"")</f>
        <v>358000</v>
      </c>
      <c r="O310" s="90">
        <v>2083130366</v>
      </c>
      <c r="P310" s="91" t="s">
        <v>151</v>
      </c>
      <c r="Q310" s="81" t="s">
        <v>326</v>
      </c>
      <c r="R310" s="92" t="s">
        <v>326</v>
      </c>
      <c r="S310" s="93">
        <v>1</v>
      </c>
      <c r="T310" s="89">
        <f>IF(S310&lt;&gt;"",O310*S310,"")</f>
        <v>2083130366</v>
      </c>
      <c r="U310" s="94">
        <f>+IFERROR(T310/N310,"")</f>
        <v>5818.7999050279332</v>
      </c>
      <c r="V310" s="94">
        <f>IFERROR(U310*J310,"")</f>
        <v>2327.5199620111734</v>
      </c>
      <c r="W310" s="95">
        <v>5</v>
      </c>
      <c r="X310" s="1484" t="s">
        <v>22</v>
      </c>
      <c r="Y310" s="1484"/>
      <c r="Z310" s="1484"/>
      <c r="AA310" s="1484" t="s">
        <v>22</v>
      </c>
      <c r="AB310" s="1484"/>
      <c r="AC310" s="1484"/>
      <c r="AD310" s="1484" t="s">
        <v>22</v>
      </c>
      <c r="AE310" s="1484"/>
      <c r="AF310" s="1484"/>
      <c r="AG310" s="1393" t="s">
        <v>22</v>
      </c>
      <c r="AH310" s="1484" t="str">
        <f>IF(V310:V314="","",IF(SUM(V310:V314)&gt;=[16]PARÁMETROS!$D$5,"HÁBIL","NO HÁBIL"))</f>
        <v>HÁBIL</v>
      </c>
      <c r="AI310" s="1484" t="str">
        <f>IF(V310+V311="","",IF(V310+V311&gt;=[16]PARÁMETROS!$H$5,"HÁBIL","NO HÁBIL"))</f>
        <v>HÁBIL</v>
      </c>
      <c r="AJ310" s="1393" t="str">
        <f>+IF(V310="","",IF(V310&gt;=[16]PARÁMETROS!$F$5,"CUMPLE","NO CUMPLE"))</f>
        <v>CUMPLE</v>
      </c>
      <c r="AK310" s="96"/>
    </row>
    <row r="311" spans="1:37" ht="42.75">
      <c r="A311" s="1615"/>
      <c r="B311" s="1625"/>
      <c r="C311" s="1059" t="s">
        <v>329</v>
      </c>
      <c r="D311" s="20">
        <v>136</v>
      </c>
      <c r="E311" s="21" t="s">
        <v>1099</v>
      </c>
      <c r="F311" s="22" t="s">
        <v>1369</v>
      </c>
      <c r="G311" s="22" t="s">
        <v>2141</v>
      </c>
      <c r="H311" s="1388" t="s">
        <v>22</v>
      </c>
      <c r="I311" s="1388" t="s">
        <v>22</v>
      </c>
      <c r="J311" s="34">
        <v>0.51</v>
      </c>
      <c r="K311" s="25">
        <v>39114</v>
      </c>
      <c r="L311" s="25">
        <v>40116</v>
      </c>
      <c r="M311" s="26">
        <f t="shared" ref="M311:M339" si="37">IF(L311="","",YEAR(L311))</f>
        <v>2009</v>
      </c>
      <c r="N311" s="27">
        <f>+IFERROR(INDEX([16]PARÁMETROS!$B$11:$B$37,MATCH(M311,[16]PARÁMETROS!$A$11:$A$37,0)),"")</f>
        <v>496900</v>
      </c>
      <c r="O311" s="35">
        <v>2632793549</v>
      </c>
      <c r="P311" s="27" t="s">
        <v>151</v>
      </c>
      <c r="Q311" s="19" t="s">
        <v>326</v>
      </c>
      <c r="R311" s="30" t="s">
        <v>326</v>
      </c>
      <c r="S311" s="31">
        <v>1</v>
      </c>
      <c r="T311" s="27">
        <f>IF(S311&lt;&gt;"",O311*S311,"")</f>
        <v>2632793549</v>
      </c>
      <c r="U311" s="16">
        <f t="shared" ref="U311:U339" si="38">+IFERROR(T311/N311,"")</f>
        <v>5298.4374099416382</v>
      </c>
      <c r="V311" s="16">
        <f t="shared" ref="V311:V339" si="39">IFERROR(U311*J311,"")</f>
        <v>2702.2030790702356</v>
      </c>
      <c r="W311" s="32">
        <v>3</v>
      </c>
      <c r="X311" s="1485" t="s">
        <v>22</v>
      </c>
      <c r="Y311" s="1485"/>
      <c r="Z311" s="1485"/>
      <c r="AA311" s="1485" t="s">
        <v>22</v>
      </c>
      <c r="AB311" s="1485"/>
      <c r="AC311" s="1485"/>
      <c r="AD311" s="1485" t="s">
        <v>22</v>
      </c>
      <c r="AE311" s="1485"/>
      <c r="AF311" s="1485"/>
      <c r="AG311" s="1388" t="s">
        <v>22</v>
      </c>
      <c r="AH311" s="1485"/>
      <c r="AI311" s="1485"/>
      <c r="AJ311" s="1388" t="str">
        <f>+IF(V311="","",IF(V311&gt;=[16]PARÁMETROS!$F$5,"CUMPLE","NO CUMPLE"))</f>
        <v>CUMPLE</v>
      </c>
      <c r="AK311" s="97"/>
    </row>
    <row r="312" spans="1:37" ht="71.25">
      <c r="A312" s="1615"/>
      <c r="B312" s="1625"/>
      <c r="C312" s="1059" t="s">
        <v>338</v>
      </c>
      <c r="D312" s="20">
        <v>139</v>
      </c>
      <c r="E312" s="21" t="s">
        <v>2142</v>
      </c>
      <c r="F312" s="22" t="s">
        <v>2139</v>
      </c>
      <c r="G312" s="23" t="s">
        <v>2143</v>
      </c>
      <c r="H312" s="1388" t="s">
        <v>22</v>
      </c>
      <c r="I312" s="1388" t="s">
        <v>22</v>
      </c>
      <c r="J312" s="24">
        <v>1</v>
      </c>
      <c r="K312" s="25">
        <v>41686</v>
      </c>
      <c r="L312" s="25">
        <v>42160</v>
      </c>
      <c r="M312" s="26">
        <f t="shared" si="37"/>
        <v>2015</v>
      </c>
      <c r="N312" s="27">
        <f>+IFERROR(INDEX([16]PARÁMETROS!$B$11:$B$37,MATCH(M312,[16]PARÁMETROS!$A$11:$A$37,0)),"")</f>
        <v>644350</v>
      </c>
      <c r="O312" s="28">
        <v>1686799414</v>
      </c>
      <c r="P312" s="27" t="s">
        <v>151</v>
      </c>
      <c r="Q312" s="19" t="s">
        <v>326</v>
      </c>
      <c r="R312" s="30" t="s">
        <v>326</v>
      </c>
      <c r="S312" s="31">
        <v>1</v>
      </c>
      <c r="T312" s="27">
        <f t="shared" ref="T312:T339" si="40">IF(S312&lt;&gt;"",O312*S312,"")</f>
        <v>1686799414</v>
      </c>
      <c r="U312" s="16">
        <f t="shared" si="38"/>
        <v>2617.831014200357</v>
      </c>
      <c r="V312" s="16">
        <f t="shared" si="39"/>
        <v>2617.831014200357</v>
      </c>
      <c r="W312" s="32">
        <v>158</v>
      </c>
      <c r="X312" s="1485" t="s">
        <v>22</v>
      </c>
      <c r="Y312" s="1485"/>
      <c r="Z312" s="1485"/>
      <c r="AA312" s="1485" t="s">
        <v>22</v>
      </c>
      <c r="AB312" s="1485"/>
      <c r="AC312" s="1485"/>
      <c r="AD312" s="1485" t="s">
        <v>22</v>
      </c>
      <c r="AE312" s="1485"/>
      <c r="AF312" s="1485"/>
      <c r="AG312" s="1388" t="s">
        <v>22</v>
      </c>
      <c r="AH312" s="1485"/>
      <c r="AI312" s="1485"/>
      <c r="AJ312" s="1388" t="str">
        <f>+IF(V312="","",IF(V312&gt;=[16]PARÁMETROS!$F$5,"CUMPLE","NO CUMPLE"))</f>
        <v>CUMPLE</v>
      </c>
      <c r="AK312" s="98"/>
    </row>
    <row r="313" spans="1:37" ht="57">
      <c r="A313" s="1615"/>
      <c r="B313" s="1625"/>
      <c r="C313" s="1059" t="s">
        <v>338</v>
      </c>
      <c r="D313" s="20">
        <v>142</v>
      </c>
      <c r="E313" s="21" t="s">
        <v>2142</v>
      </c>
      <c r="F313" s="22" t="s">
        <v>2144</v>
      </c>
      <c r="G313" s="23" t="s">
        <v>2145</v>
      </c>
      <c r="H313" s="1388" t="s">
        <v>22</v>
      </c>
      <c r="I313" s="1388" t="s">
        <v>22</v>
      </c>
      <c r="J313" s="24">
        <v>0.8</v>
      </c>
      <c r="K313" s="25">
        <v>41282</v>
      </c>
      <c r="L313" s="25">
        <v>41818</v>
      </c>
      <c r="M313" s="26">
        <f t="shared" si="37"/>
        <v>2014</v>
      </c>
      <c r="N313" s="27">
        <f>+IFERROR(INDEX([16]PARÁMETROS!$B$11:$B$37,MATCH(M313,[16]PARÁMETROS!$A$11:$A$37,0)),"")</f>
        <v>616000</v>
      </c>
      <c r="O313" s="28">
        <v>1544774057</v>
      </c>
      <c r="P313" s="27" t="s">
        <v>151</v>
      </c>
      <c r="Q313" s="19" t="s">
        <v>326</v>
      </c>
      <c r="R313" s="30" t="s">
        <v>326</v>
      </c>
      <c r="S313" s="31">
        <v>1</v>
      </c>
      <c r="T313" s="27">
        <f t="shared" si="40"/>
        <v>1544774057</v>
      </c>
      <c r="U313" s="16">
        <f t="shared" si="38"/>
        <v>2507.7500925324675</v>
      </c>
      <c r="V313" s="16">
        <f t="shared" si="39"/>
        <v>2006.2000740259741</v>
      </c>
      <c r="W313" s="32">
        <v>99</v>
      </c>
      <c r="X313" s="1485" t="s">
        <v>22</v>
      </c>
      <c r="Y313" s="1485"/>
      <c r="Z313" s="1485"/>
      <c r="AA313" s="1485" t="s">
        <v>22</v>
      </c>
      <c r="AB313" s="1485"/>
      <c r="AC313" s="1485"/>
      <c r="AD313" s="1485" t="s">
        <v>22</v>
      </c>
      <c r="AE313" s="1485"/>
      <c r="AF313" s="1485"/>
      <c r="AG313" s="1388" t="s">
        <v>22</v>
      </c>
      <c r="AH313" s="1485"/>
      <c r="AI313" s="1485"/>
      <c r="AJ313" s="1388" t="str">
        <f>+IF(V313="","",IF(V313&gt;=[16]PARÁMETROS!$F$5,"CUMPLE","NO CUMPLE"))</f>
        <v>CUMPLE</v>
      </c>
      <c r="AK313" s="98"/>
    </row>
    <row r="314" spans="1:37" ht="43.5" thickBot="1">
      <c r="A314" s="1615"/>
      <c r="B314" s="1626"/>
      <c r="C314" s="1060" t="s">
        <v>338</v>
      </c>
      <c r="D314" s="152">
        <v>146</v>
      </c>
      <c r="E314" s="153" t="s">
        <v>2142</v>
      </c>
      <c r="F314" s="154" t="s">
        <v>1330</v>
      </c>
      <c r="G314" s="155" t="s">
        <v>2146</v>
      </c>
      <c r="H314" s="1419" t="s">
        <v>22</v>
      </c>
      <c r="I314" s="1419" t="s">
        <v>22</v>
      </c>
      <c r="J314" s="156">
        <v>0.95</v>
      </c>
      <c r="K314" s="157">
        <v>40854</v>
      </c>
      <c r="L314" s="157">
        <v>41628</v>
      </c>
      <c r="M314" s="158">
        <f t="shared" si="37"/>
        <v>2013</v>
      </c>
      <c r="N314" s="159">
        <f>+IFERROR(INDEX([16]PARÁMETROS!$B$11:$B$37,MATCH(M314,[16]PARÁMETROS!$A$11:$A$37,0)),"")</f>
        <v>589500</v>
      </c>
      <c r="O314" s="160">
        <v>1071250790</v>
      </c>
      <c r="P314" s="159" t="s">
        <v>151</v>
      </c>
      <c r="Q314" s="151" t="s">
        <v>326</v>
      </c>
      <c r="R314" s="162" t="s">
        <v>326</v>
      </c>
      <c r="S314" s="163">
        <v>1</v>
      </c>
      <c r="T314" s="159">
        <f t="shared" si="40"/>
        <v>1071250790</v>
      </c>
      <c r="U314" s="164">
        <f t="shared" si="38"/>
        <v>1817.2193214588635</v>
      </c>
      <c r="V314" s="164">
        <f t="shared" si="39"/>
        <v>1726.3583553859203</v>
      </c>
      <c r="W314" s="430">
        <v>6</v>
      </c>
      <c r="X314" s="1606" t="s">
        <v>22</v>
      </c>
      <c r="Y314" s="1606"/>
      <c r="Z314" s="1606"/>
      <c r="AA314" s="1606" t="s">
        <v>22</v>
      </c>
      <c r="AB314" s="1606"/>
      <c r="AC314" s="1606"/>
      <c r="AD314" s="1606" t="s">
        <v>22</v>
      </c>
      <c r="AE314" s="1606"/>
      <c r="AF314" s="1606"/>
      <c r="AG314" s="1419" t="s">
        <v>22</v>
      </c>
      <c r="AH314" s="1606"/>
      <c r="AI314" s="1606"/>
      <c r="AJ314" s="1419" t="str">
        <f>+IF(V314="","",IF(V314&gt;=[16]PARÁMETROS!$F$5,"CUMPLE","NO CUMPLE"))</f>
        <v>CUMPLE</v>
      </c>
      <c r="AK314" s="221"/>
    </row>
    <row r="315" spans="1:37" ht="78.75">
      <c r="A315" s="1615"/>
      <c r="B315" s="1624" t="s">
        <v>2147</v>
      </c>
      <c r="C315" s="81" t="s">
        <v>340</v>
      </c>
      <c r="D315" s="114">
        <v>107</v>
      </c>
      <c r="E315" s="83" t="s">
        <v>2148</v>
      </c>
      <c r="F315" s="84" t="s">
        <v>1005</v>
      </c>
      <c r="G315" s="85" t="s">
        <v>2149</v>
      </c>
      <c r="H315" s="1393" t="s">
        <v>22</v>
      </c>
      <c r="I315" s="1393" t="s">
        <v>22</v>
      </c>
      <c r="J315" s="86">
        <v>1</v>
      </c>
      <c r="K315" s="87">
        <v>37186</v>
      </c>
      <c r="L315" s="87">
        <v>38373</v>
      </c>
      <c r="M315" s="88">
        <f t="shared" si="37"/>
        <v>2005</v>
      </c>
      <c r="N315" s="89">
        <f>+IFERROR(INDEX([16]PARÁMETROS!$B$11:$B$37,MATCH(M315,[16]PARÁMETROS!$A$11:$A$37,0)),"")</f>
        <v>381500</v>
      </c>
      <c r="O315" s="90">
        <v>1577666575</v>
      </c>
      <c r="P315" s="91" t="s">
        <v>151</v>
      </c>
      <c r="Q315" s="81" t="s">
        <v>326</v>
      </c>
      <c r="R315" s="92" t="s">
        <v>326</v>
      </c>
      <c r="S315" s="93">
        <v>1</v>
      </c>
      <c r="T315" s="89">
        <f t="shared" si="40"/>
        <v>1577666575</v>
      </c>
      <c r="U315" s="94">
        <f t="shared" si="38"/>
        <v>4135.4300786369595</v>
      </c>
      <c r="V315" s="94">
        <f t="shared" si="39"/>
        <v>4135.4300786369595</v>
      </c>
      <c r="W315" s="94">
        <v>77</v>
      </c>
      <c r="X315" s="1484" t="s">
        <v>22</v>
      </c>
      <c r="Y315" s="1484"/>
      <c r="Z315" s="1484"/>
      <c r="AA315" s="1484" t="s">
        <v>22</v>
      </c>
      <c r="AB315" s="1484"/>
      <c r="AC315" s="1484"/>
      <c r="AD315" s="1484" t="s">
        <v>22</v>
      </c>
      <c r="AE315" s="1484"/>
      <c r="AF315" s="1484"/>
      <c r="AG315" s="1393" t="s">
        <v>22</v>
      </c>
      <c r="AH315" s="1484" t="str">
        <f>IF(V315:V316="","",IF(SUM(V315:V316)&gt;=[16]PARÁMETROS!$D$5,"HÁBIL","NO HÁBIL"))</f>
        <v>HÁBIL</v>
      </c>
      <c r="AI315" s="1484" t="str">
        <f>IF(V315="","",IF(V315&gt;=[16]PARÁMETROS!$H$5,"HÁBIL","NO HÁBIL"))</f>
        <v>HÁBIL</v>
      </c>
      <c r="AJ315" s="1393" t="str">
        <f>+IF(V315="","",IF(V315&gt;=[16]PARÁMETROS!$F$5,"CUMPLE","NO CUMPLE"))</f>
        <v>CUMPLE</v>
      </c>
      <c r="AK315" s="96"/>
    </row>
    <row r="316" spans="1:37" ht="63.75" thickBot="1">
      <c r="A316" s="1615"/>
      <c r="B316" s="1626"/>
      <c r="C316" s="151" t="s">
        <v>347</v>
      </c>
      <c r="D316" s="501">
        <v>111</v>
      </c>
      <c r="E316" s="153" t="s">
        <v>2150</v>
      </c>
      <c r="F316" s="154" t="s">
        <v>2151</v>
      </c>
      <c r="G316" s="155" t="s">
        <v>2152</v>
      </c>
      <c r="H316" s="1419" t="s">
        <v>22</v>
      </c>
      <c r="I316" s="1419" t="s">
        <v>22</v>
      </c>
      <c r="J316" s="156">
        <v>1</v>
      </c>
      <c r="K316" s="157">
        <v>41295</v>
      </c>
      <c r="L316" s="157">
        <v>41841</v>
      </c>
      <c r="M316" s="158">
        <f t="shared" si="37"/>
        <v>2014</v>
      </c>
      <c r="N316" s="159">
        <f>+IFERROR(INDEX([16]PARÁMETROS!$B$11:$B$37,MATCH(M316,[16]PARÁMETROS!$A$11:$A$37,0)),"")</f>
        <v>616000</v>
      </c>
      <c r="O316" s="160">
        <v>3203004883</v>
      </c>
      <c r="P316" s="161" t="s">
        <v>151</v>
      </c>
      <c r="Q316" s="151" t="s">
        <v>326</v>
      </c>
      <c r="R316" s="162" t="s">
        <v>326</v>
      </c>
      <c r="S316" s="163">
        <v>1</v>
      </c>
      <c r="T316" s="159">
        <f t="shared" si="40"/>
        <v>3203004883</v>
      </c>
      <c r="U316" s="164">
        <f t="shared" si="38"/>
        <v>5199.6832516233762</v>
      </c>
      <c r="V316" s="164">
        <f t="shared" si="39"/>
        <v>5199.6832516233762</v>
      </c>
      <c r="W316" s="164">
        <v>145</v>
      </c>
      <c r="X316" s="1606" t="s">
        <v>22</v>
      </c>
      <c r="Y316" s="1606"/>
      <c r="Z316" s="1606"/>
      <c r="AA316" s="1606" t="s">
        <v>22</v>
      </c>
      <c r="AB316" s="1606"/>
      <c r="AC316" s="1606"/>
      <c r="AD316" s="1606" t="s">
        <v>22</v>
      </c>
      <c r="AE316" s="1606"/>
      <c r="AF316" s="1606"/>
      <c r="AG316" s="1419" t="s">
        <v>22</v>
      </c>
      <c r="AH316" s="1606"/>
      <c r="AI316" s="1606"/>
      <c r="AJ316" s="1419" t="str">
        <f>+IF(V316="","",IF(V316&gt;=[16]PARÁMETROS!$F$5,"CUMPLE","NO CUMPLE"))</f>
        <v>CUMPLE</v>
      </c>
      <c r="AK316" s="195"/>
    </row>
    <row r="317" spans="1:37" ht="85.5">
      <c r="A317" s="1615"/>
      <c r="B317" s="1624" t="s">
        <v>2153</v>
      </c>
      <c r="C317" s="81" t="s">
        <v>350</v>
      </c>
      <c r="D317" s="114">
        <v>179</v>
      </c>
      <c r="E317" s="83" t="s">
        <v>2154</v>
      </c>
      <c r="F317" s="84" t="s">
        <v>255</v>
      </c>
      <c r="G317" s="85" t="s">
        <v>2155</v>
      </c>
      <c r="H317" s="1393" t="s">
        <v>22</v>
      </c>
      <c r="I317" s="1393" t="s">
        <v>22</v>
      </c>
      <c r="J317" s="86">
        <v>1</v>
      </c>
      <c r="K317" s="87">
        <v>38929</v>
      </c>
      <c r="L317" s="87">
        <v>39553</v>
      </c>
      <c r="M317" s="88">
        <f t="shared" si="37"/>
        <v>2008</v>
      </c>
      <c r="N317" s="89">
        <f>+IFERROR(INDEX([16]PARÁMETROS!$B$11:$B$37,MATCH(M317,[16]PARÁMETROS!$A$11:$A$37,0)),"")</f>
        <v>461500</v>
      </c>
      <c r="O317" s="90">
        <v>3010928835</v>
      </c>
      <c r="P317" s="91" t="s">
        <v>151</v>
      </c>
      <c r="Q317" s="81" t="s">
        <v>326</v>
      </c>
      <c r="R317" s="92" t="s">
        <v>326</v>
      </c>
      <c r="S317" s="93">
        <v>1</v>
      </c>
      <c r="T317" s="89">
        <f t="shared" si="40"/>
        <v>3010928835</v>
      </c>
      <c r="U317" s="94">
        <f t="shared" si="38"/>
        <v>6524.2228277356444</v>
      </c>
      <c r="V317" s="94">
        <f t="shared" si="39"/>
        <v>6524.2228277356444</v>
      </c>
      <c r="W317" s="94">
        <v>43</v>
      </c>
      <c r="X317" s="1484" t="s">
        <v>22</v>
      </c>
      <c r="Y317" s="1484"/>
      <c r="Z317" s="1484"/>
      <c r="AA317" s="1484" t="s">
        <v>22</v>
      </c>
      <c r="AB317" s="1484"/>
      <c r="AC317" s="1484"/>
      <c r="AD317" s="1484" t="s">
        <v>22</v>
      </c>
      <c r="AE317" s="1484"/>
      <c r="AF317" s="1484"/>
      <c r="AG317" s="1393" t="s">
        <v>22</v>
      </c>
      <c r="AH317" s="1484" t="str">
        <f>IF(V317:V319="","",IF(SUM(V317:V319)&gt;=[16]PARÁMETROS!$D$5,"HÁBIL","NO HÁBIL"))</f>
        <v>HÁBIL</v>
      </c>
      <c r="AI317" s="1484" t="str">
        <f>IF(V317:V319="","",IF(V317+V318+V319&gt;=[16]PARÁMETROS!$H$5,"HÁBIL","NO HÁBIL"))</f>
        <v>HÁBIL</v>
      </c>
      <c r="AJ317" s="1393" t="str">
        <f>+IF(V317="","",IF(V317&gt;=[16]PARÁMETROS!$F$5,"CUMPLE","NO CUMPLE"))</f>
        <v>CUMPLE</v>
      </c>
      <c r="AK317" s="96"/>
    </row>
    <row r="318" spans="1:37" ht="85.5">
      <c r="A318" s="1615"/>
      <c r="B318" s="1625"/>
      <c r="C318" s="19" t="s">
        <v>350</v>
      </c>
      <c r="D318" s="36">
        <v>182</v>
      </c>
      <c r="E318" s="21" t="s">
        <v>2154</v>
      </c>
      <c r="F318" s="22" t="s">
        <v>1005</v>
      </c>
      <c r="G318" s="22" t="s">
        <v>2156</v>
      </c>
      <c r="H318" s="1388" t="s">
        <v>22</v>
      </c>
      <c r="I318" s="1388" t="s">
        <v>22</v>
      </c>
      <c r="J318" s="34">
        <v>0.83499999999999996</v>
      </c>
      <c r="K318" s="25">
        <v>38337</v>
      </c>
      <c r="L318" s="25">
        <v>41440</v>
      </c>
      <c r="M318" s="26">
        <f t="shared" si="37"/>
        <v>2013</v>
      </c>
      <c r="N318" s="27">
        <f>+IFERROR(INDEX([16]PARÁMETROS!$B$11:$B$37,MATCH(M318,[16]PARÁMETROS!$A$11:$A$37,0)),"")</f>
        <v>589500</v>
      </c>
      <c r="O318" s="35">
        <v>9865877743</v>
      </c>
      <c r="P318" s="27" t="s">
        <v>151</v>
      </c>
      <c r="Q318" s="19" t="s">
        <v>326</v>
      </c>
      <c r="R318" s="30" t="s">
        <v>326</v>
      </c>
      <c r="S318" s="31">
        <v>1</v>
      </c>
      <c r="T318" s="27">
        <f t="shared" si="40"/>
        <v>9865877743</v>
      </c>
      <c r="U318" s="16">
        <f t="shared" si="38"/>
        <v>16736.009742154369</v>
      </c>
      <c r="V318" s="16">
        <f t="shared" si="39"/>
        <v>13974.568134698897</v>
      </c>
      <c r="W318" s="16">
        <v>29</v>
      </c>
      <c r="X318" s="1485" t="s">
        <v>22</v>
      </c>
      <c r="Y318" s="1485"/>
      <c r="Z318" s="1485"/>
      <c r="AA318" s="1485" t="s">
        <v>22</v>
      </c>
      <c r="AB318" s="1485"/>
      <c r="AC318" s="1485"/>
      <c r="AD318" s="1485" t="s">
        <v>22</v>
      </c>
      <c r="AE318" s="1485"/>
      <c r="AF318" s="1485"/>
      <c r="AG318" s="1388" t="s">
        <v>22</v>
      </c>
      <c r="AH318" s="1485"/>
      <c r="AI318" s="1485"/>
      <c r="AJ318" s="1388" t="str">
        <f>+IF(V318="","",IF(V318&gt;=[16]PARÁMETROS!$F$5,"CUMPLE","NO CUMPLE"))</f>
        <v>CUMPLE</v>
      </c>
      <c r="AK318" s="97"/>
    </row>
    <row r="319" spans="1:37" ht="86.25" thickBot="1">
      <c r="A319" s="1615"/>
      <c r="B319" s="1626"/>
      <c r="C319" s="151" t="s">
        <v>350</v>
      </c>
      <c r="D319" s="501">
        <v>185</v>
      </c>
      <c r="E319" s="153" t="s">
        <v>2154</v>
      </c>
      <c r="F319" s="154" t="s">
        <v>2139</v>
      </c>
      <c r="G319" s="155" t="s">
        <v>2157</v>
      </c>
      <c r="H319" s="1419" t="s">
        <v>22</v>
      </c>
      <c r="I319" s="1419" t="s">
        <v>22</v>
      </c>
      <c r="J319" s="156">
        <v>1</v>
      </c>
      <c r="K319" s="157">
        <v>39148</v>
      </c>
      <c r="L319" s="157">
        <v>40072</v>
      </c>
      <c r="M319" s="158">
        <f t="shared" si="37"/>
        <v>2009</v>
      </c>
      <c r="N319" s="159">
        <f>+IFERROR(INDEX([16]PARÁMETROS!$B$11:$B$37,MATCH(M319,[16]PARÁMETROS!$A$11:$A$37,0)),"")</f>
        <v>496900</v>
      </c>
      <c r="O319" s="160">
        <f>1690448539+901877829</f>
        <v>2592326368</v>
      </c>
      <c r="P319" s="161" t="s">
        <v>151</v>
      </c>
      <c r="Q319" s="151" t="s">
        <v>326</v>
      </c>
      <c r="R319" s="162" t="s">
        <v>326</v>
      </c>
      <c r="S319" s="163">
        <v>1</v>
      </c>
      <c r="T319" s="159">
        <f t="shared" si="40"/>
        <v>2592326368</v>
      </c>
      <c r="U319" s="164">
        <f t="shared" si="38"/>
        <v>5216.9981243711009</v>
      </c>
      <c r="V319" s="164">
        <f t="shared" si="39"/>
        <v>5216.9981243711009</v>
      </c>
      <c r="W319" s="164">
        <v>45</v>
      </c>
      <c r="X319" s="1606" t="s">
        <v>22</v>
      </c>
      <c r="Y319" s="1606"/>
      <c r="Z319" s="1606"/>
      <c r="AA319" s="1606" t="s">
        <v>22</v>
      </c>
      <c r="AB319" s="1606"/>
      <c r="AC319" s="1606"/>
      <c r="AD319" s="1606" t="s">
        <v>22</v>
      </c>
      <c r="AE319" s="1606"/>
      <c r="AF319" s="1606"/>
      <c r="AG319" s="1419" t="s">
        <v>22</v>
      </c>
      <c r="AH319" s="1606"/>
      <c r="AI319" s="1606"/>
      <c r="AJ319" s="1419" t="str">
        <f>+IF(V319="","",IF(V319&gt;=[16]PARÁMETROS!$F$5,"CUMPLE","NO CUMPLE"))</f>
        <v>CUMPLE</v>
      </c>
      <c r="AK319" s="195"/>
    </row>
    <row r="320" spans="1:37" ht="28.5">
      <c r="A320" s="1615"/>
      <c r="B320" s="1624" t="s">
        <v>2158</v>
      </c>
      <c r="C320" s="81" t="s">
        <v>368</v>
      </c>
      <c r="D320" s="114">
        <v>200</v>
      </c>
      <c r="E320" s="83" t="s">
        <v>2159</v>
      </c>
      <c r="F320" s="84" t="s">
        <v>2160</v>
      </c>
      <c r="G320" s="85" t="s">
        <v>2161</v>
      </c>
      <c r="H320" s="1393" t="s">
        <v>22</v>
      </c>
      <c r="I320" s="1393" t="s">
        <v>22</v>
      </c>
      <c r="J320" s="86">
        <v>1</v>
      </c>
      <c r="K320" s="87">
        <v>34358</v>
      </c>
      <c r="L320" s="87">
        <v>35828</v>
      </c>
      <c r="M320" s="88">
        <f t="shared" si="37"/>
        <v>1998</v>
      </c>
      <c r="N320" s="89">
        <f>+IFERROR(INDEX([16]PARÁMETROS!$B$11:$B$37,MATCH(M320,[16]PARÁMETROS!$A$11:$A$37,0)),"")</f>
        <v>203826</v>
      </c>
      <c r="O320" s="90">
        <v>2834448285</v>
      </c>
      <c r="P320" s="91" t="s">
        <v>151</v>
      </c>
      <c r="Q320" s="81" t="s">
        <v>326</v>
      </c>
      <c r="R320" s="92" t="s">
        <v>326</v>
      </c>
      <c r="S320" s="93">
        <v>1</v>
      </c>
      <c r="T320" s="89">
        <f t="shared" si="40"/>
        <v>2834448285</v>
      </c>
      <c r="U320" s="94">
        <f t="shared" si="38"/>
        <v>13906.215522062936</v>
      </c>
      <c r="V320" s="94">
        <f t="shared" si="39"/>
        <v>13906.215522062936</v>
      </c>
      <c r="W320" s="94">
        <v>4</v>
      </c>
      <c r="X320" s="1484" t="s">
        <v>22</v>
      </c>
      <c r="Y320" s="1484"/>
      <c r="Z320" s="1484"/>
      <c r="AA320" s="1484" t="s">
        <v>22</v>
      </c>
      <c r="AB320" s="1484"/>
      <c r="AC320" s="1484"/>
      <c r="AD320" s="1484" t="s">
        <v>22</v>
      </c>
      <c r="AE320" s="1484"/>
      <c r="AF320" s="1484"/>
      <c r="AG320" s="1393" t="s">
        <v>22</v>
      </c>
      <c r="AH320" s="1484" t="str">
        <f>IF(V320:V325="","",IF(SUM(V320:V325)&gt;=[16]PARÁMETROS!$D$5,"HÁBIL","NO HÁBIL"))</f>
        <v>HÁBIL</v>
      </c>
      <c r="AI320" s="1484" t="str">
        <f>IF(V320:V323="","",IF(V320+V321+V322+V323&gt;=[16]PARÁMETROS!$H$5,"HÁBIL","NO HÁBIL"))</f>
        <v>HÁBIL</v>
      </c>
      <c r="AJ320" s="1393" t="str">
        <f>+IF(V320="","",IF(V320&gt;=[16]PARÁMETROS!$F$5,"CUMPLE","NO CUMPLE"))</f>
        <v>CUMPLE</v>
      </c>
      <c r="AK320" s="96"/>
    </row>
    <row r="321" spans="1:37" ht="42.75">
      <c r="A321" s="1615"/>
      <c r="B321" s="1625"/>
      <c r="C321" s="19" t="s">
        <v>368</v>
      </c>
      <c r="D321" s="36">
        <v>201</v>
      </c>
      <c r="E321" s="21" t="s">
        <v>2159</v>
      </c>
      <c r="F321" s="22" t="s">
        <v>2162</v>
      </c>
      <c r="G321" s="23" t="s">
        <v>2163</v>
      </c>
      <c r="H321" s="1388" t="s">
        <v>22</v>
      </c>
      <c r="I321" s="1388" t="s">
        <v>22</v>
      </c>
      <c r="J321" s="24">
        <v>1</v>
      </c>
      <c r="K321" s="25">
        <v>36298</v>
      </c>
      <c r="L321" s="25">
        <v>37425</v>
      </c>
      <c r="M321" s="26">
        <f t="shared" si="37"/>
        <v>2002</v>
      </c>
      <c r="N321" s="27">
        <f>+IFERROR(INDEX([16]PARÁMETROS!$B$11:$B$37,MATCH(M321,[16]PARÁMETROS!$A$11:$A$37,0)),"")</f>
        <v>309000</v>
      </c>
      <c r="O321" s="28">
        <v>3800380053</v>
      </c>
      <c r="P321" s="29" t="s">
        <v>151</v>
      </c>
      <c r="Q321" s="19" t="s">
        <v>326</v>
      </c>
      <c r="R321" s="30" t="s">
        <v>326</v>
      </c>
      <c r="S321" s="31">
        <v>1</v>
      </c>
      <c r="T321" s="27">
        <f t="shared" si="40"/>
        <v>3800380053</v>
      </c>
      <c r="U321" s="16">
        <f t="shared" si="38"/>
        <v>12298.964572815534</v>
      </c>
      <c r="V321" s="16">
        <f t="shared" si="39"/>
        <v>12298.964572815534</v>
      </c>
      <c r="W321" s="16">
        <v>11</v>
      </c>
      <c r="X321" s="1485" t="s">
        <v>22</v>
      </c>
      <c r="Y321" s="1485"/>
      <c r="Z321" s="1485"/>
      <c r="AA321" s="1485" t="s">
        <v>22</v>
      </c>
      <c r="AB321" s="1485"/>
      <c r="AC321" s="1485"/>
      <c r="AD321" s="1485" t="s">
        <v>22</v>
      </c>
      <c r="AE321" s="1485"/>
      <c r="AF321" s="1485"/>
      <c r="AG321" s="1388" t="s">
        <v>22</v>
      </c>
      <c r="AH321" s="1485"/>
      <c r="AI321" s="1485"/>
      <c r="AJ321" s="1388" t="str">
        <f>+IF(V321="","",IF(V321&gt;=[16]PARÁMETROS!$F$5,"CUMPLE","NO CUMPLE"))</f>
        <v>CUMPLE</v>
      </c>
      <c r="AK321" s="97"/>
    </row>
    <row r="322" spans="1:37" ht="57">
      <c r="A322" s="1615"/>
      <c r="B322" s="1625"/>
      <c r="C322" s="19" t="s">
        <v>368</v>
      </c>
      <c r="D322" s="36">
        <v>212</v>
      </c>
      <c r="E322" s="21" t="s">
        <v>2159</v>
      </c>
      <c r="F322" s="22" t="s">
        <v>155</v>
      </c>
      <c r="G322" s="23" t="s">
        <v>2164</v>
      </c>
      <c r="H322" s="1388" t="s">
        <v>22</v>
      </c>
      <c r="I322" s="1388" t="s">
        <v>22</v>
      </c>
      <c r="J322" s="24">
        <v>1</v>
      </c>
      <c r="K322" s="25">
        <v>33161</v>
      </c>
      <c r="L322" s="25">
        <v>35550</v>
      </c>
      <c r="M322" s="26">
        <f t="shared" si="37"/>
        <v>1997</v>
      </c>
      <c r="N322" s="27">
        <f>+IFERROR(INDEX([16]PARÁMETROS!$B$11:$B$37,MATCH(M322,[16]PARÁMETROS!$A$11:$A$37,0)),"")</f>
        <v>172005</v>
      </c>
      <c r="O322" s="28">
        <v>1546808187.0699999</v>
      </c>
      <c r="P322" s="29" t="s">
        <v>151</v>
      </c>
      <c r="Q322" s="19" t="s">
        <v>326</v>
      </c>
      <c r="R322" s="30" t="s">
        <v>326</v>
      </c>
      <c r="S322" s="31">
        <v>1</v>
      </c>
      <c r="T322" s="27">
        <f t="shared" si="40"/>
        <v>1546808187.0699999</v>
      </c>
      <c r="U322" s="16">
        <f t="shared" si="38"/>
        <v>8992.8094361791809</v>
      </c>
      <c r="V322" s="16">
        <f t="shared" si="39"/>
        <v>8992.8094361791809</v>
      </c>
      <c r="W322" s="16">
        <v>40</v>
      </c>
      <c r="X322" s="1485" t="s">
        <v>22</v>
      </c>
      <c r="Y322" s="1485"/>
      <c r="Z322" s="1485"/>
      <c r="AA322" s="1485" t="s">
        <v>22</v>
      </c>
      <c r="AB322" s="1485"/>
      <c r="AC322" s="1485"/>
      <c r="AD322" s="1485" t="s">
        <v>22</v>
      </c>
      <c r="AE322" s="1485"/>
      <c r="AF322" s="1485"/>
      <c r="AG322" s="1388" t="s">
        <v>22</v>
      </c>
      <c r="AH322" s="1485"/>
      <c r="AI322" s="1485"/>
      <c r="AJ322" s="1388" t="str">
        <f>+IF(V322="","",IF(V322&gt;=[16]PARÁMETROS!$F$5,"CUMPLE","NO CUMPLE"))</f>
        <v>CUMPLE</v>
      </c>
      <c r="AK322" s="97"/>
    </row>
    <row r="323" spans="1:37" ht="42.75">
      <c r="A323" s="1615"/>
      <c r="B323" s="1625"/>
      <c r="C323" s="19" t="s">
        <v>368</v>
      </c>
      <c r="D323" s="36">
        <v>213</v>
      </c>
      <c r="E323" s="21" t="s">
        <v>2159</v>
      </c>
      <c r="F323" s="22" t="s">
        <v>155</v>
      </c>
      <c r="G323" s="23" t="s">
        <v>2165</v>
      </c>
      <c r="H323" s="1388" t="s">
        <v>22</v>
      </c>
      <c r="I323" s="1388" t="s">
        <v>22</v>
      </c>
      <c r="J323" s="24">
        <v>0.5</v>
      </c>
      <c r="K323" s="25">
        <v>35136</v>
      </c>
      <c r="L323" s="25">
        <v>35971</v>
      </c>
      <c r="M323" s="26">
        <f t="shared" si="37"/>
        <v>1998</v>
      </c>
      <c r="N323" s="27">
        <f>+IFERROR(INDEX([16]PARÁMETROS!$B$11:$B$37,MATCH(M323,[16]PARÁMETROS!$A$11:$A$37,0)),"")</f>
        <v>203826</v>
      </c>
      <c r="O323" s="28">
        <v>2199833664.8299999</v>
      </c>
      <c r="P323" s="29" t="s">
        <v>151</v>
      </c>
      <c r="Q323" s="19" t="s">
        <v>326</v>
      </c>
      <c r="R323" s="30" t="s">
        <v>326</v>
      </c>
      <c r="S323" s="31">
        <v>1</v>
      </c>
      <c r="T323" s="27">
        <f t="shared" si="40"/>
        <v>2199833664.8299999</v>
      </c>
      <c r="U323" s="16">
        <f t="shared" si="38"/>
        <v>10792.703898570349</v>
      </c>
      <c r="V323" s="16">
        <f t="shared" si="39"/>
        <v>5396.3519492851747</v>
      </c>
      <c r="W323" s="16">
        <v>50</v>
      </c>
      <c r="X323" s="1485" t="s">
        <v>22</v>
      </c>
      <c r="Y323" s="1485"/>
      <c r="Z323" s="1485"/>
      <c r="AA323" s="1485" t="s">
        <v>22</v>
      </c>
      <c r="AB323" s="1485"/>
      <c r="AC323" s="1485"/>
      <c r="AD323" s="1485" t="s">
        <v>22</v>
      </c>
      <c r="AE323" s="1485"/>
      <c r="AF323" s="1485"/>
      <c r="AG323" s="1388" t="s">
        <v>22</v>
      </c>
      <c r="AH323" s="1485"/>
      <c r="AI323" s="1485"/>
      <c r="AJ323" s="1388" t="str">
        <f>+IF(V323="","",IF(V323&gt;=[16]PARÁMETROS!$F$5,"CUMPLE","NO CUMPLE"))</f>
        <v>CUMPLE</v>
      </c>
      <c r="AK323" s="97"/>
    </row>
    <row r="324" spans="1:37" ht="57">
      <c r="A324" s="1615"/>
      <c r="B324" s="1625"/>
      <c r="C324" s="19" t="s">
        <v>364</v>
      </c>
      <c r="D324" s="36">
        <v>215</v>
      </c>
      <c r="E324" s="21" t="s">
        <v>2166</v>
      </c>
      <c r="F324" s="22" t="s">
        <v>155</v>
      </c>
      <c r="G324" s="23" t="s">
        <v>2167</v>
      </c>
      <c r="H324" s="1388" t="s">
        <v>22</v>
      </c>
      <c r="I324" s="1388" t="s">
        <v>22</v>
      </c>
      <c r="J324" s="24">
        <v>0.2</v>
      </c>
      <c r="K324" s="25">
        <v>40079</v>
      </c>
      <c r="L324" s="25">
        <v>42094</v>
      </c>
      <c r="M324" s="26">
        <f t="shared" si="37"/>
        <v>2015</v>
      </c>
      <c r="N324" s="27">
        <f>+IFERROR(INDEX([16]PARÁMETROS!$B$11:$B$37,MATCH(M324,[16]PARÁMETROS!$A$11:$A$37,0)),"")</f>
        <v>644350</v>
      </c>
      <c r="O324" s="28">
        <v>14008976863</v>
      </c>
      <c r="P324" s="29" t="s">
        <v>151</v>
      </c>
      <c r="Q324" s="19" t="s">
        <v>326</v>
      </c>
      <c r="R324" s="30" t="s">
        <v>326</v>
      </c>
      <c r="S324" s="31">
        <v>1</v>
      </c>
      <c r="T324" s="27">
        <f t="shared" si="40"/>
        <v>14008976863</v>
      </c>
      <c r="U324" s="16">
        <f t="shared" si="38"/>
        <v>21741.253764258556</v>
      </c>
      <c r="V324" s="16">
        <f t="shared" si="39"/>
        <v>4348.2507528517117</v>
      </c>
      <c r="W324" s="16">
        <v>76</v>
      </c>
      <c r="X324" s="1485" t="s">
        <v>22</v>
      </c>
      <c r="Y324" s="1485"/>
      <c r="Z324" s="1485"/>
      <c r="AA324" s="1485" t="s">
        <v>22</v>
      </c>
      <c r="AB324" s="1485"/>
      <c r="AC324" s="1485"/>
      <c r="AD324" s="1485" t="s">
        <v>22</v>
      </c>
      <c r="AE324" s="1485"/>
      <c r="AF324" s="1485"/>
      <c r="AG324" s="1388" t="s">
        <v>22</v>
      </c>
      <c r="AH324" s="1485"/>
      <c r="AI324" s="1485"/>
      <c r="AJ324" s="1388" t="str">
        <f>+IF(V324="","",IF(V324&gt;=[16]PARÁMETROS!$F$5,"CUMPLE","NO CUMPLE"))</f>
        <v>CUMPLE</v>
      </c>
      <c r="AK324" s="97"/>
    </row>
    <row r="325" spans="1:37" ht="72" thickBot="1">
      <c r="A325" s="1615"/>
      <c r="B325" s="1627"/>
      <c r="C325" s="99" t="s">
        <v>364</v>
      </c>
      <c r="D325" s="100">
        <v>219</v>
      </c>
      <c r="E325" s="101" t="s">
        <v>2166</v>
      </c>
      <c r="F325" s="102" t="s">
        <v>207</v>
      </c>
      <c r="G325" s="103" t="s">
        <v>2168</v>
      </c>
      <c r="H325" s="1392" t="s">
        <v>22</v>
      </c>
      <c r="I325" s="1392" t="s">
        <v>22</v>
      </c>
      <c r="J325" s="104">
        <v>1</v>
      </c>
      <c r="K325" s="105">
        <v>35177</v>
      </c>
      <c r="L325" s="105">
        <v>35563</v>
      </c>
      <c r="M325" s="106">
        <f t="shared" si="37"/>
        <v>1997</v>
      </c>
      <c r="N325" s="107">
        <f>+IFERROR(INDEX([16]PARÁMETROS!$B$11:$B$37,MATCH(M325,[16]PARÁMETROS!$A$11:$A$37,0)),"")</f>
        <v>172005</v>
      </c>
      <c r="O325" s="108">
        <v>384734738</v>
      </c>
      <c r="P325" s="109" t="s">
        <v>151</v>
      </c>
      <c r="Q325" s="99" t="s">
        <v>326</v>
      </c>
      <c r="R325" s="110" t="s">
        <v>326</v>
      </c>
      <c r="S325" s="111">
        <v>1</v>
      </c>
      <c r="T325" s="107">
        <f t="shared" si="40"/>
        <v>384734738</v>
      </c>
      <c r="U325" s="112">
        <f t="shared" si="38"/>
        <v>2236.7648498590156</v>
      </c>
      <c r="V325" s="112">
        <f t="shared" si="39"/>
        <v>2236.7648498590156</v>
      </c>
      <c r="W325" s="112">
        <v>8</v>
      </c>
      <c r="X325" s="1486" t="s">
        <v>22</v>
      </c>
      <c r="Y325" s="1486"/>
      <c r="Z325" s="1486"/>
      <c r="AA325" s="1486" t="s">
        <v>22</v>
      </c>
      <c r="AB325" s="1486"/>
      <c r="AC325" s="1486"/>
      <c r="AD325" s="1486" t="s">
        <v>22</v>
      </c>
      <c r="AE325" s="1486"/>
      <c r="AF325" s="1486"/>
      <c r="AG325" s="1392" t="s">
        <v>22</v>
      </c>
      <c r="AH325" s="1486"/>
      <c r="AI325" s="1486"/>
      <c r="AJ325" s="1392" t="str">
        <f>+IF(V325="","",IF(V325&gt;=[16]PARÁMETROS!$F$5,"CUMPLE","NO CUMPLE"))</f>
        <v>CUMPLE</v>
      </c>
      <c r="AK325" s="113"/>
    </row>
    <row r="326" spans="1:37" ht="85.5">
      <c r="A326" s="1615"/>
      <c r="B326" s="1628" t="s">
        <v>2169</v>
      </c>
      <c r="C326" s="68" t="s">
        <v>374</v>
      </c>
      <c r="D326" s="69">
        <v>97</v>
      </c>
      <c r="E326" s="70" t="s">
        <v>2170</v>
      </c>
      <c r="F326" s="71" t="s">
        <v>900</v>
      </c>
      <c r="G326" s="72" t="s">
        <v>1888</v>
      </c>
      <c r="H326" s="1394" t="s">
        <v>22</v>
      </c>
      <c r="I326" s="1394" t="s">
        <v>22</v>
      </c>
      <c r="J326" s="73">
        <v>0.5</v>
      </c>
      <c r="K326" s="74">
        <v>40331</v>
      </c>
      <c r="L326" s="74">
        <v>41215</v>
      </c>
      <c r="M326" s="116">
        <f t="shared" si="37"/>
        <v>2012</v>
      </c>
      <c r="N326" s="75">
        <f>+IFERROR(INDEX([17]PARÁMETROS!$B$11:$B$37,MATCH(M326,[17]PARÁMETROS!$A$11:$A$37,0)),"")</f>
        <v>566700</v>
      </c>
      <c r="O326" s="76">
        <v>4264498383</v>
      </c>
      <c r="P326" s="77" t="s">
        <v>151</v>
      </c>
      <c r="Q326" s="68" t="s">
        <v>140</v>
      </c>
      <c r="R326" s="78" t="s">
        <v>140</v>
      </c>
      <c r="S326" s="79">
        <v>1</v>
      </c>
      <c r="T326" s="75">
        <f t="shared" si="40"/>
        <v>4264498383</v>
      </c>
      <c r="U326" s="80">
        <f t="shared" si="38"/>
        <v>7525.1427263102169</v>
      </c>
      <c r="V326" s="80">
        <f t="shared" si="39"/>
        <v>3762.5713631551084</v>
      </c>
      <c r="W326" s="80">
        <v>2</v>
      </c>
      <c r="X326" s="1508" t="s">
        <v>22</v>
      </c>
      <c r="Y326" s="1508"/>
      <c r="Z326" s="1508"/>
      <c r="AA326" s="1508" t="s">
        <v>22</v>
      </c>
      <c r="AB326" s="1508"/>
      <c r="AC326" s="1508"/>
      <c r="AD326" s="1508" t="s">
        <v>22</v>
      </c>
      <c r="AE326" s="1508"/>
      <c r="AF326" s="1508"/>
      <c r="AG326" s="1394" t="s">
        <v>22</v>
      </c>
      <c r="AH326" s="1508" t="str">
        <f>IF(V326:V330="","",IF(SUM(V326:V330)&gt;=[16]PARÁMETROS!$D$5,"HÁBIL","NO HÁBIL"))</f>
        <v>HÁBIL</v>
      </c>
      <c r="AI326" s="1508" t="str">
        <f>IF(V326:V328="","",IF(V326+V327+V328&gt;=[16]PARÁMETROS!$H$5,"HÁBIL","NO HÁBIL"))</f>
        <v>HÁBIL</v>
      </c>
      <c r="AJ326" s="1394" t="str">
        <f>+IF(V326="","",IF(V326&gt;=[16]PARÁMETROS!$F$5,"CUMPLE","NO CUMPLE"))</f>
        <v>CUMPLE</v>
      </c>
      <c r="AK326" s="122"/>
    </row>
    <row r="327" spans="1:37" ht="71.25">
      <c r="A327" s="1615"/>
      <c r="B327" s="1625"/>
      <c r="C327" s="19" t="s">
        <v>374</v>
      </c>
      <c r="D327" s="36">
        <v>126</v>
      </c>
      <c r="E327" s="21" t="s">
        <v>2170</v>
      </c>
      <c r="F327" s="22" t="s">
        <v>517</v>
      </c>
      <c r="G327" s="23" t="s">
        <v>1889</v>
      </c>
      <c r="H327" s="1388" t="s">
        <v>22</v>
      </c>
      <c r="I327" s="1388" t="s">
        <v>22</v>
      </c>
      <c r="J327" s="24">
        <v>0.4</v>
      </c>
      <c r="K327" s="25">
        <v>41075</v>
      </c>
      <c r="L327" s="25" t="s">
        <v>440</v>
      </c>
      <c r="M327" s="26">
        <v>2015</v>
      </c>
      <c r="N327" s="27">
        <f>+IFERROR(INDEX([17]PARÁMETROS!$B$11:$B$37,MATCH(M327,[17]PARÁMETROS!$A$11:$A$37,0)),"")</f>
        <v>644350</v>
      </c>
      <c r="O327" s="28">
        <v>23762347066</v>
      </c>
      <c r="P327" s="29" t="s">
        <v>151</v>
      </c>
      <c r="Q327" s="19" t="s">
        <v>140</v>
      </c>
      <c r="R327" s="30" t="s">
        <v>140</v>
      </c>
      <c r="S327" s="31">
        <v>1</v>
      </c>
      <c r="T327" s="27">
        <v>28805516482</v>
      </c>
      <c r="U327" s="16">
        <f t="shared" si="38"/>
        <v>44704.766791340109</v>
      </c>
      <c r="V327" s="16">
        <f t="shared" si="39"/>
        <v>17881.906716536043</v>
      </c>
      <c r="W327" s="16" t="s">
        <v>1994</v>
      </c>
      <c r="X327" s="1485"/>
      <c r="Y327" s="1485"/>
      <c r="Z327" s="1485"/>
      <c r="AA327" s="1485"/>
      <c r="AB327" s="1485"/>
      <c r="AC327" s="1485"/>
      <c r="AD327" s="1485"/>
      <c r="AE327" s="1485"/>
      <c r="AF327" s="1485"/>
      <c r="AG327" s="1388"/>
      <c r="AH327" s="1485"/>
      <c r="AI327" s="1485"/>
      <c r="AJ327" s="1388" t="str">
        <f>+IF(V327="","",IF(V327&gt;=[16]PARÁMETROS!$F$5,"CUMPLE","NO CUMPLE"))</f>
        <v>CUMPLE</v>
      </c>
      <c r="AK327" s="97" t="s">
        <v>2171</v>
      </c>
    </row>
    <row r="328" spans="1:37" ht="270.75">
      <c r="A328" s="1615"/>
      <c r="B328" s="1625"/>
      <c r="C328" s="19" t="s">
        <v>374</v>
      </c>
      <c r="D328" s="36">
        <v>131</v>
      </c>
      <c r="E328" s="21" t="s">
        <v>2170</v>
      </c>
      <c r="F328" s="22" t="s">
        <v>900</v>
      </c>
      <c r="G328" s="23" t="s">
        <v>1890</v>
      </c>
      <c r="H328" s="1388" t="s">
        <v>22</v>
      </c>
      <c r="I328" s="1388" t="s">
        <v>22</v>
      </c>
      <c r="J328" s="24">
        <v>1</v>
      </c>
      <c r="K328" s="25">
        <v>40482</v>
      </c>
      <c r="L328" s="25">
        <v>40480</v>
      </c>
      <c r="M328" s="26">
        <f t="shared" si="37"/>
        <v>2010</v>
      </c>
      <c r="N328" s="27">
        <f>+IFERROR(INDEX([17]PARÁMETROS!$B$11:$B$37,MATCH(M328,[17]PARÁMETROS!$A$11:$A$37,0)),"")</f>
        <v>515000</v>
      </c>
      <c r="O328" s="28">
        <v>5403026800</v>
      </c>
      <c r="P328" s="29" t="s">
        <v>151</v>
      </c>
      <c r="Q328" s="19" t="s">
        <v>140</v>
      </c>
      <c r="R328" s="30" t="s">
        <v>140</v>
      </c>
      <c r="S328" s="31">
        <v>1</v>
      </c>
      <c r="T328" s="27">
        <f t="shared" si="40"/>
        <v>5403026800</v>
      </c>
      <c r="U328" s="16">
        <f t="shared" si="38"/>
        <v>10491.314174757281</v>
      </c>
      <c r="V328" s="16">
        <f t="shared" si="39"/>
        <v>10491.314174757281</v>
      </c>
      <c r="W328" s="16">
        <v>19</v>
      </c>
      <c r="X328" s="1485" t="s">
        <v>22</v>
      </c>
      <c r="Y328" s="1485"/>
      <c r="Z328" s="1485"/>
      <c r="AA328" s="1485" t="s">
        <v>22</v>
      </c>
      <c r="AB328" s="1485"/>
      <c r="AC328" s="1485"/>
      <c r="AD328" s="1485" t="s">
        <v>22</v>
      </c>
      <c r="AE328" s="1485"/>
      <c r="AF328" s="1485"/>
      <c r="AG328" s="1388" t="s">
        <v>22</v>
      </c>
      <c r="AH328" s="1485"/>
      <c r="AI328" s="1485"/>
      <c r="AJ328" s="1388" t="str">
        <f>+IF(V328="","",IF(V328&gt;=[16]PARÁMETROS!$F$5,"CUMPLE","NO CUMPLE"))</f>
        <v>CUMPLE</v>
      </c>
      <c r="AK328" s="121"/>
    </row>
    <row r="329" spans="1:37" ht="57">
      <c r="A329" s="1615"/>
      <c r="B329" s="1625"/>
      <c r="C329" s="19" t="s">
        <v>383</v>
      </c>
      <c r="D329" s="33">
        <v>159</v>
      </c>
      <c r="E329" s="21" t="s">
        <v>2172</v>
      </c>
      <c r="F329" s="22" t="s">
        <v>1833</v>
      </c>
      <c r="G329" s="22" t="s">
        <v>1892</v>
      </c>
      <c r="H329" s="1388" t="s">
        <v>22</v>
      </c>
      <c r="I329" s="1388" t="s">
        <v>22</v>
      </c>
      <c r="J329" s="34">
        <v>0.75</v>
      </c>
      <c r="K329" s="25">
        <v>38672</v>
      </c>
      <c r="L329" s="25">
        <v>39756</v>
      </c>
      <c r="M329" s="26">
        <f t="shared" si="37"/>
        <v>2008</v>
      </c>
      <c r="N329" s="27">
        <f>+IFERROR(INDEX([17]PARÁMETROS!$B$11:$B$37,MATCH(M329,[17]PARÁMETROS!$A$11:$A$37,0)),"")</f>
        <v>461500</v>
      </c>
      <c r="O329" s="35">
        <v>2323578630</v>
      </c>
      <c r="P329" s="27" t="s">
        <v>151</v>
      </c>
      <c r="Q329" s="19" t="s">
        <v>140</v>
      </c>
      <c r="R329" s="30" t="s">
        <v>140</v>
      </c>
      <c r="S329" s="31">
        <v>1</v>
      </c>
      <c r="T329" s="27">
        <f t="shared" si="40"/>
        <v>2323578630</v>
      </c>
      <c r="U329" s="16">
        <f t="shared" si="38"/>
        <v>5034.839934994583</v>
      </c>
      <c r="V329" s="16">
        <f t="shared" si="39"/>
        <v>3776.1299512459373</v>
      </c>
      <c r="W329" s="42">
        <v>8</v>
      </c>
      <c r="X329" s="1485" t="s">
        <v>22</v>
      </c>
      <c r="Y329" s="1485"/>
      <c r="Z329" s="1485"/>
      <c r="AA329" s="1485" t="s">
        <v>22</v>
      </c>
      <c r="AB329" s="1485"/>
      <c r="AC329" s="1485"/>
      <c r="AD329" s="1485" t="s">
        <v>22</v>
      </c>
      <c r="AE329" s="1485"/>
      <c r="AF329" s="1485"/>
      <c r="AG329" s="1388" t="s">
        <v>22</v>
      </c>
      <c r="AH329" s="1485"/>
      <c r="AI329" s="1485"/>
      <c r="AJ329" s="1388" t="str">
        <f>+IF(V329="","",IF(V329&gt;=[16]PARÁMETROS!$F$5,"CUMPLE","NO CUMPLE"))</f>
        <v>CUMPLE</v>
      </c>
      <c r="AK329" s="97"/>
    </row>
    <row r="330" spans="1:37" ht="57.75" thickBot="1">
      <c r="A330" s="1615"/>
      <c r="B330" s="1626"/>
      <c r="C330" s="151" t="s">
        <v>383</v>
      </c>
      <c r="D330" s="501">
        <v>181</v>
      </c>
      <c r="E330" s="153" t="s">
        <v>2172</v>
      </c>
      <c r="F330" s="154" t="s">
        <v>1833</v>
      </c>
      <c r="G330" s="154" t="s">
        <v>1893</v>
      </c>
      <c r="H330" s="1419" t="s">
        <v>22</v>
      </c>
      <c r="I330" s="1419" t="s">
        <v>22</v>
      </c>
      <c r="J330" s="355">
        <v>0.75</v>
      </c>
      <c r="K330" s="157">
        <v>38673</v>
      </c>
      <c r="L330" s="157">
        <v>39960</v>
      </c>
      <c r="M330" s="158">
        <f t="shared" si="37"/>
        <v>2009</v>
      </c>
      <c r="N330" s="159">
        <f>+IFERROR(INDEX([17]PARÁMETROS!$B$11:$B$37,MATCH(M330,[17]PARÁMETROS!$A$11:$A$37,0)),"")</f>
        <v>496900</v>
      </c>
      <c r="O330" s="626">
        <v>1992021088</v>
      </c>
      <c r="P330" s="159" t="s">
        <v>151</v>
      </c>
      <c r="Q330" s="151" t="s">
        <v>140</v>
      </c>
      <c r="R330" s="162" t="s">
        <v>140</v>
      </c>
      <c r="S330" s="163">
        <v>1</v>
      </c>
      <c r="T330" s="159">
        <f t="shared" si="40"/>
        <v>1992021088</v>
      </c>
      <c r="U330" s="164">
        <f t="shared" si="38"/>
        <v>4008.8973395049306</v>
      </c>
      <c r="V330" s="164">
        <f t="shared" si="39"/>
        <v>3006.673004628698</v>
      </c>
      <c r="W330" s="164">
        <v>40</v>
      </c>
      <c r="X330" s="1606" t="s">
        <v>22</v>
      </c>
      <c r="Y330" s="1606"/>
      <c r="Z330" s="1606"/>
      <c r="AA330" s="1606" t="s">
        <v>22</v>
      </c>
      <c r="AB330" s="1606"/>
      <c r="AC330" s="1606"/>
      <c r="AD330" s="1606" t="s">
        <v>22</v>
      </c>
      <c r="AE330" s="1606"/>
      <c r="AF330" s="1606"/>
      <c r="AG330" s="1419" t="s">
        <v>22</v>
      </c>
      <c r="AH330" s="1606"/>
      <c r="AI330" s="1606"/>
      <c r="AJ330" s="1419" t="str">
        <f>+IF(V330="","",IF(V330&gt;=[16]PARÁMETROS!$F$5,"CUMPLE","NO CUMPLE"))</f>
        <v>CUMPLE</v>
      </c>
      <c r="AK330" s="195"/>
    </row>
    <row r="331" spans="1:37" ht="99.75">
      <c r="A331" s="1615"/>
      <c r="B331" s="1624" t="s">
        <v>2173</v>
      </c>
      <c r="C331" s="81" t="s">
        <v>387</v>
      </c>
      <c r="D331" s="114">
        <v>138</v>
      </c>
      <c r="E331" s="83" t="s">
        <v>2174</v>
      </c>
      <c r="F331" s="84" t="s">
        <v>1793</v>
      </c>
      <c r="G331" s="85" t="s">
        <v>583</v>
      </c>
      <c r="H331" s="1393" t="s">
        <v>22</v>
      </c>
      <c r="I331" s="1393" t="s">
        <v>22</v>
      </c>
      <c r="J331" s="86">
        <v>0.5</v>
      </c>
      <c r="K331" s="87">
        <v>40137</v>
      </c>
      <c r="L331" s="87">
        <v>41232</v>
      </c>
      <c r="M331" s="88">
        <f t="shared" si="37"/>
        <v>2012</v>
      </c>
      <c r="N331" s="89">
        <f>+IFERROR(INDEX([18]PARÁMETROS!$B$11:$B$37,MATCH(M331,[18]PARÁMETROS!$A$11:$A$37,0)),"")</f>
        <v>566700</v>
      </c>
      <c r="O331" s="90">
        <f>2576677923+1327530352+400000000+120000000+180000000+156952234</f>
        <v>4761160509</v>
      </c>
      <c r="P331" s="91" t="s">
        <v>1801</v>
      </c>
      <c r="Q331" s="81" t="s">
        <v>140</v>
      </c>
      <c r="R331" s="92" t="s">
        <v>140</v>
      </c>
      <c r="S331" s="93">
        <v>1</v>
      </c>
      <c r="T331" s="89">
        <f t="shared" si="40"/>
        <v>4761160509</v>
      </c>
      <c r="U331" s="94">
        <f t="shared" si="38"/>
        <v>8401.5537480148232</v>
      </c>
      <c r="V331" s="94">
        <f t="shared" si="39"/>
        <v>4200.7768740074116</v>
      </c>
      <c r="W331" s="94">
        <v>1</v>
      </c>
      <c r="X331" s="1484" t="s">
        <v>22</v>
      </c>
      <c r="Y331" s="1484"/>
      <c r="Z331" s="1484"/>
      <c r="AA331" s="1484" t="s">
        <v>22</v>
      </c>
      <c r="AB331" s="1484"/>
      <c r="AC331" s="1484"/>
      <c r="AD331" s="1484" t="s">
        <v>22</v>
      </c>
      <c r="AE331" s="1484"/>
      <c r="AF331" s="1484"/>
      <c r="AG331" s="1393" t="s">
        <v>22</v>
      </c>
      <c r="AH331" s="1484" t="str">
        <f>IF(V331+V332+V333+V334+V335+V336="","",IF(SUM(V331:V336)&gt;=[16]PARÁMETROS!$D$5,"HÁBIL","NO HÁBIL"))</f>
        <v>HÁBIL</v>
      </c>
      <c r="AI331" s="1484" t="str">
        <f>IF(V331+V332+V333="","",IF(V331+V332+V333&gt;=[16]PARÁMETROS!$H$5,"HÁBIL","NO HÁBIL"))</f>
        <v>HÁBIL</v>
      </c>
      <c r="AJ331" s="1393" t="str">
        <f>+IF(V331="","",IF(V331&gt;=[16]PARÁMETROS!$F$5,"CUMPLE","NO CUMPLE"))</f>
        <v>CUMPLE</v>
      </c>
      <c r="AK331" s="96"/>
    </row>
    <row r="332" spans="1:37" ht="128.25">
      <c r="A332" s="1615"/>
      <c r="B332" s="1625"/>
      <c r="C332" s="19" t="s">
        <v>387</v>
      </c>
      <c r="D332" s="36">
        <v>205</v>
      </c>
      <c r="E332" s="21" t="s">
        <v>2174</v>
      </c>
      <c r="F332" s="22" t="s">
        <v>1793</v>
      </c>
      <c r="G332" s="23" t="s">
        <v>587</v>
      </c>
      <c r="H332" s="1388" t="s">
        <v>22</v>
      </c>
      <c r="I332" s="1388" t="s">
        <v>22</v>
      </c>
      <c r="J332" s="24">
        <v>0.4</v>
      </c>
      <c r="K332" s="25">
        <v>40143</v>
      </c>
      <c r="L332" s="25">
        <v>41183</v>
      </c>
      <c r="M332" s="26">
        <f t="shared" si="37"/>
        <v>2012</v>
      </c>
      <c r="N332" s="27">
        <f>+IFERROR(INDEX([18]PARÁMETROS!$B$11:$B$37,MATCH(M332,[18]PARÁMETROS!$A$11:$A$37,0)),"")</f>
        <v>566700</v>
      </c>
      <c r="O332" s="28">
        <v>4331349652</v>
      </c>
      <c r="P332" s="29" t="s">
        <v>1801</v>
      </c>
      <c r="Q332" s="19" t="s">
        <v>140</v>
      </c>
      <c r="R332" s="30" t="s">
        <v>140</v>
      </c>
      <c r="S332" s="31">
        <v>1</v>
      </c>
      <c r="T332" s="27">
        <f t="shared" si="40"/>
        <v>4331349652</v>
      </c>
      <c r="U332" s="16">
        <f t="shared" si="38"/>
        <v>7643.1086147873657</v>
      </c>
      <c r="V332" s="16">
        <f t="shared" si="39"/>
        <v>3057.2434459149463</v>
      </c>
      <c r="W332" s="16">
        <v>8</v>
      </c>
      <c r="X332" s="1485" t="s">
        <v>22</v>
      </c>
      <c r="Y332" s="1485"/>
      <c r="Z332" s="1485"/>
      <c r="AA332" s="1485" t="s">
        <v>22</v>
      </c>
      <c r="AB332" s="1485"/>
      <c r="AC332" s="1485"/>
      <c r="AD332" s="1485" t="s">
        <v>22</v>
      </c>
      <c r="AE332" s="1485"/>
      <c r="AF332" s="1485"/>
      <c r="AG332" s="1388" t="s">
        <v>22</v>
      </c>
      <c r="AH332" s="1485"/>
      <c r="AI332" s="1485"/>
      <c r="AJ332" s="1388" t="str">
        <f>+IF(V332="","",IF(V332&gt;=[16]PARÁMETROS!$F$5,"CUMPLE","NO CUMPLE"))</f>
        <v>CUMPLE</v>
      </c>
      <c r="AK332" s="97"/>
    </row>
    <row r="333" spans="1:37" ht="42.75">
      <c r="A333" s="1615"/>
      <c r="B333" s="1625"/>
      <c r="C333" s="19" t="s">
        <v>387</v>
      </c>
      <c r="D333" s="36">
        <v>210</v>
      </c>
      <c r="E333" s="21" t="s">
        <v>2174</v>
      </c>
      <c r="F333" s="22" t="s">
        <v>1818</v>
      </c>
      <c r="G333" s="23" t="s">
        <v>1819</v>
      </c>
      <c r="H333" s="1388" t="s">
        <v>22</v>
      </c>
      <c r="I333" s="1388" t="s">
        <v>22</v>
      </c>
      <c r="J333" s="24">
        <v>1</v>
      </c>
      <c r="K333" s="25">
        <v>40268</v>
      </c>
      <c r="L333" s="25">
        <v>40847</v>
      </c>
      <c r="M333" s="26">
        <f t="shared" si="37"/>
        <v>2011</v>
      </c>
      <c r="N333" s="27">
        <f>+IFERROR(INDEX([18]PARÁMETROS!$B$11:$B$37,MATCH(M333,[18]PARÁMETROS!$A$11:$A$37,0)),"")</f>
        <v>535600</v>
      </c>
      <c r="O333" s="28">
        <v>1576786280</v>
      </c>
      <c r="P333" s="29" t="s">
        <v>1801</v>
      </c>
      <c r="Q333" s="19" t="s">
        <v>140</v>
      </c>
      <c r="R333" s="30" t="s">
        <v>140</v>
      </c>
      <c r="S333" s="31">
        <v>1</v>
      </c>
      <c r="T333" s="27">
        <f t="shared" si="40"/>
        <v>1576786280</v>
      </c>
      <c r="U333" s="16">
        <f t="shared" si="38"/>
        <v>2943.9624346527257</v>
      </c>
      <c r="V333" s="16">
        <f t="shared" si="39"/>
        <v>2943.9624346527257</v>
      </c>
      <c r="W333" s="16">
        <v>10</v>
      </c>
      <c r="X333" s="1485" t="s">
        <v>22</v>
      </c>
      <c r="Y333" s="1485"/>
      <c r="Z333" s="1485"/>
      <c r="AA333" s="1485" t="s">
        <v>22</v>
      </c>
      <c r="AB333" s="1485"/>
      <c r="AC333" s="1485"/>
      <c r="AD333" s="1485" t="s">
        <v>22</v>
      </c>
      <c r="AE333" s="1485"/>
      <c r="AF333" s="1485"/>
      <c r="AG333" s="1388" t="s">
        <v>22</v>
      </c>
      <c r="AH333" s="1485"/>
      <c r="AI333" s="1485"/>
      <c r="AJ333" s="1388" t="str">
        <f>+IF(V333="","",IF(V333&gt;=[16]PARÁMETROS!$F$5,"CUMPLE","NO CUMPLE"))</f>
        <v>CUMPLE</v>
      </c>
      <c r="AK333" s="97"/>
    </row>
    <row r="334" spans="1:37" ht="71.25">
      <c r="A334" s="1615"/>
      <c r="B334" s="1625"/>
      <c r="C334" s="19" t="s">
        <v>394</v>
      </c>
      <c r="D334" s="36">
        <v>212</v>
      </c>
      <c r="E334" s="21" t="s">
        <v>2175</v>
      </c>
      <c r="F334" s="22" t="s">
        <v>442</v>
      </c>
      <c r="G334" s="23" t="s">
        <v>1109</v>
      </c>
      <c r="H334" s="1388" t="s">
        <v>22</v>
      </c>
      <c r="I334" s="1388" t="s">
        <v>22</v>
      </c>
      <c r="J334" s="24">
        <v>0.5</v>
      </c>
      <c r="K334" s="25">
        <v>36333</v>
      </c>
      <c r="L334" s="25">
        <v>38915</v>
      </c>
      <c r="M334" s="26">
        <f t="shared" si="37"/>
        <v>2006</v>
      </c>
      <c r="N334" s="27">
        <f>+IFERROR(INDEX([18]PARÁMETROS!$B$11:$B$37,MATCH(M334,[18]PARÁMETROS!$A$11:$A$37,0)),"")</f>
        <v>408000</v>
      </c>
      <c r="O334" s="28">
        <v>19941780178.799999</v>
      </c>
      <c r="P334" s="29" t="s">
        <v>1801</v>
      </c>
      <c r="Q334" s="19" t="s">
        <v>140</v>
      </c>
      <c r="R334" s="30" t="s">
        <v>140</v>
      </c>
      <c r="S334" s="31">
        <v>1</v>
      </c>
      <c r="T334" s="27">
        <f t="shared" si="40"/>
        <v>19941780178.799999</v>
      </c>
      <c r="U334" s="16">
        <f t="shared" si="38"/>
        <v>48876.912202941174</v>
      </c>
      <c r="V334" s="16">
        <f t="shared" si="39"/>
        <v>24438.456101470587</v>
      </c>
      <c r="W334" s="16">
        <v>19</v>
      </c>
      <c r="X334" s="1485" t="s">
        <v>22</v>
      </c>
      <c r="Y334" s="1485"/>
      <c r="Z334" s="1485"/>
      <c r="AA334" s="1485" t="s">
        <v>22</v>
      </c>
      <c r="AB334" s="1485"/>
      <c r="AC334" s="1485"/>
      <c r="AD334" s="1485" t="s">
        <v>22</v>
      </c>
      <c r="AE334" s="1485"/>
      <c r="AF334" s="1485"/>
      <c r="AG334" s="1388" t="s">
        <v>22</v>
      </c>
      <c r="AH334" s="1485"/>
      <c r="AI334" s="1485"/>
      <c r="AJ334" s="1388" t="str">
        <f>+IF(V334="","",IF(V334&gt;=[16]PARÁMETROS!$F$5,"CUMPLE","NO CUMPLE"))</f>
        <v>CUMPLE</v>
      </c>
      <c r="AK334" s="97"/>
    </row>
    <row r="335" spans="1:37" ht="57">
      <c r="A335" s="1615"/>
      <c r="B335" s="1625"/>
      <c r="C335" s="19" t="s">
        <v>394</v>
      </c>
      <c r="D335" s="36">
        <v>227</v>
      </c>
      <c r="E335" s="21" t="s">
        <v>2175</v>
      </c>
      <c r="F335" s="22" t="s">
        <v>517</v>
      </c>
      <c r="G335" s="23" t="s">
        <v>1817</v>
      </c>
      <c r="H335" s="1388" t="s">
        <v>22</v>
      </c>
      <c r="I335" s="1388" t="s">
        <v>22</v>
      </c>
      <c r="J335" s="24">
        <v>0.3</v>
      </c>
      <c r="K335" s="25">
        <v>39934</v>
      </c>
      <c r="L335" s="25">
        <v>41029</v>
      </c>
      <c r="M335" s="26">
        <f t="shared" si="37"/>
        <v>2012</v>
      </c>
      <c r="N335" s="27">
        <f>+IFERROR(INDEX([18]PARÁMETROS!$B$11:$B$37,MATCH(M335,[18]PARÁMETROS!$A$11:$A$37,0)),"")</f>
        <v>566700</v>
      </c>
      <c r="O335" s="28">
        <v>9410306392</v>
      </c>
      <c r="P335" s="29" t="s">
        <v>1801</v>
      </c>
      <c r="Q335" s="19" t="s">
        <v>140</v>
      </c>
      <c r="R335" s="30" t="s">
        <v>140</v>
      </c>
      <c r="S335" s="31">
        <v>1</v>
      </c>
      <c r="T335" s="27">
        <f t="shared" si="40"/>
        <v>9410306392</v>
      </c>
      <c r="U335" s="16">
        <f t="shared" si="38"/>
        <v>16605.446253749778</v>
      </c>
      <c r="V335" s="16">
        <f t="shared" si="39"/>
        <v>4981.6338761249335</v>
      </c>
      <c r="W335" s="16">
        <v>2</v>
      </c>
      <c r="X335" s="1485" t="s">
        <v>22</v>
      </c>
      <c r="Y335" s="1485"/>
      <c r="Z335" s="1485"/>
      <c r="AA335" s="1485" t="s">
        <v>22</v>
      </c>
      <c r="AB335" s="1485"/>
      <c r="AC335" s="1485"/>
      <c r="AD335" s="1485" t="s">
        <v>22</v>
      </c>
      <c r="AE335" s="1485"/>
      <c r="AF335" s="1485"/>
      <c r="AG335" s="1388" t="s">
        <v>22</v>
      </c>
      <c r="AH335" s="1485"/>
      <c r="AI335" s="1485"/>
      <c r="AJ335" s="1388" t="str">
        <f>+IF(V335="","",IF(V335&gt;=[16]PARÁMETROS!$F$5,"CUMPLE","NO CUMPLE"))</f>
        <v>CUMPLE</v>
      </c>
      <c r="AK335" s="97"/>
    </row>
    <row r="336" spans="1:37" ht="114.75" thickBot="1">
      <c r="A336" s="1615"/>
      <c r="B336" s="1626"/>
      <c r="C336" s="151" t="s">
        <v>394</v>
      </c>
      <c r="D336" s="501">
        <v>234</v>
      </c>
      <c r="E336" s="153" t="s">
        <v>2175</v>
      </c>
      <c r="F336" s="154" t="s">
        <v>442</v>
      </c>
      <c r="G336" s="155" t="s">
        <v>577</v>
      </c>
      <c r="H336" s="1419" t="s">
        <v>22</v>
      </c>
      <c r="I336" s="1419" t="s">
        <v>22</v>
      </c>
      <c r="J336" s="156">
        <v>0.5</v>
      </c>
      <c r="K336" s="157">
        <v>38916</v>
      </c>
      <c r="L336" s="157">
        <v>40267</v>
      </c>
      <c r="M336" s="158">
        <f t="shared" si="37"/>
        <v>2010</v>
      </c>
      <c r="N336" s="159">
        <f>+IFERROR(INDEX([18]PARÁMETROS!$B$11:$B$37,MATCH(M336,[18]PARÁMETROS!$A$11:$A$37,0)),"")</f>
        <v>515000</v>
      </c>
      <c r="O336" s="160">
        <v>7564702533</v>
      </c>
      <c r="P336" s="161" t="s">
        <v>1801</v>
      </c>
      <c r="Q336" s="151" t="s">
        <v>140</v>
      </c>
      <c r="R336" s="162" t="s">
        <v>140</v>
      </c>
      <c r="S336" s="163">
        <v>1</v>
      </c>
      <c r="T336" s="159">
        <f t="shared" si="40"/>
        <v>7564702533</v>
      </c>
      <c r="U336" s="164">
        <f t="shared" si="38"/>
        <v>14688.742782524272</v>
      </c>
      <c r="V336" s="164">
        <f t="shared" si="39"/>
        <v>7344.3713912621361</v>
      </c>
      <c r="W336" s="164">
        <v>15</v>
      </c>
      <c r="X336" s="1606" t="s">
        <v>22</v>
      </c>
      <c r="Y336" s="1606"/>
      <c r="Z336" s="1606"/>
      <c r="AA336" s="1606" t="s">
        <v>22</v>
      </c>
      <c r="AB336" s="1606"/>
      <c r="AC336" s="1606"/>
      <c r="AD336" s="1606" t="s">
        <v>22</v>
      </c>
      <c r="AE336" s="1606"/>
      <c r="AF336" s="1606"/>
      <c r="AG336" s="1419" t="s">
        <v>22</v>
      </c>
      <c r="AH336" s="1606"/>
      <c r="AI336" s="1606"/>
      <c r="AJ336" s="1419" t="str">
        <f>+IF(V336="","",IF(V336&gt;=[16]PARÁMETROS!$F$5,"CUMPLE","NO CUMPLE"))</f>
        <v>CUMPLE</v>
      </c>
      <c r="AK336" s="195"/>
    </row>
    <row r="337" spans="1:37" ht="57">
      <c r="A337" s="1615"/>
      <c r="B337" s="1624" t="s">
        <v>2176</v>
      </c>
      <c r="C337" s="81" t="s">
        <v>401</v>
      </c>
      <c r="D337" s="114">
        <v>232</v>
      </c>
      <c r="E337" s="83" t="s">
        <v>2177</v>
      </c>
      <c r="F337" s="627" t="s">
        <v>355</v>
      </c>
      <c r="G337" s="628" t="s">
        <v>1821</v>
      </c>
      <c r="H337" s="1393" t="s">
        <v>22</v>
      </c>
      <c r="I337" s="1393" t="s">
        <v>22</v>
      </c>
      <c r="J337" s="629">
        <v>1</v>
      </c>
      <c r="K337" s="630">
        <v>39934</v>
      </c>
      <c r="L337" s="630">
        <v>40724</v>
      </c>
      <c r="M337" s="88">
        <f t="shared" si="37"/>
        <v>2011</v>
      </c>
      <c r="N337" s="89">
        <f>+IFERROR(INDEX([18]PARÁMETROS!$B$11:$B$37,MATCH(M337,[18]PARÁMETROS!$A$11:$A$37,0)),"")</f>
        <v>535600</v>
      </c>
      <c r="O337" s="631">
        <v>9389034669</v>
      </c>
      <c r="P337" s="632" t="s">
        <v>1801</v>
      </c>
      <c r="Q337" s="81" t="s">
        <v>140</v>
      </c>
      <c r="R337" s="92" t="s">
        <v>140</v>
      </c>
      <c r="S337" s="93">
        <v>1</v>
      </c>
      <c r="T337" s="89">
        <f t="shared" si="40"/>
        <v>9389034669</v>
      </c>
      <c r="U337" s="94">
        <f t="shared" si="38"/>
        <v>17529.937768857355</v>
      </c>
      <c r="V337" s="94">
        <f t="shared" si="39"/>
        <v>17529.937768857355</v>
      </c>
      <c r="W337" s="94">
        <v>10</v>
      </c>
      <c r="X337" s="1484" t="s">
        <v>22</v>
      </c>
      <c r="Y337" s="1484"/>
      <c r="Z337" s="1484"/>
      <c r="AA337" s="1484" t="s">
        <v>22</v>
      </c>
      <c r="AB337" s="1484"/>
      <c r="AC337" s="1484"/>
      <c r="AD337" s="1484" t="s">
        <v>22</v>
      </c>
      <c r="AE337" s="1484"/>
      <c r="AF337" s="1484"/>
      <c r="AG337" s="1393" t="s">
        <v>22</v>
      </c>
      <c r="AH337" s="1484" t="str">
        <f>IF(V337:V339="","",IF(SUM(V337:V339)&gt;=[16]PARÁMETROS!$D$5,"HÁBIL","NO HÁBIL"))</f>
        <v>HÁBIL</v>
      </c>
      <c r="AI337" s="1484" t="str">
        <f>IF(V337:V338="","",IF(V337+V338&gt;=[16]PARÁMETROS!$H$5,"HÁBIL","NO HÁBIL"))</f>
        <v>HÁBIL</v>
      </c>
      <c r="AJ337" s="1393" t="str">
        <f>+IF(V337="","",IF(V337&gt;=[16]PARÁMETROS!$F$5,"CUMPLE","NO CUMPLE"))</f>
        <v>CUMPLE</v>
      </c>
      <c r="AK337" s="96"/>
    </row>
    <row r="338" spans="1:37" ht="42.75">
      <c r="A338" s="1615"/>
      <c r="B338" s="1625"/>
      <c r="C338" s="19" t="s">
        <v>401</v>
      </c>
      <c r="D338" s="36">
        <v>339</v>
      </c>
      <c r="E338" s="21" t="s">
        <v>2177</v>
      </c>
      <c r="F338" s="22" t="s">
        <v>493</v>
      </c>
      <c r="G338" s="23" t="s">
        <v>1822</v>
      </c>
      <c r="H338" s="1388" t="s">
        <v>22</v>
      </c>
      <c r="I338" s="1388" t="s">
        <v>22</v>
      </c>
      <c r="J338" s="24">
        <v>0.5</v>
      </c>
      <c r="K338" s="47">
        <v>37411</v>
      </c>
      <c r="L338" s="25">
        <v>38776</v>
      </c>
      <c r="M338" s="26">
        <f t="shared" si="37"/>
        <v>2006</v>
      </c>
      <c r="N338" s="27">
        <f>+IFERROR(INDEX([18]PARÁMETROS!$B$11:$B$37,MATCH(M338,[18]PARÁMETROS!$A$11:$A$37,0)),"")</f>
        <v>408000</v>
      </c>
      <c r="O338" s="28">
        <v>3791186167</v>
      </c>
      <c r="P338" s="29" t="s">
        <v>1801</v>
      </c>
      <c r="Q338" s="19" t="s">
        <v>140</v>
      </c>
      <c r="R338" s="30" t="s">
        <v>140</v>
      </c>
      <c r="S338" s="31">
        <v>1</v>
      </c>
      <c r="T338" s="27">
        <f t="shared" si="40"/>
        <v>3791186167</v>
      </c>
      <c r="U338" s="16">
        <f t="shared" si="38"/>
        <v>9292.1229583333334</v>
      </c>
      <c r="V338" s="16">
        <f t="shared" si="39"/>
        <v>4646.0614791666667</v>
      </c>
      <c r="W338" s="16">
        <v>25</v>
      </c>
      <c r="X338" s="1485" t="s">
        <v>22</v>
      </c>
      <c r="Y338" s="1485"/>
      <c r="Z338" s="1485"/>
      <c r="AA338" s="1485" t="s">
        <v>22</v>
      </c>
      <c r="AB338" s="1485"/>
      <c r="AC338" s="1485"/>
      <c r="AD338" s="1485" t="s">
        <v>22</v>
      </c>
      <c r="AE338" s="1485"/>
      <c r="AF338" s="1485"/>
      <c r="AG338" s="1388" t="s">
        <v>22</v>
      </c>
      <c r="AH338" s="1485"/>
      <c r="AI338" s="1485"/>
      <c r="AJ338" s="1388" t="str">
        <f>+IF(V338="","",IF(V338&gt;=[16]PARÁMETROS!$F$5,"CUMPLE","NO CUMPLE"))</f>
        <v>CUMPLE</v>
      </c>
      <c r="AK338" s="97"/>
    </row>
    <row r="339" spans="1:37" ht="57.75" thickBot="1">
      <c r="A339" s="1615"/>
      <c r="B339" s="1627"/>
      <c r="C339" s="99" t="s">
        <v>410</v>
      </c>
      <c r="D339" s="100">
        <v>366</v>
      </c>
      <c r="E339" s="101" t="s">
        <v>2178</v>
      </c>
      <c r="F339" s="102" t="s">
        <v>168</v>
      </c>
      <c r="G339" s="103" t="s">
        <v>2179</v>
      </c>
      <c r="H339" s="1392" t="s">
        <v>22</v>
      </c>
      <c r="I339" s="1392" t="s">
        <v>22</v>
      </c>
      <c r="J339" s="104">
        <v>0.45</v>
      </c>
      <c r="K339" s="105">
        <v>40805</v>
      </c>
      <c r="L339" s="105">
        <v>41730</v>
      </c>
      <c r="M339" s="106">
        <f t="shared" si="37"/>
        <v>2014</v>
      </c>
      <c r="N339" s="107">
        <f>+IFERROR(INDEX([16]PARÁMETROS!$B$11:$B$37,MATCH(M339,[16]PARÁMETROS!$A$11:$A$37,0)),"")</f>
        <v>616000</v>
      </c>
      <c r="O339" s="108">
        <v>5922134662</v>
      </c>
      <c r="P339" s="109" t="s">
        <v>1801</v>
      </c>
      <c r="Q339" s="99" t="s">
        <v>140</v>
      </c>
      <c r="R339" s="110" t="s">
        <v>140</v>
      </c>
      <c r="S339" s="111">
        <v>1</v>
      </c>
      <c r="T339" s="107">
        <f t="shared" si="40"/>
        <v>5922134662</v>
      </c>
      <c r="U339" s="112">
        <f t="shared" si="38"/>
        <v>9613.8549707792208</v>
      </c>
      <c r="V339" s="112">
        <f t="shared" si="39"/>
        <v>4326.2347368506498</v>
      </c>
      <c r="W339" s="112">
        <v>20</v>
      </c>
      <c r="X339" s="1486" t="s">
        <v>22</v>
      </c>
      <c r="Y339" s="1486"/>
      <c r="Z339" s="1486"/>
      <c r="AA339" s="1486" t="s">
        <v>22</v>
      </c>
      <c r="AB339" s="1486"/>
      <c r="AC339" s="1486"/>
      <c r="AD339" s="1486" t="s">
        <v>22</v>
      </c>
      <c r="AE339" s="1486"/>
      <c r="AF339" s="1486"/>
      <c r="AG339" s="1392" t="s">
        <v>22</v>
      </c>
      <c r="AH339" s="1486"/>
      <c r="AI339" s="1486"/>
      <c r="AJ339" s="1392" t="str">
        <f>+IF(V339="","",IF(V339&gt;=[16]PARÁMETROS!$F$5,"CUMPLE","NO CUMPLE"))</f>
        <v>CUMPLE</v>
      </c>
      <c r="AK339" s="113"/>
    </row>
    <row r="340" spans="1:37" ht="63">
      <c r="A340" s="1615"/>
      <c r="B340" s="1509" t="s">
        <v>2180</v>
      </c>
      <c r="C340" s="81" t="s">
        <v>416</v>
      </c>
      <c r="D340" s="82">
        <v>97</v>
      </c>
      <c r="E340" s="83" t="s">
        <v>2181</v>
      </c>
      <c r="F340" s="84" t="s">
        <v>214</v>
      </c>
      <c r="G340" s="85" t="s">
        <v>2182</v>
      </c>
      <c r="H340" s="1393" t="s">
        <v>22</v>
      </c>
      <c r="I340" s="1393" t="s">
        <v>22</v>
      </c>
      <c r="J340" s="86">
        <v>1</v>
      </c>
      <c r="K340" s="87">
        <v>39087</v>
      </c>
      <c r="L340" s="87">
        <v>40334</v>
      </c>
      <c r="M340" s="88">
        <f>IF(L340="","",YEAR(L340))</f>
        <v>2010</v>
      </c>
      <c r="N340" s="89">
        <f>+IFERROR(INDEX([19]PARÁMETROS!$B$11:$B$37,MATCH(M340,[19]PARÁMETROS!$A$11:$A$37,0)),"")</f>
        <v>515000</v>
      </c>
      <c r="O340" s="635">
        <v>1306037.8500000001</v>
      </c>
      <c r="P340" s="91" t="s">
        <v>142</v>
      </c>
      <c r="Q340" s="81">
        <v>1.2085600000000001</v>
      </c>
      <c r="R340" s="93">
        <f>+Q340*O340</f>
        <v>1578425.1039960003</v>
      </c>
      <c r="S340" s="636">
        <v>1965.83</v>
      </c>
      <c r="T340" s="637">
        <f>+S340*R340</f>
        <v>3102915422.188457</v>
      </c>
      <c r="U340" s="94">
        <f>+IFERROR(T340/N340,"")</f>
        <v>6025.0784896863242</v>
      </c>
      <c r="V340" s="94">
        <f>IFERROR(U340*J340,"")</f>
        <v>6025.0784896863242</v>
      </c>
      <c r="W340" s="95">
        <v>28</v>
      </c>
      <c r="X340" s="1484" t="s">
        <v>22</v>
      </c>
      <c r="Y340" s="1484"/>
      <c r="Z340" s="1484"/>
      <c r="AA340" s="1484" t="s">
        <v>22</v>
      </c>
      <c r="AB340" s="1484"/>
      <c r="AC340" s="1484"/>
      <c r="AD340" s="1484" t="s">
        <v>129</v>
      </c>
      <c r="AE340" s="1484"/>
      <c r="AF340" s="1484"/>
      <c r="AG340" s="1393" t="s">
        <v>22</v>
      </c>
      <c r="AH340" s="1484" t="str">
        <f>IF(V340="","",IF(SUM(V340:V343)&gt;=[19]PARÁMETROS!$D$5,"HÁBIL","NO HÁBIL"))</f>
        <v>HÁBIL</v>
      </c>
      <c r="AI340" s="1484" t="str">
        <f>IF(V340="","",IF(SUM(V340:V341)&gt;=[19]PARÁMETROS!$H$5,"HÁBIL","NO HÁBIL"))</f>
        <v>HÁBIL</v>
      </c>
      <c r="AJ340" s="1393" t="str">
        <f>+IF(V340="","",IF(V340&gt;=[19]PARÁMETROS!$F$5,"CUMPLE","NO CUMPLE"))</f>
        <v>CUMPLE</v>
      </c>
      <c r="AK340" s="96"/>
    </row>
    <row r="341" spans="1:37" ht="63">
      <c r="A341" s="1615"/>
      <c r="B341" s="1510"/>
      <c r="C341" s="19" t="s">
        <v>416</v>
      </c>
      <c r="D341" s="20">
        <v>104</v>
      </c>
      <c r="E341" s="21" t="s">
        <v>2181</v>
      </c>
      <c r="F341" s="22" t="s">
        <v>214</v>
      </c>
      <c r="G341" s="22" t="s">
        <v>2183</v>
      </c>
      <c r="H341" s="1388" t="s">
        <v>22</v>
      </c>
      <c r="I341" s="1388" t="s">
        <v>22</v>
      </c>
      <c r="J341" s="34">
        <v>1</v>
      </c>
      <c r="K341" s="25">
        <v>38681</v>
      </c>
      <c r="L341" s="25">
        <v>39777</v>
      </c>
      <c r="M341" s="26">
        <f t="shared" ref="M341:M367" si="41">IF(L341="","",YEAR(L341))</f>
        <v>2008</v>
      </c>
      <c r="N341" s="27">
        <f>+IFERROR(INDEX([19]PARÁMETROS!$B$11:$B$37,MATCH(M341,[19]PARÁMETROS!$A$11:$A$37,0)),"")</f>
        <v>461500</v>
      </c>
      <c r="O341" s="638">
        <v>763582.06</v>
      </c>
      <c r="P341" s="27" t="s">
        <v>142</v>
      </c>
      <c r="Q341" s="19">
        <v>1.2687600000000001</v>
      </c>
      <c r="R341" s="31">
        <f>+Q341*O341</f>
        <v>968802.3744456002</v>
      </c>
      <c r="S341" s="573">
        <v>2314.7199999999998</v>
      </c>
      <c r="T341" s="279">
        <f>+S341*R341</f>
        <v>2242506232.1767197</v>
      </c>
      <c r="U341" s="16">
        <f t="shared" ref="U341:U403" si="42">+IFERROR(T341/N341,"")</f>
        <v>4859.168433752372</v>
      </c>
      <c r="V341" s="16">
        <f t="shared" ref="V341:V404" si="43">IFERROR(U341*J341,"")</f>
        <v>4859.168433752372</v>
      </c>
      <c r="W341" s="32">
        <v>30</v>
      </c>
      <c r="X341" s="1485" t="s">
        <v>22</v>
      </c>
      <c r="Y341" s="1485"/>
      <c r="Z341" s="1485"/>
      <c r="AA341" s="1485" t="s">
        <v>22</v>
      </c>
      <c r="AB341" s="1485"/>
      <c r="AC341" s="1485"/>
      <c r="AD341" s="1485" t="s">
        <v>129</v>
      </c>
      <c r="AE341" s="1485"/>
      <c r="AF341" s="1485"/>
      <c r="AG341" s="1388" t="s">
        <v>22</v>
      </c>
      <c r="AH341" s="1485"/>
      <c r="AI341" s="1485"/>
      <c r="AJ341" s="1388" t="str">
        <f>+IF(V341="","",IF(V341&gt;=[19]PARÁMETROS!$F$5,"CUMPLE","NO CUMPLE"))</f>
        <v>CUMPLE</v>
      </c>
      <c r="AK341" s="97"/>
    </row>
    <row r="342" spans="1:37" ht="47.25">
      <c r="A342" s="1615"/>
      <c r="B342" s="1510"/>
      <c r="C342" s="19" t="s">
        <v>425</v>
      </c>
      <c r="D342" s="20">
        <v>111</v>
      </c>
      <c r="E342" s="21" t="s">
        <v>2184</v>
      </c>
      <c r="F342" s="22" t="s">
        <v>147</v>
      </c>
      <c r="G342" s="23" t="s">
        <v>2185</v>
      </c>
      <c r="H342" s="1388" t="s">
        <v>22</v>
      </c>
      <c r="I342" s="1388" t="s">
        <v>22</v>
      </c>
      <c r="J342" s="24">
        <v>0.75</v>
      </c>
      <c r="K342" s="25">
        <v>39521</v>
      </c>
      <c r="L342" s="25">
        <v>40999</v>
      </c>
      <c r="M342" s="26">
        <f t="shared" si="41"/>
        <v>2012</v>
      </c>
      <c r="N342" s="27">
        <f>+IFERROR(INDEX([19]PARÁMETROS!$B$11:$B$37,MATCH(M342,[19]PARÁMETROS!$A$11:$A$37,0)),"")</f>
        <v>566700</v>
      </c>
      <c r="O342" s="28">
        <v>7072964150</v>
      </c>
      <c r="P342" s="29" t="s">
        <v>151</v>
      </c>
      <c r="Q342" s="19" t="s">
        <v>326</v>
      </c>
      <c r="R342" s="30" t="s">
        <v>326</v>
      </c>
      <c r="S342" s="31">
        <v>1</v>
      </c>
      <c r="T342" s="27">
        <f t="shared" ref="T342:T370" si="44">IF(S342&lt;&gt;"",O342*S342,"")</f>
        <v>7072964150</v>
      </c>
      <c r="U342" s="16">
        <f t="shared" si="42"/>
        <v>12480.967266631375</v>
      </c>
      <c r="V342" s="16">
        <f t="shared" si="43"/>
        <v>9360.7254499735318</v>
      </c>
      <c r="W342" s="32">
        <v>31</v>
      </c>
      <c r="X342" s="1485" t="s">
        <v>129</v>
      </c>
      <c r="Y342" s="1485"/>
      <c r="Z342" s="1485"/>
      <c r="AA342" s="1485" t="s">
        <v>22</v>
      </c>
      <c r="AB342" s="1485"/>
      <c r="AC342" s="1485"/>
      <c r="AD342" s="1485" t="s">
        <v>129</v>
      </c>
      <c r="AE342" s="1485"/>
      <c r="AF342" s="1485"/>
      <c r="AG342" s="1388" t="s">
        <v>22</v>
      </c>
      <c r="AH342" s="1485"/>
      <c r="AI342" s="1485"/>
      <c r="AJ342" s="1388" t="str">
        <f>+IF(V342="","",IF(V342&gt;=[19]PARÁMETROS!$F$5,"CUMPLE","NO CUMPLE"))</f>
        <v>CUMPLE</v>
      </c>
      <c r="AK342" s="98"/>
    </row>
    <row r="343" spans="1:37" ht="72" thickBot="1">
      <c r="A343" s="1615"/>
      <c r="B343" s="1511"/>
      <c r="C343" s="99" t="s">
        <v>425</v>
      </c>
      <c r="D343" s="123">
        <v>130</v>
      </c>
      <c r="E343" s="101" t="s">
        <v>2184</v>
      </c>
      <c r="F343" s="102" t="s">
        <v>263</v>
      </c>
      <c r="G343" s="103" t="s">
        <v>2186</v>
      </c>
      <c r="H343" s="1392" t="s">
        <v>22</v>
      </c>
      <c r="I343" s="1392" t="s">
        <v>22</v>
      </c>
      <c r="J343" s="104">
        <v>0.5</v>
      </c>
      <c r="K343" s="105">
        <v>39694</v>
      </c>
      <c r="L343" s="105">
        <v>40283</v>
      </c>
      <c r="M343" s="106">
        <f t="shared" si="41"/>
        <v>2010</v>
      </c>
      <c r="N343" s="107">
        <f>+IFERROR(INDEX([19]PARÁMETROS!$B$11:$B$37,MATCH(M343,[19]PARÁMETROS!$A$11:$A$37,0)),"")</f>
        <v>515000</v>
      </c>
      <c r="O343" s="108">
        <v>3136622318</v>
      </c>
      <c r="P343" s="109" t="s">
        <v>151</v>
      </c>
      <c r="Q343" s="99" t="s">
        <v>326</v>
      </c>
      <c r="R343" s="110" t="s">
        <v>326</v>
      </c>
      <c r="S343" s="111">
        <v>1</v>
      </c>
      <c r="T343" s="107">
        <f t="shared" si="44"/>
        <v>3136622318</v>
      </c>
      <c r="U343" s="112">
        <f t="shared" si="42"/>
        <v>6090.5287728155336</v>
      </c>
      <c r="V343" s="112">
        <f t="shared" si="43"/>
        <v>3045.2643864077668</v>
      </c>
      <c r="W343" s="225">
        <v>33</v>
      </c>
      <c r="X343" s="1493" t="s">
        <v>129</v>
      </c>
      <c r="Y343" s="1494"/>
      <c r="Z343" s="1495"/>
      <c r="AA343" s="1493" t="s">
        <v>22</v>
      </c>
      <c r="AB343" s="1494"/>
      <c r="AC343" s="1495"/>
      <c r="AD343" s="1493" t="s">
        <v>129</v>
      </c>
      <c r="AE343" s="1494"/>
      <c r="AF343" s="1495"/>
      <c r="AG343" s="1403" t="s">
        <v>22</v>
      </c>
      <c r="AH343" s="1486"/>
      <c r="AI343" s="1486"/>
      <c r="AJ343" s="1392" t="str">
        <f>+IF(V343="","",IF(V343&gt;=[19]PARÁMETROS!$F$5,"CUMPLE","NO CUMPLE"))</f>
        <v>CUMPLE</v>
      </c>
      <c r="AK343" s="124"/>
    </row>
    <row r="344" spans="1:37" ht="57">
      <c r="A344" s="1615"/>
      <c r="B344" s="1605" t="s">
        <v>2187</v>
      </c>
      <c r="C344" s="68" t="s">
        <v>441</v>
      </c>
      <c r="D344" s="339">
        <v>102</v>
      </c>
      <c r="E344" s="70" t="s">
        <v>2188</v>
      </c>
      <c r="F344" s="71" t="s">
        <v>442</v>
      </c>
      <c r="G344" s="72" t="s">
        <v>1984</v>
      </c>
      <c r="H344" s="1394" t="s">
        <v>22</v>
      </c>
      <c r="I344" s="1394" t="s">
        <v>22</v>
      </c>
      <c r="J344" s="73">
        <v>1</v>
      </c>
      <c r="K344" s="74">
        <v>38622</v>
      </c>
      <c r="L344" s="74">
        <v>39930</v>
      </c>
      <c r="M344" s="116">
        <f t="shared" si="41"/>
        <v>2009</v>
      </c>
      <c r="N344" s="75">
        <f>+IFERROR(INDEX([19]PARÁMETROS!$B$11:$B$37,MATCH(M344,[19]PARÁMETROS!$A$11:$A$37,0)),"")</f>
        <v>496900</v>
      </c>
      <c r="O344" s="76">
        <v>7034470356</v>
      </c>
      <c r="P344" s="77" t="s">
        <v>151</v>
      </c>
      <c r="Q344" s="68" t="s">
        <v>326</v>
      </c>
      <c r="R344" s="78" t="s">
        <v>326</v>
      </c>
      <c r="S344" s="79">
        <v>1</v>
      </c>
      <c r="T344" s="75">
        <f t="shared" si="44"/>
        <v>7034470356</v>
      </c>
      <c r="U344" s="80">
        <f t="shared" si="42"/>
        <v>14156.712328436304</v>
      </c>
      <c r="V344" s="80">
        <f t="shared" si="43"/>
        <v>14156.712328436304</v>
      </c>
      <c r="W344" s="277">
        <v>1</v>
      </c>
      <c r="X344" s="1508" t="s">
        <v>129</v>
      </c>
      <c r="Y344" s="1508"/>
      <c r="Z344" s="1508"/>
      <c r="AA344" s="1508" t="s">
        <v>22</v>
      </c>
      <c r="AB344" s="1508"/>
      <c r="AC344" s="1508"/>
      <c r="AD344" s="1508" t="s">
        <v>129</v>
      </c>
      <c r="AE344" s="1508"/>
      <c r="AF344" s="1508"/>
      <c r="AG344" s="1394" t="s">
        <v>22</v>
      </c>
      <c r="AH344" s="1508" t="str">
        <f>IF(V344="","",IF(SUM(V344:V347)&gt;=[19]PARÁMETROS!$D$5,"HÁBIL","NO HÁBIL"))</f>
        <v>HÁBIL</v>
      </c>
      <c r="AI344" s="1508" t="str">
        <f>IF(V344="","",IF(SUM(V344:V346)&gt;=[19]PARÁMETROS!$H$5,"HÁBIL","NO HÁBIL"))</f>
        <v>HÁBIL</v>
      </c>
      <c r="AJ344" s="1394" t="str">
        <f>+IF(V344="","",IF(V344&gt;=[19]PARÁMETROS!$F$5,"CUMPLE","NO CUMPLE"))</f>
        <v>CUMPLE</v>
      </c>
      <c r="AK344" s="122"/>
    </row>
    <row r="345" spans="1:37" ht="57">
      <c r="A345" s="1615"/>
      <c r="B345" s="1510"/>
      <c r="C345" s="19" t="s">
        <v>441</v>
      </c>
      <c r="D345" s="20">
        <v>111</v>
      </c>
      <c r="E345" s="21" t="s">
        <v>2188</v>
      </c>
      <c r="F345" s="22" t="s">
        <v>442</v>
      </c>
      <c r="G345" s="23" t="s">
        <v>1985</v>
      </c>
      <c r="H345" s="1388" t="s">
        <v>22</v>
      </c>
      <c r="I345" s="1388" t="s">
        <v>22</v>
      </c>
      <c r="J345" s="24">
        <v>1</v>
      </c>
      <c r="K345" s="25">
        <v>39909</v>
      </c>
      <c r="L345" s="25">
        <v>41186</v>
      </c>
      <c r="M345" s="26">
        <f t="shared" si="41"/>
        <v>2012</v>
      </c>
      <c r="N345" s="27">
        <f>+IFERROR(INDEX([19]PARÁMETROS!$B$11:$B$37,MATCH(M345,[19]PARÁMETROS!$A$11:$A$37,0)),"")</f>
        <v>566700</v>
      </c>
      <c r="O345" s="28">
        <v>10196799946</v>
      </c>
      <c r="P345" s="29" t="s">
        <v>151</v>
      </c>
      <c r="Q345" s="19" t="s">
        <v>326</v>
      </c>
      <c r="R345" s="30" t="s">
        <v>326</v>
      </c>
      <c r="S345" s="31">
        <v>1</v>
      </c>
      <c r="T345" s="27">
        <f t="shared" si="44"/>
        <v>10196799946</v>
      </c>
      <c r="U345" s="16">
        <f t="shared" si="42"/>
        <v>17993.294416799014</v>
      </c>
      <c r="V345" s="16">
        <f t="shared" si="43"/>
        <v>17993.294416799014</v>
      </c>
      <c r="W345" s="208">
        <v>3</v>
      </c>
      <c r="X345" s="1485" t="s">
        <v>129</v>
      </c>
      <c r="Y345" s="1485"/>
      <c r="Z345" s="1485"/>
      <c r="AA345" s="1485" t="s">
        <v>22</v>
      </c>
      <c r="AB345" s="1485"/>
      <c r="AC345" s="1485"/>
      <c r="AD345" s="1485" t="s">
        <v>129</v>
      </c>
      <c r="AE345" s="1485"/>
      <c r="AF345" s="1485"/>
      <c r="AG345" s="1388" t="s">
        <v>22</v>
      </c>
      <c r="AH345" s="1485"/>
      <c r="AI345" s="1485"/>
      <c r="AJ345" s="1388" t="str">
        <f>+IF(V345="","",IF(V345&gt;=[19]PARÁMETROS!$F$5,"CUMPLE","NO CUMPLE"))</f>
        <v>CUMPLE</v>
      </c>
      <c r="AK345" s="97"/>
    </row>
    <row r="346" spans="1:37" ht="57">
      <c r="A346" s="1615"/>
      <c r="B346" s="1510"/>
      <c r="C346" s="19" t="s">
        <v>441</v>
      </c>
      <c r="D346" s="20">
        <v>117</v>
      </c>
      <c r="E346" s="21" t="s">
        <v>2188</v>
      </c>
      <c r="F346" s="22" t="s">
        <v>442</v>
      </c>
      <c r="G346" s="23" t="s">
        <v>1986</v>
      </c>
      <c r="H346" s="1388" t="s">
        <v>22</v>
      </c>
      <c r="I346" s="1388" t="s">
        <v>22</v>
      </c>
      <c r="J346" s="24">
        <v>1</v>
      </c>
      <c r="K346" s="25">
        <v>39542</v>
      </c>
      <c r="L346" s="25">
        <v>40669</v>
      </c>
      <c r="M346" s="26">
        <f t="shared" si="41"/>
        <v>2011</v>
      </c>
      <c r="N346" s="27">
        <f>+IFERROR(INDEX([19]PARÁMETROS!$B$11:$B$37,MATCH(M346,[19]PARÁMETROS!$A$11:$A$37,0)),"")</f>
        <v>535600</v>
      </c>
      <c r="O346" s="28">
        <v>4384894733</v>
      </c>
      <c r="P346" s="29" t="s">
        <v>151</v>
      </c>
      <c r="Q346" s="19" t="s">
        <v>326</v>
      </c>
      <c r="R346" s="30" t="s">
        <v>326</v>
      </c>
      <c r="S346" s="31">
        <v>1</v>
      </c>
      <c r="T346" s="27">
        <f t="shared" si="44"/>
        <v>4384894733</v>
      </c>
      <c r="U346" s="16">
        <f t="shared" si="42"/>
        <v>8186.8833700522782</v>
      </c>
      <c r="V346" s="16">
        <f t="shared" si="43"/>
        <v>8186.8833700522782</v>
      </c>
      <c r="W346" s="208">
        <v>2</v>
      </c>
      <c r="X346" s="1485" t="s">
        <v>129</v>
      </c>
      <c r="Y346" s="1485"/>
      <c r="Z346" s="1485"/>
      <c r="AA346" s="1485" t="s">
        <v>22</v>
      </c>
      <c r="AB346" s="1485"/>
      <c r="AC346" s="1485"/>
      <c r="AD346" s="1485" t="s">
        <v>129</v>
      </c>
      <c r="AE346" s="1485"/>
      <c r="AF346" s="1485"/>
      <c r="AG346" s="1388" t="s">
        <v>22</v>
      </c>
      <c r="AH346" s="1485"/>
      <c r="AI346" s="1485"/>
      <c r="AJ346" s="1388" t="str">
        <f>+IF(V346="","",IF(V346&gt;=[19]PARÁMETROS!$F$5,"CUMPLE","NO CUMPLE"))</f>
        <v>CUMPLE</v>
      </c>
      <c r="AK346" s="97"/>
    </row>
    <row r="347" spans="1:37" ht="243" thickBot="1">
      <c r="A347" s="1615"/>
      <c r="B347" s="1510"/>
      <c r="C347" s="19" t="s">
        <v>436</v>
      </c>
      <c r="D347" s="20">
        <v>120</v>
      </c>
      <c r="E347" s="21" t="s">
        <v>2189</v>
      </c>
      <c r="F347" s="22" t="s">
        <v>448</v>
      </c>
      <c r="G347" s="23" t="s">
        <v>1988</v>
      </c>
      <c r="H347" s="1388" t="s">
        <v>22</v>
      </c>
      <c r="I347" s="1388" t="s">
        <v>22</v>
      </c>
      <c r="J347" s="24">
        <v>0.2</v>
      </c>
      <c r="K347" s="25">
        <v>39615</v>
      </c>
      <c r="L347" s="25">
        <v>41502</v>
      </c>
      <c r="M347" s="26">
        <f t="shared" si="41"/>
        <v>2013</v>
      </c>
      <c r="N347" s="27">
        <f>+IFERROR(INDEX([19]PARÁMETROS!$B$11:$B$37,MATCH(M347,[19]PARÁMETROS!$A$11:$A$37,0)),"")</f>
        <v>589500</v>
      </c>
      <c r="O347" s="28">
        <f>28736581560</f>
        <v>28736581560</v>
      </c>
      <c r="P347" s="29" t="s">
        <v>151</v>
      </c>
      <c r="Q347" s="19" t="s">
        <v>326</v>
      </c>
      <c r="R347" s="30" t="s">
        <v>326</v>
      </c>
      <c r="S347" s="31">
        <v>1</v>
      </c>
      <c r="T347" s="27">
        <f>IF(S347&lt;&gt;"",O347*S347,"")</f>
        <v>28736581560</v>
      </c>
      <c r="U347" s="16">
        <f>+IFERROR(T347/N347,"")</f>
        <v>48747.381781170487</v>
      </c>
      <c r="V347" s="16">
        <f>IFERROR(U347*J347,"")</f>
        <v>9749.4763562340977</v>
      </c>
      <c r="W347" s="208">
        <v>42</v>
      </c>
      <c r="X347" s="1485" t="s">
        <v>129</v>
      </c>
      <c r="Y347" s="1485"/>
      <c r="Z347" s="1485"/>
      <c r="AA347" s="1485" t="s">
        <v>22</v>
      </c>
      <c r="AB347" s="1485"/>
      <c r="AC347" s="1485"/>
      <c r="AD347" s="1485" t="s">
        <v>129</v>
      </c>
      <c r="AE347" s="1485"/>
      <c r="AF347" s="1485"/>
      <c r="AG347" s="1388" t="s">
        <v>22</v>
      </c>
      <c r="AH347" s="1485"/>
      <c r="AI347" s="1485"/>
      <c r="AJ347" s="1388" t="str">
        <f>+IF(V347="","",IF(V347&gt;=[19]PARÁMETROS!$F$5,"CUMPLE","NO CUMPLE"))</f>
        <v>CUMPLE</v>
      </c>
      <c r="AK347" s="97"/>
    </row>
    <row r="348" spans="1:37" ht="71.25">
      <c r="A348" s="1615"/>
      <c r="B348" s="1509" t="s">
        <v>2190</v>
      </c>
      <c r="C348" s="81" t="s">
        <v>451</v>
      </c>
      <c r="D348" s="82">
        <v>86</v>
      </c>
      <c r="E348" s="83" t="s">
        <v>2191</v>
      </c>
      <c r="F348" s="84" t="s">
        <v>448</v>
      </c>
      <c r="G348" s="85" t="s">
        <v>2192</v>
      </c>
      <c r="H348" s="1393" t="s">
        <v>22</v>
      </c>
      <c r="I348" s="1393" t="s">
        <v>22</v>
      </c>
      <c r="J348" s="86">
        <v>0.7</v>
      </c>
      <c r="K348" s="87">
        <v>39615</v>
      </c>
      <c r="L348" s="87">
        <v>41502</v>
      </c>
      <c r="M348" s="88">
        <f t="shared" si="41"/>
        <v>2013</v>
      </c>
      <c r="N348" s="89">
        <f>+IFERROR(INDEX([19]PARÁMETROS!$B$11:$B$37,MATCH(M348,[19]PARÁMETROS!$A$11:$A$37,0)),"")</f>
        <v>589500</v>
      </c>
      <c r="O348" s="90">
        <v>28736581560</v>
      </c>
      <c r="P348" s="91" t="s">
        <v>151</v>
      </c>
      <c r="Q348" s="81" t="s">
        <v>326</v>
      </c>
      <c r="R348" s="92" t="s">
        <v>326</v>
      </c>
      <c r="S348" s="93">
        <v>1</v>
      </c>
      <c r="T348" s="89">
        <f t="shared" si="44"/>
        <v>28736581560</v>
      </c>
      <c r="U348" s="94">
        <f t="shared" si="42"/>
        <v>48747.381781170487</v>
      </c>
      <c r="V348" s="94">
        <f t="shared" si="43"/>
        <v>34123.167246819336</v>
      </c>
      <c r="W348" s="94">
        <v>1</v>
      </c>
      <c r="X348" s="1484" t="s">
        <v>129</v>
      </c>
      <c r="Y348" s="1484"/>
      <c r="Z348" s="1484"/>
      <c r="AA348" s="1484" t="s">
        <v>22</v>
      </c>
      <c r="AB348" s="1484"/>
      <c r="AC348" s="1484"/>
      <c r="AD348" s="1484" t="s">
        <v>129</v>
      </c>
      <c r="AE348" s="1484"/>
      <c r="AF348" s="1484"/>
      <c r="AG348" s="1393" t="s">
        <v>22</v>
      </c>
      <c r="AH348" s="1484" t="str">
        <f>IF(V348="","",IF(SUM(V348:V351)&gt;=[19]PARÁMETROS!$D$5,"HÁBIL","NO HÁBIL"))</f>
        <v>HÁBIL</v>
      </c>
      <c r="AI348" s="1484" t="str">
        <f>IF(V348="","",IF(SUM(V348:V350)&gt;=[19]PARÁMETROS!$H$5,"HÁBIL","NO HÁBIL"))</f>
        <v>HÁBIL</v>
      </c>
      <c r="AJ348" s="1393" t="str">
        <f>+IF(V348="","",IF(V348&gt;=[19]PARÁMETROS!$F$5,"CUMPLE","NO CUMPLE"))</f>
        <v>CUMPLE</v>
      </c>
      <c r="AK348" s="96"/>
    </row>
    <row r="349" spans="1:37" ht="57">
      <c r="A349" s="1615"/>
      <c r="B349" s="1510"/>
      <c r="C349" s="19" t="s">
        <v>451</v>
      </c>
      <c r="D349" s="20">
        <v>96</v>
      </c>
      <c r="E349" s="21" t="s">
        <v>2191</v>
      </c>
      <c r="F349" s="22" t="s">
        <v>155</v>
      </c>
      <c r="G349" s="22" t="s">
        <v>2193</v>
      </c>
      <c r="H349" s="1388" t="s">
        <v>22</v>
      </c>
      <c r="I349" s="1388" t="s">
        <v>22</v>
      </c>
      <c r="J349" s="34">
        <v>0.55000000000000004</v>
      </c>
      <c r="K349" s="25">
        <v>39856</v>
      </c>
      <c r="L349" s="25">
        <v>40979</v>
      </c>
      <c r="M349" s="26">
        <f t="shared" si="41"/>
        <v>2012</v>
      </c>
      <c r="N349" s="27">
        <f>+IFERROR(INDEX([19]PARÁMETROS!$B$11:$B$37,MATCH(M349,[19]PARÁMETROS!$A$11:$A$37,0)),"")</f>
        <v>566700</v>
      </c>
      <c r="O349" s="35">
        <v>3720919329.1999998</v>
      </c>
      <c r="P349" s="27" t="s">
        <v>151</v>
      </c>
      <c r="Q349" s="19" t="s">
        <v>326</v>
      </c>
      <c r="R349" s="30" t="s">
        <v>326</v>
      </c>
      <c r="S349" s="31">
        <v>1</v>
      </c>
      <c r="T349" s="27">
        <f t="shared" si="44"/>
        <v>3720919329.1999998</v>
      </c>
      <c r="U349" s="16">
        <f t="shared" si="42"/>
        <v>6565.9419961178755</v>
      </c>
      <c r="V349" s="16">
        <f t="shared" si="43"/>
        <v>3611.2680978648318</v>
      </c>
      <c r="W349" s="16">
        <v>2</v>
      </c>
      <c r="X349" s="1485" t="s">
        <v>22</v>
      </c>
      <c r="Y349" s="1485"/>
      <c r="Z349" s="1485"/>
      <c r="AA349" s="1485" t="s">
        <v>22</v>
      </c>
      <c r="AB349" s="1485"/>
      <c r="AC349" s="1485"/>
      <c r="AD349" s="1485" t="s">
        <v>129</v>
      </c>
      <c r="AE349" s="1485"/>
      <c r="AF349" s="1485"/>
      <c r="AG349" s="1388" t="s">
        <v>22</v>
      </c>
      <c r="AH349" s="1485"/>
      <c r="AI349" s="1485"/>
      <c r="AJ349" s="1388" t="str">
        <f>+IF(V349="","",IF(V349&gt;=[19]PARÁMETROS!$F$5,"CUMPLE","NO CUMPLE"))</f>
        <v>CUMPLE</v>
      </c>
      <c r="AK349" s="97"/>
    </row>
    <row r="350" spans="1:37" ht="71.25">
      <c r="A350" s="1615"/>
      <c r="B350" s="1510"/>
      <c r="C350" s="19" t="s">
        <v>451</v>
      </c>
      <c r="D350" s="20">
        <v>106</v>
      </c>
      <c r="E350" s="21" t="s">
        <v>2191</v>
      </c>
      <c r="F350" s="22" t="s">
        <v>263</v>
      </c>
      <c r="G350" s="23" t="s">
        <v>2186</v>
      </c>
      <c r="H350" s="1388" t="s">
        <v>22</v>
      </c>
      <c r="I350" s="1388" t="s">
        <v>22</v>
      </c>
      <c r="J350" s="24">
        <v>0.45</v>
      </c>
      <c r="K350" s="25">
        <v>40339</v>
      </c>
      <c r="L350" s="25">
        <v>41182</v>
      </c>
      <c r="M350" s="26">
        <f t="shared" si="41"/>
        <v>2012</v>
      </c>
      <c r="N350" s="27">
        <f>+IFERROR(INDEX([19]PARÁMETROS!$B$11:$B$37,MATCH(M350,[19]PARÁMETROS!$A$11:$A$37,0)),"")</f>
        <v>566700</v>
      </c>
      <c r="O350" s="28">
        <v>3404850468</v>
      </c>
      <c r="P350" s="29" t="s">
        <v>151</v>
      </c>
      <c r="Q350" s="19" t="s">
        <v>326</v>
      </c>
      <c r="R350" s="30" t="s">
        <v>326</v>
      </c>
      <c r="S350" s="31">
        <v>1</v>
      </c>
      <c r="T350" s="27">
        <f t="shared" si="44"/>
        <v>3404850468</v>
      </c>
      <c r="U350" s="16">
        <f t="shared" si="42"/>
        <v>6008.2062255161463</v>
      </c>
      <c r="V350" s="16">
        <f t="shared" si="43"/>
        <v>2703.6928014822661</v>
      </c>
      <c r="W350" s="16">
        <v>3</v>
      </c>
      <c r="X350" s="1485" t="s">
        <v>22</v>
      </c>
      <c r="Y350" s="1485"/>
      <c r="Z350" s="1485"/>
      <c r="AA350" s="1485" t="s">
        <v>22</v>
      </c>
      <c r="AB350" s="1485"/>
      <c r="AC350" s="1485"/>
      <c r="AD350" s="1485" t="s">
        <v>129</v>
      </c>
      <c r="AE350" s="1485"/>
      <c r="AF350" s="1485"/>
      <c r="AG350" s="1388" t="s">
        <v>22</v>
      </c>
      <c r="AH350" s="1485"/>
      <c r="AI350" s="1485"/>
      <c r="AJ350" s="1388" t="str">
        <f>+IF(V350="","",IF(V350&gt;=[19]PARÁMETROS!$F$5,"CUMPLE","NO CUMPLE"))</f>
        <v>CUMPLE</v>
      </c>
      <c r="AK350" s="97"/>
    </row>
    <row r="351" spans="1:37" ht="57.75" thickBot="1">
      <c r="A351" s="1615"/>
      <c r="B351" s="1510"/>
      <c r="C351" s="19" t="s">
        <v>455</v>
      </c>
      <c r="D351" s="20">
        <v>109</v>
      </c>
      <c r="E351" s="21" t="s">
        <v>2194</v>
      </c>
      <c r="F351" s="22" t="s">
        <v>362</v>
      </c>
      <c r="G351" s="37" t="s">
        <v>2195</v>
      </c>
      <c r="H351" s="1388" t="s">
        <v>22</v>
      </c>
      <c r="I351" s="1388" t="s">
        <v>22</v>
      </c>
      <c r="J351" s="24">
        <v>1</v>
      </c>
      <c r="K351" s="25">
        <v>39673</v>
      </c>
      <c r="L351" s="25">
        <v>40678</v>
      </c>
      <c r="M351" s="26">
        <f t="shared" si="41"/>
        <v>2011</v>
      </c>
      <c r="N351" s="27">
        <f>+IFERROR(INDEX([19]PARÁMETROS!$B$11:$B$37,MATCH(M351,[19]PARÁMETROS!$A$11:$A$37,0)),"")</f>
        <v>535600</v>
      </c>
      <c r="O351" s="28">
        <v>3323000000</v>
      </c>
      <c r="P351" s="29" t="s">
        <v>179</v>
      </c>
      <c r="Q351" s="639">
        <v>1</v>
      </c>
      <c r="R351" s="30">
        <v>3323000000</v>
      </c>
      <c r="S351" s="639">
        <v>1805.37</v>
      </c>
      <c r="T351" s="27">
        <f>+S351*R351</f>
        <v>5999244510000</v>
      </c>
      <c r="U351" s="16">
        <f t="shared" si="42"/>
        <v>11200979.29424944</v>
      </c>
      <c r="V351" s="16">
        <f t="shared" si="43"/>
        <v>11200979.29424944</v>
      </c>
      <c r="W351" s="16">
        <v>6</v>
      </c>
      <c r="X351" s="1485" t="s">
        <v>129</v>
      </c>
      <c r="Y351" s="1485"/>
      <c r="Z351" s="1485"/>
      <c r="AA351" s="1485" t="s">
        <v>22</v>
      </c>
      <c r="AB351" s="1485"/>
      <c r="AC351" s="1485"/>
      <c r="AD351" s="1485" t="s">
        <v>129</v>
      </c>
      <c r="AE351" s="1485"/>
      <c r="AF351" s="1485"/>
      <c r="AG351" s="1388" t="s">
        <v>22</v>
      </c>
      <c r="AH351" s="1485"/>
      <c r="AI351" s="1485"/>
      <c r="AJ351" s="1388" t="s">
        <v>2196</v>
      </c>
      <c r="AK351" s="97"/>
    </row>
    <row r="352" spans="1:37" ht="78.75">
      <c r="A352" s="1615"/>
      <c r="B352" s="1509" t="s">
        <v>2197</v>
      </c>
      <c r="C352" s="81" t="s">
        <v>464</v>
      </c>
      <c r="D352" s="82">
        <v>211</v>
      </c>
      <c r="E352" s="83" t="s">
        <v>2198</v>
      </c>
      <c r="F352" s="84" t="s">
        <v>2199</v>
      </c>
      <c r="G352" s="85" t="s">
        <v>2200</v>
      </c>
      <c r="H352" s="1393" t="s">
        <v>22</v>
      </c>
      <c r="I352" s="1393" t="s">
        <v>22</v>
      </c>
      <c r="J352" s="86">
        <v>1</v>
      </c>
      <c r="K352" s="87">
        <v>37591</v>
      </c>
      <c r="L352" s="87">
        <v>40116</v>
      </c>
      <c r="M352" s="88">
        <f t="shared" si="41"/>
        <v>2009</v>
      </c>
      <c r="N352" s="89">
        <f>+IFERROR(INDEX([19]PARÁMETROS!$B$11:$B$37,MATCH(M352,[19]PARÁMETROS!$A$11:$A$37,0)),"")</f>
        <v>496900</v>
      </c>
      <c r="O352" s="92">
        <f>(3847834.36+458292.09)</f>
        <v>4306126.45</v>
      </c>
      <c r="P352" s="91" t="s">
        <v>142</v>
      </c>
      <c r="Q352" s="81">
        <v>1.4757800000000001</v>
      </c>
      <c r="R352" s="92">
        <f>+Q352*O352</f>
        <v>6354895.2923810007</v>
      </c>
      <c r="S352" s="93">
        <v>2004.37</v>
      </c>
      <c r="T352" s="89">
        <f>+S352*R352</f>
        <v>12737561477.189705</v>
      </c>
      <c r="U352" s="94">
        <f t="shared" si="42"/>
        <v>25634.054089735771</v>
      </c>
      <c r="V352" s="94">
        <f t="shared" si="43"/>
        <v>25634.054089735771</v>
      </c>
      <c r="W352" s="94">
        <v>2</v>
      </c>
      <c r="X352" s="1484" t="s">
        <v>22</v>
      </c>
      <c r="Y352" s="1484"/>
      <c r="Z352" s="1484"/>
      <c r="AA352" s="1484" t="s">
        <v>22</v>
      </c>
      <c r="AB352" s="1484"/>
      <c r="AC352" s="1484"/>
      <c r="AD352" s="1484" t="s">
        <v>129</v>
      </c>
      <c r="AE352" s="1484"/>
      <c r="AF352" s="1484"/>
      <c r="AG352" s="1393" t="s">
        <v>22</v>
      </c>
      <c r="AH352" s="1484" t="str">
        <f>IF(V352="","",IF(SUM(V352:V354)&gt;=[19]PARÁMETROS!$D$5,"HÁBIL","NO HÁBIL"))</f>
        <v>HÁBIL</v>
      </c>
      <c r="AI352" s="1484" t="str">
        <f>IF(V352="","",IF(SUM(V352)&gt;=[19]PARÁMETROS!$H$5,"HÁBIL","NO HÁBIL"))</f>
        <v>HÁBIL</v>
      </c>
      <c r="AJ352" s="1393" t="str">
        <f>+IF(V352="","",IF(V352&gt;=[19]PARÁMETROS!$F$5,"CUMPLE","NO CUMPLE"))</f>
        <v>CUMPLE</v>
      </c>
      <c r="AK352" s="96"/>
    </row>
    <row r="353" spans="1:37" ht="57">
      <c r="A353" s="1615"/>
      <c r="B353" s="1510"/>
      <c r="C353" s="19" t="s">
        <v>1823</v>
      </c>
      <c r="D353" s="20">
        <v>219</v>
      </c>
      <c r="E353" s="21" t="s">
        <v>2201</v>
      </c>
      <c r="F353" s="22" t="s">
        <v>147</v>
      </c>
      <c r="G353" s="23" t="s">
        <v>2202</v>
      </c>
      <c r="H353" s="1388" t="s">
        <v>22</v>
      </c>
      <c r="I353" s="1388" t="s">
        <v>22</v>
      </c>
      <c r="J353" s="24">
        <v>0.5</v>
      </c>
      <c r="K353" s="25">
        <v>38772</v>
      </c>
      <c r="L353" s="25">
        <v>40656</v>
      </c>
      <c r="M353" s="26">
        <f t="shared" si="41"/>
        <v>2011</v>
      </c>
      <c r="N353" s="27">
        <f>+IFERROR(INDEX([19]PARÁMETROS!$B$11:$B$37,MATCH(M353,[19]PARÁMETROS!$A$11:$A$37,0)),"")</f>
        <v>535600</v>
      </c>
      <c r="O353" s="28">
        <f>2886785280+115909520+305080445+1344546519+141503092</f>
        <v>4793824856</v>
      </c>
      <c r="P353" s="29" t="s">
        <v>151</v>
      </c>
      <c r="Q353" s="19" t="s">
        <v>326</v>
      </c>
      <c r="R353" s="30" t="s">
        <v>326</v>
      </c>
      <c r="S353" s="31">
        <v>1</v>
      </c>
      <c r="T353" s="27">
        <f t="shared" si="44"/>
        <v>4793824856</v>
      </c>
      <c r="U353" s="16">
        <f t="shared" si="42"/>
        <v>8950.3824794622851</v>
      </c>
      <c r="V353" s="16">
        <f t="shared" si="43"/>
        <v>4475.1912397311426</v>
      </c>
      <c r="W353" s="16">
        <v>21</v>
      </c>
      <c r="X353" s="1485" t="s">
        <v>22</v>
      </c>
      <c r="Y353" s="1485"/>
      <c r="Z353" s="1485"/>
      <c r="AA353" s="1485" t="s">
        <v>22</v>
      </c>
      <c r="AB353" s="1485"/>
      <c r="AC353" s="1485"/>
      <c r="AD353" s="1485" t="s">
        <v>129</v>
      </c>
      <c r="AE353" s="1485"/>
      <c r="AF353" s="1485"/>
      <c r="AG353" s="1388" t="s">
        <v>22</v>
      </c>
      <c r="AH353" s="1485"/>
      <c r="AI353" s="1485"/>
      <c r="AJ353" s="1388" t="str">
        <f>+IF(V353="","",IF(V353&gt;=[19]PARÁMETROS!$F$5,"CUMPLE","NO CUMPLE"))</f>
        <v>CUMPLE</v>
      </c>
      <c r="AK353" s="97"/>
    </row>
    <row r="354" spans="1:37" ht="57.75" thickBot="1">
      <c r="A354" s="1615"/>
      <c r="B354" s="1510"/>
      <c r="C354" s="19" t="s">
        <v>1823</v>
      </c>
      <c r="D354" s="20">
        <v>224</v>
      </c>
      <c r="E354" s="21" t="s">
        <v>2201</v>
      </c>
      <c r="F354" s="22" t="s">
        <v>155</v>
      </c>
      <c r="G354" s="23" t="s">
        <v>2203</v>
      </c>
      <c r="H354" s="1388" t="s">
        <v>22</v>
      </c>
      <c r="I354" s="1388" t="s">
        <v>22</v>
      </c>
      <c r="J354" s="24">
        <v>1</v>
      </c>
      <c r="K354" s="25">
        <v>36992</v>
      </c>
      <c r="L354" s="25">
        <v>37539</v>
      </c>
      <c r="M354" s="26">
        <f t="shared" si="41"/>
        <v>2002</v>
      </c>
      <c r="N354" s="27">
        <f>+IFERROR(INDEX([19]PARÁMETROS!$B$11:$B$37,MATCH(M354,[19]PARÁMETROS!$A$11:$A$37,0)),"")</f>
        <v>309000</v>
      </c>
      <c r="O354" s="28">
        <v>999929000</v>
      </c>
      <c r="P354" s="29" t="s">
        <v>151</v>
      </c>
      <c r="Q354" s="19" t="s">
        <v>326</v>
      </c>
      <c r="R354" s="30" t="s">
        <v>326</v>
      </c>
      <c r="S354" s="31">
        <v>1</v>
      </c>
      <c r="T354" s="27">
        <f t="shared" si="44"/>
        <v>999929000</v>
      </c>
      <c r="U354" s="16">
        <f t="shared" si="42"/>
        <v>3236.0161812297733</v>
      </c>
      <c r="V354" s="16">
        <f t="shared" si="43"/>
        <v>3236.0161812297733</v>
      </c>
      <c r="W354" s="16">
        <v>44</v>
      </c>
      <c r="X354" s="1485" t="s">
        <v>129</v>
      </c>
      <c r="Y354" s="1485"/>
      <c r="Z354" s="1485"/>
      <c r="AA354" s="1485" t="s">
        <v>22</v>
      </c>
      <c r="AB354" s="1485"/>
      <c r="AC354" s="1485"/>
      <c r="AD354" s="1485" t="s">
        <v>129</v>
      </c>
      <c r="AE354" s="1485"/>
      <c r="AF354" s="1485"/>
      <c r="AG354" s="1388" t="s">
        <v>22</v>
      </c>
      <c r="AH354" s="1485"/>
      <c r="AI354" s="1485"/>
      <c r="AJ354" s="1388" t="str">
        <f>+IF(V354="","",IF(V354&gt;=[19]PARÁMETROS!$F$5,"CUMPLE","NO CUMPLE"))</f>
        <v>CUMPLE</v>
      </c>
      <c r="AK354" s="97"/>
    </row>
    <row r="355" spans="1:37" ht="71.25">
      <c r="A355" s="1615"/>
      <c r="B355" s="1509" t="s">
        <v>2204</v>
      </c>
      <c r="C355" s="81" t="s">
        <v>473</v>
      </c>
      <c r="D355" s="82">
        <v>343</v>
      </c>
      <c r="E355" s="83" t="s">
        <v>2205</v>
      </c>
      <c r="F355" s="84" t="s">
        <v>2206</v>
      </c>
      <c r="G355" s="85" t="s">
        <v>2207</v>
      </c>
      <c r="H355" s="1393" t="s">
        <v>22</v>
      </c>
      <c r="I355" s="1393" t="s">
        <v>22</v>
      </c>
      <c r="J355" s="86">
        <v>1</v>
      </c>
      <c r="K355" s="25">
        <v>39473</v>
      </c>
      <c r="L355" s="87" t="s">
        <v>152</v>
      </c>
      <c r="M355" s="88">
        <v>2013</v>
      </c>
      <c r="N355" s="89">
        <f>+IFERROR(INDEX([19]PARÁMETROS!$B$11:$B$37,MATCH(M355,[19]PARÁMETROS!$A$11:$A$37,0)),"")</f>
        <v>589500</v>
      </c>
      <c r="O355" s="90">
        <v>15239096240</v>
      </c>
      <c r="P355" s="91" t="s">
        <v>151</v>
      </c>
      <c r="Q355" s="81" t="s">
        <v>326</v>
      </c>
      <c r="R355" s="92" t="s">
        <v>326</v>
      </c>
      <c r="S355" s="93">
        <v>1</v>
      </c>
      <c r="T355" s="89">
        <f t="shared" si="44"/>
        <v>15239096240</v>
      </c>
      <c r="U355" s="94">
        <f t="shared" si="42"/>
        <v>25850.884206955048</v>
      </c>
      <c r="V355" s="94">
        <f t="shared" si="43"/>
        <v>25850.884206955048</v>
      </c>
      <c r="W355" s="94" t="s">
        <v>2208</v>
      </c>
      <c r="X355" s="1484"/>
      <c r="Y355" s="1484"/>
      <c r="Z355" s="1484"/>
      <c r="AA355" s="1484"/>
      <c r="AB355" s="1484"/>
      <c r="AC355" s="1484"/>
      <c r="AD355" s="1484"/>
      <c r="AE355" s="1484"/>
      <c r="AF355" s="1484"/>
      <c r="AG355" s="1393"/>
      <c r="AH355" s="1484" t="str">
        <f>IF(V355="","",IF(SUM(V355:V360)&gt;=[19]PARÁMETROS!$D$5,"HÁBIL","NO HÁBIL"))</f>
        <v>HÁBIL</v>
      </c>
      <c r="AI355" s="1484" t="str">
        <f>IF(V355="","",IF(SUM(V355)&gt;=[19]PARÁMETROS!$H$5,"HÁBIL","NO HÁBIL"))</f>
        <v>HÁBIL</v>
      </c>
      <c r="AJ355" s="1393" t="str">
        <f>+IF(V355="","",IF(V355&gt;=[19]PARÁMETROS!$F$5,"CUMPLE","NO CUMPLE"))</f>
        <v>CUMPLE</v>
      </c>
      <c r="AK355" s="96"/>
    </row>
    <row r="356" spans="1:37" ht="71.25">
      <c r="A356" s="1615"/>
      <c r="B356" s="1510"/>
      <c r="C356" s="19" t="s">
        <v>1829</v>
      </c>
      <c r="D356" s="20">
        <v>351</v>
      </c>
      <c r="E356" s="21" t="s">
        <v>2209</v>
      </c>
      <c r="F356" s="22" t="s">
        <v>155</v>
      </c>
      <c r="G356" s="23" t="s">
        <v>2210</v>
      </c>
      <c r="H356" s="1388" t="s">
        <v>22</v>
      </c>
      <c r="I356" s="1388" t="s">
        <v>22</v>
      </c>
      <c r="J356" s="24">
        <v>0.5</v>
      </c>
      <c r="K356" s="25">
        <v>35076</v>
      </c>
      <c r="L356" s="25">
        <v>35881</v>
      </c>
      <c r="M356" s="26">
        <f t="shared" si="41"/>
        <v>1998</v>
      </c>
      <c r="N356" s="27">
        <f>+IFERROR(INDEX([19]PARÁMETROS!$B$11:$B$37,MATCH(M356,[19]PARÁMETROS!$A$11:$A$37,0)),"")</f>
        <v>203826</v>
      </c>
      <c r="O356" s="28">
        <v>1603996630</v>
      </c>
      <c r="P356" s="29" t="s">
        <v>151</v>
      </c>
      <c r="Q356" s="19" t="s">
        <v>326</v>
      </c>
      <c r="R356" s="30" t="s">
        <v>326</v>
      </c>
      <c r="S356" s="31">
        <v>1</v>
      </c>
      <c r="T356" s="27">
        <f t="shared" si="44"/>
        <v>1603996630</v>
      </c>
      <c r="U356" s="16">
        <f t="shared" si="42"/>
        <v>7869.4407484815483</v>
      </c>
      <c r="V356" s="16">
        <f t="shared" si="43"/>
        <v>3934.7203742407742</v>
      </c>
      <c r="W356" s="16">
        <v>101</v>
      </c>
      <c r="X356" s="1485" t="s">
        <v>22</v>
      </c>
      <c r="Y356" s="1485"/>
      <c r="Z356" s="1485"/>
      <c r="AA356" s="1485" t="s">
        <v>22</v>
      </c>
      <c r="AB356" s="1485"/>
      <c r="AC356" s="1485"/>
      <c r="AD356" s="1485" t="s">
        <v>129</v>
      </c>
      <c r="AE356" s="1485"/>
      <c r="AF356" s="1485"/>
      <c r="AG356" s="1388" t="s">
        <v>22</v>
      </c>
      <c r="AH356" s="1485"/>
      <c r="AI356" s="1485"/>
      <c r="AJ356" s="1388" t="str">
        <f>+IF(V356="","",IF(V356&gt;=[19]PARÁMETROS!$F$5,"CUMPLE","NO CUMPLE"))</f>
        <v>CUMPLE</v>
      </c>
      <c r="AK356" s="97"/>
    </row>
    <row r="357" spans="1:37" ht="63">
      <c r="A357" s="1615"/>
      <c r="B357" s="1510"/>
      <c r="C357" s="19" t="s">
        <v>1829</v>
      </c>
      <c r="D357" s="20">
        <v>382</v>
      </c>
      <c r="E357" s="21" t="s">
        <v>2209</v>
      </c>
      <c r="F357" s="37" t="s">
        <v>155</v>
      </c>
      <c r="G357" s="37" t="s">
        <v>2211</v>
      </c>
      <c r="H357" s="1388" t="s">
        <v>22</v>
      </c>
      <c r="I357" s="1388" t="s">
        <v>22</v>
      </c>
      <c r="J357" s="38">
        <v>0.75</v>
      </c>
      <c r="K357" s="40">
        <v>37411</v>
      </c>
      <c r="L357" s="25">
        <v>38518</v>
      </c>
      <c r="M357" s="26">
        <f t="shared" si="41"/>
        <v>2005</v>
      </c>
      <c r="N357" s="27">
        <f>+IFERROR(INDEX([19]PARÁMETROS!$B$11:$B$37,MATCH(M357,[19]PARÁMETROS!$A$11:$A$37,0)),"")</f>
        <v>381500</v>
      </c>
      <c r="O357" s="28">
        <v>2982660825</v>
      </c>
      <c r="P357" s="29" t="s">
        <v>151</v>
      </c>
      <c r="Q357" s="19" t="s">
        <v>326</v>
      </c>
      <c r="R357" s="30" t="s">
        <v>326</v>
      </c>
      <c r="S357" s="31">
        <v>1</v>
      </c>
      <c r="T357" s="27">
        <f t="shared" si="44"/>
        <v>2982660825</v>
      </c>
      <c r="U357" s="16">
        <f t="shared" si="42"/>
        <v>7818.2459370904326</v>
      </c>
      <c r="V357" s="16">
        <f t="shared" si="43"/>
        <v>5863.6844528178244</v>
      </c>
      <c r="W357" s="16">
        <v>130</v>
      </c>
      <c r="X357" s="1485" t="s">
        <v>22</v>
      </c>
      <c r="Y357" s="1485"/>
      <c r="Z357" s="1485"/>
      <c r="AA357" s="1485" t="s">
        <v>22</v>
      </c>
      <c r="AB357" s="1485"/>
      <c r="AC357" s="1485"/>
      <c r="AD357" s="1485" t="s">
        <v>129</v>
      </c>
      <c r="AE357" s="1485"/>
      <c r="AF357" s="1485"/>
      <c r="AG357" s="1388" t="s">
        <v>22</v>
      </c>
      <c r="AH357" s="1485"/>
      <c r="AI357" s="1485"/>
      <c r="AJ357" s="1388" t="str">
        <f>+IF(V357="","",IF(V357&gt;=[19]PARÁMETROS!$F$5,"CUMPLE","NO CUMPLE"))</f>
        <v>CUMPLE</v>
      </c>
      <c r="AK357" s="121"/>
    </row>
    <row r="358" spans="1:37" ht="57">
      <c r="A358" s="1615"/>
      <c r="B358" s="1510"/>
      <c r="C358" s="19" t="s">
        <v>2212</v>
      </c>
      <c r="D358" s="20">
        <v>423</v>
      </c>
      <c r="E358" s="21" t="s">
        <v>2213</v>
      </c>
      <c r="F358" s="22" t="s">
        <v>155</v>
      </c>
      <c r="G358" s="23" t="s">
        <v>2214</v>
      </c>
      <c r="H358" s="1388" t="s">
        <v>22</v>
      </c>
      <c r="I358" s="1388" t="s">
        <v>22</v>
      </c>
      <c r="J358" s="39">
        <v>0.6</v>
      </c>
      <c r="K358" s="40">
        <v>40064</v>
      </c>
      <c r="L358" s="41">
        <v>41999</v>
      </c>
      <c r="M358" s="26">
        <f t="shared" si="41"/>
        <v>2014</v>
      </c>
      <c r="N358" s="27">
        <f>+IFERROR(INDEX([19]PARÁMETROS!$B$11:$B$37,MATCH(M358,[19]PARÁMETROS!$A$11:$A$37,0)),"")</f>
        <v>616000</v>
      </c>
      <c r="O358" s="28">
        <v>8501000000</v>
      </c>
      <c r="P358" s="29" t="s">
        <v>151</v>
      </c>
      <c r="Q358" s="29" t="s">
        <v>326</v>
      </c>
      <c r="R358" s="29" t="s">
        <v>326</v>
      </c>
      <c r="S358" s="31">
        <v>1</v>
      </c>
      <c r="T358" s="27">
        <f t="shared" si="44"/>
        <v>8501000000</v>
      </c>
      <c r="U358" s="16">
        <f t="shared" si="42"/>
        <v>13800.324675324675</v>
      </c>
      <c r="V358" s="16">
        <f t="shared" si="43"/>
        <v>8280.1948051948038</v>
      </c>
      <c r="W358" s="42">
        <v>80</v>
      </c>
      <c r="X358" s="1485" t="s">
        <v>22</v>
      </c>
      <c r="Y358" s="1485"/>
      <c r="Z358" s="1485"/>
      <c r="AA358" s="1485" t="s">
        <v>22</v>
      </c>
      <c r="AB358" s="1485"/>
      <c r="AC358" s="1485"/>
      <c r="AD358" s="1485" t="s">
        <v>129</v>
      </c>
      <c r="AE358" s="1485"/>
      <c r="AF358" s="1485"/>
      <c r="AG358" s="1388" t="s">
        <v>22</v>
      </c>
      <c r="AH358" s="1485"/>
      <c r="AI358" s="1485"/>
      <c r="AJ358" s="1388" t="str">
        <f>+IF(V358="","",IF(V358&gt;=[19]PARÁMETROS!$F$5,"CUMPLE","NO CUMPLE"))</f>
        <v>CUMPLE</v>
      </c>
      <c r="AK358" s="97"/>
    </row>
    <row r="359" spans="1:37" ht="85.5">
      <c r="A359" s="1615"/>
      <c r="B359" s="1510"/>
      <c r="C359" s="19" t="s">
        <v>2212</v>
      </c>
      <c r="D359" s="20">
        <v>432</v>
      </c>
      <c r="E359" s="21" t="s">
        <v>2213</v>
      </c>
      <c r="F359" s="22" t="s">
        <v>1884</v>
      </c>
      <c r="G359" s="23" t="s">
        <v>2215</v>
      </c>
      <c r="H359" s="1388" t="s">
        <v>22</v>
      </c>
      <c r="I359" s="1388" t="s">
        <v>22</v>
      </c>
      <c r="J359" s="24">
        <v>0.65</v>
      </c>
      <c r="K359" s="25">
        <v>38629</v>
      </c>
      <c r="L359" s="25">
        <v>39116</v>
      </c>
      <c r="M359" s="26">
        <f t="shared" si="41"/>
        <v>2007</v>
      </c>
      <c r="N359" s="27">
        <f>+IFERROR(INDEX([19]PARÁMETROS!$B$11:$B$37,MATCH(M359,[19]PARÁMETROS!$A$11:$A$37,0)),"")</f>
        <v>433700</v>
      </c>
      <c r="O359" s="28">
        <v>1810471500</v>
      </c>
      <c r="P359" s="29" t="s">
        <v>151</v>
      </c>
      <c r="Q359" s="19" t="s">
        <v>326</v>
      </c>
      <c r="R359" s="30" t="s">
        <v>326</v>
      </c>
      <c r="S359" s="31">
        <v>1</v>
      </c>
      <c r="T359" s="27">
        <f t="shared" si="44"/>
        <v>1810471500</v>
      </c>
      <c r="U359" s="16">
        <f t="shared" si="42"/>
        <v>4174.4789024671436</v>
      </c>
      <c r="V359" s="16">
        <f t="shared" si="43"/>
        <v>2713.4112866036435</v>
      </c>
      <c r="W359" s="16">
        <v>14</v>
      </c>
      <c r="X359" s="1485" t="s">
        <v>22</v>
      </c>
      <c r="Y359" s="1485"/>
      <c r="Z359" s="1485"/>
      <c r="AA359" s="1485" t="s">
        <v>22</v>
      </c>
      <c r="AB359" s="1485"/>
      <c r="AC359" s="1485"/>
      <c r="AD359" s="1485" t="s">
        <v>129</v>
      </c>
      <c r="AE359" s="1485"/>
      <c r="AF359" s="1485"/>
      <c r="AG359" s="1388" t="s">
        <v>129</v>
      </c>
      <c r="AH359" s="1485"/>
      <c r="AI359" s="1485"/>
      <c r="AJ359" s="1388" t="str">
        <f>+IF(V359="","",IF(V359&gt;=[19]PARÁMETROS!$F$5,"CUMPLE","NO CUMPLE"))</f>
        <v>CUMPLE</v>
      </c>
      <c r="AK359" s="97"/>
    </row>
    <row r="360" spans="1:37" ht="72" thickBot="1">
      <c r="A360" s="1615"/>
      <c r="B360" s="1511"/>
      <c r="C360" s="99" t="s">
        <v>2212</v>
      </c>
      <c r="D360" s="178">
        <v>442</v>
      </c>
      <c r="E360" s="101" t="s">
        <v>2213</v>
      </c>
      <c r="F360" s="102" t="s">
        <v>1884</v>
      </c>
      <c r="G360" s="103" t="s">
        <v>2216</v>
      </c>
      <c r="H360" s="1392" t="s">
        <v>22</v>
      </c>
      <c r="I360" s="1392" t="s">
        <v>22</v>
      </c>
      <c r="J360" s="104">
        <v>1</v>
      </c>
      <c r="K360" s="105">
        <v>37552</v>
      </c>
      <c r="L360" s="105">
        <v>37904</v>
      </c>
      <c r="M360" s="106">
        <f t="shared" si="41"/>
        <v>2003</v>
      </c>
      <c r="N360" s="107">
        <f>+IFERROR(INDEX([19]PARÁMETROS!$B$11:$B$37,MATCH(M360,[19]PARÁMETROS!$A$11:$A$37,0)),"")</f>
        <v>332000</v>
      </c>
      <c r="O360" s="108">
        <v>778874000</v>
      </c>
      <c r="P360" s="109" t="s">
        <v>151</v>
      </c>
      <c r="Q360" s="99" t="s">
        <v>326</v>
      </c>
      <c r="R360" s="110" t="s">
        <v>326</v>
      </c>
      <c r="S360" s="111">
        <v>1</v>
      </c>
      <c r="T360" s="107">
        <f t="shared" si="44"/>
        <v>778874000</v>
      </c>
      <c r="U360" s="112">
        <f t="shared" si="42"/>
        <v>2346.0060240963853</v>
      </c>
      <c r="V360" s="112">
        <f t="shared" si="43"/>
        <v>2346.0060240963853</v>
      </c>
      <c r="W360" s="112">
        <v>47</v>
      </c>
      <c r="X360" s="1486" t="s">
        <v>22</v>
      </c>
      <c r="Y360" s="1486"/>
      <c r="Z360" s="1486"/>
      <c r="AA360" s="1486" t="s">
        <v>22</v>
      </c>
      <c r="AB360" s="1486"/>
      <c r="AC360" s="1486"/>
      <c r="AD360" s="1486" t="s">
        <v>129</v>
      </c>
      <c r="AE360" s="1486"/>
      <c r="AF360" s="1486"/>
      <c r="AG360" s="1392" t="s">
        <v>22</v>
      </c>
      <c r="AH360" s="1486"/>
      <c r="AI360" s="1486"/>
      <c r="AJ360" s="1392" t="str">
        <f>+IF(V360="","",IF(V360&gt;=[19]PARÁMETROS!$F$5,"CUMPLE","NO CUMPLE"))</f>
        <v>CUMPLE</v>
      </c>
      <c r="AK360" s="113"/>
    </row>
    <row r="361" spans="1:37" ht="42.75">
      <c r="A361" s="1615"/>
      <c r="B361" s="1509" t="s">
        <v>2217</v>
      </c>
      <c r="C361" s="81" t="s">
        <v>477</v>
      </c>
      <c r="D361" s="82">
        <v>158</v>
      </c>
      <c r="E361" s="83" t="s">
        <v>2218</v>
      </c>
      <c r="F361" s="84" t="s">
        <v>214</v>
      </c>
      <c r="G361" s="85" t="s">
        <v>2219</v>
      </c>
      <c r="H361" s="1393" t="s">
        <v>22</v>
      </c>
      <c r="I361" s="1393" t="s">
        <v>22</v>
      </c>
      <c r="J361" s="86">
        <v>0.5</v>
      </c>
      <c r="K361" s="87">
        <v>38864</v>
      </c>
      <c r="L361" s="87">
        <v>40052</v>
      </c>
      <c r="M361" s="88">
        <f t="shared" si="41"/>
        <v>2009</v>
      </c>
      <c r="N361" s="89">
        <f>+IFERROR(INDEX([19]PARÁMETROS!$B$11:$B$37,MATCH(M361,[19]PARÁMETROS!$A$11:$A$37,0)),"")</f>
        <v>496900</v>
      </c>
      <c r="O361" s="635">
        <v>64930.95</v>
      </c>
      <c r="P361" s="91" t="s">
        <v>142</v>
      </c>
      <c r="Q361" s="81">
        <v>1.42787</v>
      </c>
      <c r="R361" s="92">
        <f>+Q361*O361</f>
        <v>92712.955576499997</v>
      </c>
      <c r="S361" s="81">
        <v>2044.79</v>
      </c>
      <c r="T361" s="89">
        <f>+S361*R361</f>
        <v>189578524.43327144</v>
      </c>
      <c r="U361" s="94">
        <f t="shared" si="42"/>
        <v>381.52248829396547</v>
      </c>
      <c r="V361" s="94">
        <f t="shared" si="43"/>
        <v>190.76124414698273</v>
      </c>
      <c r="W361" s="94" t="s">
        <v>2208</v>
      </c>
      <c r="X361" s="1484"/>
      <c r="Y361" s="1484"/>
      <c r="Z361" s="1484"/>
      <c r="AA361" s="1484"/>
      <c r="AB361" s="1484"/>
      <c r="AC361" s="1484"/>
      <c r="AD361" s="1484"/>
      <c r="AE361" s="1484"/>
      <c r="AF361" s="1484"/>
      <c r="AG361" s="1393"/>
      <c r="AH361" s="1484" t="str">
        <f>IF(V361="","",IF(SUM(V361:V365)&gt;=[19]PARÁMETROS!$D$5,"HÁBIL","NO HÁBIL"))</f>
        <v>HÁBIL</v>
      </c>
      <c r="AI361" s="1484" t="str">
        <f>IF(V361="","",IF(SUM(V361:V363)&gt;=[19]PARÁMETROS!$H$5,"HÁBIL","NO HÁBIL"))</f>
        <v>HÁBIL</v>
      </c>
      <c r="AJ361" s="1393" t="str">
        <f>+IF(V361="","",IF(V361&gt;=[19]PARÁMETROS!$F$5,"CUMPLE","NO CUMPLE"))</f>
        <v>NO CUMPLE</v>
      </c>
      <c r="AK361" s="96"/>
    </row>
    <row r="362" spans="1:37" ht="42.75">
      <c r="A362" s="1615"/>
      <c r="B362" s="1510"/>
      <c r="C362" s="19" t="s">
        <v>477</v>
      </c>
      <c r="D362" s="20">
        <v>167</v>
      </c>
      <c r="E362" s="21" t="s">
        <v>2218</v>
      </c>
      <c r="F362" s="22" t="s">
        <v>214</v>
      </c>
      <c r="G362" s="23" t="s">
        <v>2220</v>
      </c>
      <c r="H362" s="1388" t="s">
        <v>22</v>
      </c>
      <c r="I362" s="1388" t="s">
        <v>22</v>
      </c>
      <c r="J362" s="24">
        <v>1</v>
      </c>
      <c r="K362" s="25">
        <v>38660</v>
      </c>
      <c r="L362" s="25">
        <v>40122</v>
      </c>
      <c r="M362" s="26">
        <f t="shared" si="41"/>
        <v>2009</v>
      </c>
      <c r="N362" s="27">
        <f>+IFERROR(INDEX([19]PARÁMETROS!$B$11:$B$37,MATCH(M362,[19]PARÁMETROS!$A$11:$A$37,0)),"")</f>
        <v>496900</v>
      </c>
      <c r="O362" s="638">
        <v>949157.05</v>
      </c>
      <c r="P362" s="29" t="s">
        <v>142</v>
      </c>
      <c r="Q362" s="19">
        <v>1.47681</v>
      </c>
      <c r="R362" s="30">
        <f>+Q362*O362</f>
        <v>1401724.6230105001</v>
      </c>
      <c r="S362" s="19">
        <v>1963.7</v>
      </c>
      <c r="T362" s="27">
        <f>+S362*R362</f>
        <v>2752566642.205719</v>
      </c>
      <c r="U362" s="16">
        <f t="shared" si="42"/>
        <v>5539.4780483109662</v>
      </c>
      <c r="V362" s="16">
        <f t="shared" si="43"/>
        <v>5539.4780483109662</v>
      </c>
      <c r="W362" s="16" t="s">
        <v>2208</v>
      </c>
      <c r="X362" s="1485"/>
      <c r="Y362" s="1485"/>
      <c r="Z362" s="1485"/>
      <c r="AA362" s="1485"/>
      <c r="AB362" s="1485"/>
      <c r="AC362" s="1485"/>
      <c r="AD362" s="1485"/>
      <c r="AE362" s="1485"/>
      <c r="AF362" s="1485"/>
      <c r="AG362" s="1388"/>
      <c r="AH362" s="1485"/>
      <c r="AI362" s="1485"/>
      <c r="AJ362" s="1388" t="str">
        <f>+IF(V362="","",IF(V362&gt;=[19]PARÁMETROS!$F$5,"CUMPLE","NO CUMPLE"))</f>
        <v>CUMPLE</v>
      </c>
      <c r="AK362" s="97"/>
    </row>
    <row r="363" spans="1:37" ht="42.75">
      <c r="A363" s="1615"/>
      <c r="B363" s="1510"/>
      <c r="C363" s="19" t="s">
        <v>477</v>
      </c>
      <c r="D363" s="20">
        <v>176</v>
      </c>
      <c r="E363" s="21" t="s">
        <v>2218</v>
      </c>
      <c r="F363" s="22" t="s">
        <v>214</v>
      </c>
      <c r="G363" s="23" t="s">
        <v>2221</v>
      </c>
      <c r="H363" s="1388" t="s">
        <v>22</v>
      </c>
      <c r="I363" s="1388" t="s">
        <v>22</v>
      </c>
      <c r="J363" s="24">
        <v>1</v>
      </c>
      <c r="K363" s="25">
        <v>38296</v>
      </c>
      <c r="L363" s="25">
        <v>39360</v>
      </c>
      <c r="M363" s="26">
        <f t="shared" si="41"/>
        <v>2007</v>
      </c>
      <c r="N363" s="27">
        <f>+IFERROR(INDEX([19]PARÁMETROS!$B$11:$B$37,MATCH(M363,[19]PARÁMETROS!$A$11:$A$37,0)),"")</f>
        <v>433700</v>
      </c>
      <c r="O363" s="638">
        <v>1248500.53</v>
      </c>
      <c r="P363" s="29" t="s">
        <v>142</v>
      </c>
      <c r="Q363" s="19">
        <v>1.4105700000000001</v>
      </c>
      <c r="R363" s="30">
        <f>+Q363*O363</f>
        <v>1761097.3926021003</v>
      </c>
      <c r="S363" s="19">
        <v>2018.45</v>
      </c>
      <c r="T363" s="27">
        <f>+S363*R363</f>
        <v>3554687032.0977092</v>
      </c>
      <c r="U363" s="16">
        <f t="shared" si="42"/>
        <v>8196.188683647013</v>
      </c>
      <c r="V363" s="16">
        <f t="shared" si="43"/>
        <v>8196.188683647013</v>
      </c>
      <c r="W363" s="16" t="s">
        <v>2208</v>
      </c>
      <c r="X363" s="1485"/>
      <c r="Y363" s="1485"/>
      <c r="Z363" s="1485"/>
      <c r="AA363" s="1485"/>
      <c r="AB363" s="1485"/>
      <c r="AC363" s="1485"/>
      <c r="AD363" s="1485"/>
      <c r="AE363" s="1485"/>
      <c r="AF363" s="1485"/>
      <c r="AG363" s="1388"/>
      <c r="AH363" s="1485"/>
      <c r="AI363" s="1485"/>
      <c r="AJ363" s="1388" t="str">
        <f>+IF(V363="","",IF(V363&gt;=[19]PARÁMETROS!$F$5,"CUMPLE","NO CUMPLE"))</f>
        <v>CUMPLE</v>
      </c>
      <c r="AK363" s="97"/>
    </row>
    <row r="364" spans="1:37" ht="57">
      <c r="A364" s="1615"/>
      <c r="B364" s="1510"/>
      <c r="C364" s="19" t="s">
        <v>482</v>
      </c>
      <c r="D364" s="20">
        <v>187</v>
      </c>
      <c r="E364" s="21" t="s">
        <v>408</v>
      </c>
      <c r="F364" s="22" t="s">
        <v>2222</v>
      </c>
      <c r="G364" s="23" t="s">
        <v>2223</v>
      </c>
      <c r="H364" s="1388" t="s">
        <v>22</v>
      </c>
      <c r="I364" s="1388" t="s">
        <v>22</v>
      </c>
      <c r="J364" s="24">
        <v>0.55000000000000004</v>
      </c>
      <c r="K364" s="25">
        <v>34338</v>
      </c>
      <c r="L364" s="25">
        <v>36305</v>
      </c>
      <c r="M364" s="26">
        <f t="shared" si="41"/>
        <v>1999</v>
      </c>
      <c r="N364" s="27">
        <f>+IFERROR(INDEX([19]PARÁMETROS!$B$11:$B$37,MATCH(M364,[19]PARÁMETROS!$A$11:$A$37,0)),"")</f>
        <v>236460</v>
      </c>
      <c r="O364" s="28">
        <v>4644921688</v>
      </c>
      <c r="P364" s="29" t="s">
        <v>151</v>
      </c>
      <c r="Q364" s="19" t="s">
        <v>326</v>
      </c>
      <c r="R364" s="30" t="s">
        <v>326</v>
      </c>
      <c r="S364" s="31">
        <v>1</v>
      </c>
      <c r="T364" s="27">
        <v>4491569047</v>
      </c>
      <c r="U364" s="16">
        <f t="shared" si="42"/>
        <v>18995.04798697454</v>
      </c>
      <c r="V364" s="16">
        <f t="shared" si="43"/>
        <v>10447.276392835998</v>
      </c>
      <c r="W364" s="16">
        <v>2</v>
      </c>
      <c r="X364" s="1485" t="s">
        <v>22</v>
      </c>
      <c r="Y364" s="1485"/>
      <c r="Z364" s="1485"/>
      <c r="AA364" s="1485" t="s">
        <v>22</v>
      </c>
      <c r="AB364" s="1485"/>
      <c r="AC364" s="1485"/>
      <c r="AD364" s="1485"/>
      <c r="AE364" s="1485"/>
      <c r="AF364" s="1485"/>
      <c r="AG364" s="1388" t="s">
        <v>22</v>
      </c>
      <c r="AH364" s="1485"/>
      <c r="AI364" s="1485"/>
      <c r="AJ364" s="1388" t="str">
        <f>+IF(V364="","",IF(V364&gt;=[19]PARÁMETROS!$F$5,"CUMPLE","NO CUMPLE"))</f>
        <v>CUMPLE</v>
      </c>
      <c r="AK364" s="97"/>
    </row>
    <row r="365" spans="1:37" ht="129" thickBot="1">
      <c r="A365" s="1615"/>
      <c r="B365" s="1553"/>
      <c r="C365" s="151" t="s">
        <v>485</v>
      </c>
      <c r="D365" s="152">
        <v>206</v>
      </c>
      <c r="E365" s="153" t="s">
        <v>2224</v>
      </c>
      <c r="F365" s="154" t="s">
        <v>448</v>
      </c>
      <c r="G365" s="155" t="s">
        <v>2225</v>
      </c>
      <c r="H365" s="1419" t="s">
        <v>22</v>
      </c>
      <c r="I365" s="1419" t="s">
        <v>22</v>
      </c>
      <c r="J365" s="156">
        <v>0.1</v>
      </c>
      <c r="K365" s="157">
        <v>39615</v>
      </c>
      <c r="L365" s="157">
        <v>41152</v>
      </c>
      <c r="M365" s="158">
        <f t="shared" si="41"/>
        <v>2012</v>
      </c>
      <c r="N365" s="159">
        <f>+IFERROR(INDEX([19]PARÁMETROS!$B$11:$B$37,MATCH(M365,[19]PARÁMETROS!$A$11:$A$37,0)),"")</f>
        <v>566700</v>
      </c>
      <c r="O365" s="160">
        <v>19146251489</v>
      </c>
      <c r="P365" s="161" t="s">
        <v>151</v>
      </c>
      <c r="Q365" s="151" t="s">
        <v>326</v>
      </c>
      <c r="R365" s="162" t="s">
        <v>326</v>
      </c>
      <c r="S365" s="163">
        <v>1</v>
      </c>
      <c r="T365" s="159">
        <f t="shared" si="44"/>
        <v>19146251489</v>
      </c>
      <c r="U365" s="164">
        <f t="shared" si="42"/>
        <v>33785.515244397386</v>
      </c>
      <c r="V365" s="164">
        <f t="shared" si="43"/>
        <v>3378.5515244397388</v>
      </c>
      <c r="W365" s="164">
        <v>22</v>
      </c>
      <c r="X365" s="1606" t="s">
        <v>22</v>
      </c>
      <c r="Y365" s="1606"/>
      <c r="Z365" s="1606"/>
      <c r="AA365" s="1606" t="s">
        <v>22</v>
      </c>
      <c r="AB365" s="1606"/>
      <c r="AC365" s="1606"/>
      <c r="AD365" s="1606"/>
      <c r="AE365" s="1606"/>
      <c r="AF365" s="1606"/>
      <c r="AG365" s="1419" t="s">
        <v>22</v>
      </c>
      <c r="AH365" s="1606"/>
      <c r="AI365" s="1606"/>
      <c r="AJ365" s="1419" t="str">
        <f>+IF(V365="","",IF(V365&gt;=[19]PARÁMETROS!$F$5,"CUMPLE","NO CUMPLE"))</f>
        <v>CUMPLE</v>
      </c>
      <c r="AK365" s="195"/>
    </row>
    <row r="366" spans="1:37" ht="57">
      <c r="A366" s="1615"/>
      <c r="B366" s="1509" t="s">
        <v>2226</v>
      </c>
      <c r="C366" s="81" t="s">
        <v>488</v>
      </c>
      <c r="D366" s="114">
        <v>179</v>
      </c>
      <c r="E366" s="83" t="s">
        <v>2227</v>
      </c>
      <c r="F366" s="84" t="s">
        <v>2228</v>
      </c>
      <c r="G366" s="85" t="s">
        <v>2229</v>
      </c>
      <c r="H366" s="1393" t="s">
        <v>22</v>
      </c>
      <c r="I366" s="1393" t="s">
        <v>22</v>
      </c>
      <c r="J366" s="284">
        <v>0.60419999999999996</v>
      </c>
      <c r="K366" s="87">
        <v>38397</v>
      </c>
      <c r="L366" s="87">
        <v>40468</v>
      </c>
      <c r="M366" s="88">
        <f t="shared" si="41"/>
        <v>2010</v>
      </c>
      <c r="N366" s="89">
        <f>+IFERROR(INDEX([19]PARÁMETROS!$B$11:$B$37,MATCH(M366,[19]PARÁMETROS!$A$11:$A$37,0)),"")</f>
        <v>515000</v>
      </c>
      <c r="O366" s="285">
        <f>1449512.87</f>
        <v>1449512.87</v>
      </c>
      <c r="P366" s="286" t="s">
        <v>142</v>
      </c>
      <c r="Q366" s="640">
        <v>1.32236</v>
      </c>
      <c r="R366" s="641">
        <f>+O366*Q366</f>
        <v>1916777.8387732001</v>
      </c>
      <c r="S366" s="642">
        <v>1916.09</v>
      </c>
      <c r="T366" s="637">
        <f>+R366*S366</f>
        <v>3672718849.0949407</v>
      </c>
      <c r="U366" s="94">
        <f t="shared" si="42"/>
        <v>7131.4929108639626</v>
      </c>
      <c r="V366" s="94">
        <f t="shared" si="43"/>
        <v>4308.8480167440057</v>
      </c>
      <c r="W366" s="94">
        <v>17</v>
      </c>
      <c r="X366" s="1484" t="s">
        <v>22</v>
      </c>
      <c r="Y366" s="1484"/>
      <c r="Z366" s="1484"/>
      <c r="AA366" s="1484" t="s">
        <v>22</v>
      </c>
      <c r="AB366" s="1484"/>
      <c r="AC366" s="1484"/>
      <c r="AD366" s="1484" t="s">
        <v>129</v>
      </c>
      <c r="AE366" s="1484"/>
      <c r="AF366" s="1484"/>
      <c r="AG366" s="1393" t="s">
        <v>22</v>
      </c>
      <c r="AH366" s="1484" t="str">
        <f>IF(V366="","",IF(SUM(V366:V370)&gt;=[19]PARÁMETROS!$D$5,"HÁBIL","NO HÁBIL"))</f>
        <v>HÁBIL</v>
      </c>
      <c r="AI366" s="1484" t="str">
        <f>IF(V366="","",IF(SUM(V366:V367)&gt;=[19]PARÁMETROS!$H$5,"HÁBIL","NO HÁBIL"))</f>
        <v>HÁBIL</v>
      </c>
      <c r="AJ366" s="1393" t="str">
        <f>+IF(V366="","",IF(V366&gt;=[19]PARÁMETROS!$F$5,"CUMPLE","NO CUMPLE"))</f>
        <v>CUMPLE</v>
      </c>
      <c r="AK366" s="96"/>
    </row>
    <row r="367" spans="1:37" ht="42.75">
      <c r="A367" s="1615"/>
      <c r="B367" s="1510"/>
      <c r="C367" s="19" t="s">
        <v>488</v>
      </c>
      <c r="D367" s="36">
        <v>188</v>
      </c>
      <c r="E367" s="21" t="s">
        <v>2227</v>
      </c>
      <c r="F367" s="22" t="s">
        <v>421</v>
      </c>
      <c r="G367" s="23" t="s">
        <v>2230</v>
      </c>
      <c r="H367" s="1388" t="s">
        <v>22</v>
      </c>
      <c r="I367" s="1388" t="s">
        <v>22</v>
      </c>
      <c r="J367" s="24">
        <v>0.23</v>
      </c>
      <c r="K367" s="25">
        <v>33527</v>
      </c>
      <c r="L367" s="25">
        <v>36734</v>
      </c>
      <c r="M367" s="26">
        <f t="shared" si="41"/>
        <v>2000</v>
      </c>
      <c r="N367" s="27">
        <f>+IFERROR(INDEX([19]PARÁMETROS!$B$11:$B$37,MATCH(M367,[19]PARÁMETROS!$A$11:$A$37,0)),"")</f>
        <v>260100</v>
      </c>
      <c r="O367" s="177"/>
      <c r="P367" s="29" t="s">
        <v>142</v>
      </c>
      <c r="Q367" s="19">
        <v>0.94181999999999999</v>
      </c>
      <c r="R367" s="30">
        <f>+Q367*O367</f>
        <v>0</v>
      </c>
      <c r="S367" s="19">
        <v>2165.37</v>
      </c>
      <c r="T367" s="27">
        <f>+S367*R367</f>
        <v>0</v>
      </c>
      <c r="U367" s="16">
        <f t="shared" si="42"/>
        <v>0</v>
      </c>
      <c r="V367" s="16">
        <f t="shared" si="43"/>
        <v>0</v>
      </c>
      <c r="W367" s="16">
        <v>2</v>
      </c>
      <c r="X367" s="1485" t="s">
        <v>22</v>
      </c>
      <c r="Y367" s="1485"/>
      <c r="Z367" s="1485"/>
      <c r="AA367" s="1485" t="s">
        <v>22</v>
      </c>
      <c r="AB367" s="1485"/>
      <c r="AC367" s="1485"/>
      <c r="AD367" s="1485" t="s">
        <v>129</v>
      </c>
      <c r="AE367" s="1485"/>
      <c r="AF367" s="1485"/>
      <c r="AG367" s="1388" t="s">
        <v>22</v>
      </c>
      <c r="AH367" s="1485"/>
      <c r="AI367" s="1485"/>
      <c r="AJ367" s="1388" t="str">
        <f>+IF(V367="","",IF(V367&gt;=[19]PARÁMETROS!$F$5,"CUMPLE","NO CUMPLE"))</f>
        <v>NO CUMPLE</v>
      </c>
      <c r="AK367" s="97" t="s">
        <v>2231</v>
      </c>
    </row>
    <row r="368" spans="1:37" ht="71.25">
      <c r="A368" s="1615"/>
      <c r="B368" s="1510"/>
      <c r="C368" s="19" t="s">
        <v>490</v>
      </c>
      <c r="D368" s="36">
        <v>219</v>
      </c>
      <c r="E368" s="21" t="s">
        <v>426</v>
      </c>
      <c r="F368" s="22" t="s">
        <v>1133</v>
      </c>
      <c r="G368" s="23" t="s">
        <v>2232</v>
      </c>
      <c r="H368" s="1388" t="s">
        <v>22</v>
      </c>
      <c r="I368" s="1388" t="s">
        <v>22</v>
      </c>
      <c r="J368" s="24">
        <v>0.245</v>
      </c>
      <c r="K368" s="25">
        <v>40186</v>
      </c>
      <c r="L368" s="25" t="s">
        <v>152</v>
      </c>
      <c r="M368" s="26">
        <v>2014</v>
      </c>
      <c r="N368" s="27">
        <f>+IFERROR(INDEX([19]PARÁMETROS!$B$11:$B$37,MATCH(M368,[19]PARÁMETROS!$A$11:$A$37,0)),"")</f>
        <v>616000</v>
      </c>
      <c r="O368" s="28">
        <v>10922423850.5</v>
      </c>
      <c r="P368" s="29" t="s">
        <v>151</v>
      </c>
      <c r="Q368" s="19" t="s">
        <v>326</v>
      </c>
      <c r="R368" s="30" t="s">
        <v>326</v>
      </c>
      <c r="S368" s="31">
        <v>1</v>
      </c>
      <c r="T368" s="27">
        <f t="shared" si="44"/>
        <v>10922423850.5</v>
      </c>
      <c r="U368" s="16">
        <f t="shared" si="42"/>
        <v>17731.207549512987</v>
      </c>
      <c r="V368" s="16">
        <f t="shared" si="43"/>
        <v>4344.1458496306814</v>
      </c>
      <c r="W368" s="16" t="s">
        <v>1995</v>
      </c>
      <c r="X368" s="1485"/>
      <c r="Y368" s="1485"/>
      <c r="Z368" s="1485"/>
      <c r="AA368" s="1485"/>
      <c r="AB368" s="1485"/>
      <c r="AC368" s="1485"/>
      <c r="AD368" s="1485"/>
      <c r="AE368" s="1485"/>
      <c r="AF368" s="1485"/>
      <c r="AG368" s="1388"/>
      <c r="AH368" s="1485"/>
      <c r="AI368" s="1485"/>
      <c r="AJ368" s="1388" t="str">
        <f>+IF(V368="","",IF(V368&gt;=[19]PARÁMETROS!$F$5,"CUMPLE","NO CUMPLE"))</f>
        <v>CUMPLE</v>
      </c>
      <c r="AK368" s="97"/>
    </row>
    <row r="369" spans="1:37" ht="71.25">
      <c r="A369" s="1615"/>
      <c r="B369" s="1510"/>
      <c r="C369" s="19" t="s">
        <v>490</v>
      </c>
      <c r="D369" s="36">
        <v>221</v>
      </c>
      <c r="E369" s="21" t="s">
        <v>426</v>
      </c>
      <c r="F369" s="44" t="s">
        <v>1652</v>
      </c>
      <c r="G369" s="45" t="s">
        <v>2233</v>
      </c>
      <c r="H369" s="1388" t="s">
        <v>22</v>
      </c>
      <c r="I369" s="1388" t="s">
        <v>22</v>
      </c>
      <c r="J369" s="46">
        <v>0.25</v>
      </c>
      <c r="K369" s="47">
        <v>38718</v>
      </c>
      <c r="L369" s="47" t="s">
        <v>152</v>
      </c>
      <c r="M369" s="26">
        <v>2016</v>
      </c>
      <c r="N369" s="27">
        <f>+IFERROR(INDEX([19]PARÁMETROS!$B$11:$B$37,MATCH(M369,[19]PARÁMETROS!$A$11:$A$37,0)),"")</f>
        <v>689554</v>
      </c>
      <c r="O369" s="48">
        <v>9471953326</v>
      </c>
      <c r="P369" s="49" t="s">
        <v>151</v>
      </c>
      <c r="Q369" s="19" t="s">
        <v>326</v>
      </c>
      <c r="R369" s="30" t="s">
        <v>326</v>
      </c>
      <c r="S369" s="31">
        <v>1</v>
      </c>
      <c r="T369" s="27">
        <f t="shared" si="44"/>
        <v>9471953326</v>
      </c>
      <c r="U369" s="16">
        <f t="shared" si="42"/>
        <v>13736.347444870162</v>
      </c>
      <c r="V369" s="16">
        <f t="shared" si="43"/>
        <v>3434.0868612175404</v>
      </c>
      <c r="W369" s="16" t="s">
        <v>1995</v>
      </c>
      <c r="X369" s="1485"/>
      <c r="Y369" s="1485"/>
      <c r="Z369" s="1485"/>
      <c r="AA369" s="1485"/>
      <c r="AB369" s="1485"/>
      <c r="AC369" s="1485"/>
      <c r="AD369" s="1485"/>
      <c r="AE369" s="1485"/>
      <c r="AF369" s="1485"/>
      <c r="AG369" s="1388"/>
      <c r="AH369" s="1485"/>
      <c r="AI369" s="1485"/>
      <c r="AJ369" s="1388" t="str">
        <f>+IF(V369="","",IF(V369&gt;=[19]PARÁMETROS!$F$5,"CUMPLE","NO CUMPLE"))</f>
        <v>CUMPLE</v>
      </c>
      <c r="AK369" s="98"/>
    </row>
    <row r="370" spans="1:37" ht="57.75" thickBot="1">
      <c r="A370" s="1615"/>
      <c r="B370" s="1511"/>
      <c r="C370" s="99" t="s">
        <v>490</v>
      </c>
      <c r="D370" s="100">
        <v>225</v>
      </c>
      <c r="E370" s="101" t="s">
        <v>426</v>
      </c>
      <c r="F370" s="102" t="s">
        <v>2043</v>
      </c>
      <c r="G370" s="103" t="s">
        <v>2234</v>
      </c>
      <c r="H370" s="1392" t="s">
        <v>22</v>
      </c>
      <c r="I370" s="1392" t="s">
        <v>22</v>
      </c>
      <c r="J370" s="104">
        <v>0.5</v>
      </c>
      <c r="K370" s="105">
        <v>37288</v>
      </c>
      <c r="L370" s="105" t="s">
        <v>152</v>
      </c>
      <c r="M370" s="106">
        <v>2014</v>
      </c>
      <c r="N370" s="107">
        <f>+IFERROR(INDEX([19]PARÁMETROS!$B$11:$B$37,MATCH(M370,[19]PARÁMETROS!$A$11:$A$37,0)),"")</f>
        <v>616000</v>
      </c>
      <c r="O370" s="108">
        <f>15268.52*N370</f>
        <v>9405408320</v>
      </c>
      <c r="P370" s="109" t="s">
        <v>151</v>
      </c>
      <c r="Q370" s="99" t="s">
        <v>326</v>
      </c>
      <c r="R370" s="110" t="s">
        <v>326</v>
      </c>
      <c r="S370" s="111">
        <v>1</v>
      </c>
      <c r="T370" s="107">
        <f t="shared" si="44"/>
        <v>9405408320</v>
      </c>
      <c r="U370" s="112">
        <f t="shared" si="42"/>
        <v>15268.52</v>
      </c>
      <c r="V370" s="112">
        <f t="shared" si="43"/>
        <v>7634.26</v>
      </c>
      <c r="W370" s="112" t="s">
        <v>1995</v>
      </c>
      <c r="X370" s="1486"/>
      <c r="Y370" s="1486"/>
      <c r="Z370" s="1486"/>
      <c r="AA370" s="1486"/>
      <c r="AB370" s="1486"/>
      <c r="AC370" s="1486"/>
      <c r="AD370" s="1486"/>
      <c r="AE370" s="1486"/>
      <c r="AF370" s="1486"/>
      <c r="AG370" s="1392"/>
      <c r="AH370" s="1486"/>
      <c r="AI370" s="1486"/>
      <c r="AJ370" s="1392" t="str">
        <f>+IF(V370="","",IF(V370&gt;=[19]PARÁMETROS!$F$5,"CUMPLE","NO CUMPLE"))</f>
        <v>CUMPLE</v>
      </c>
      <c r="AK370" s="113"/>
    </row>
    <row r="371" spans="1:37" ht="142.5">
      <c r="A371" s="1615"/>
      <c r="B371" s="1509" t="s">
        <v>2235</v>
      </c>
      <c r="C371" s="81" t="s">
        <v>498</v>
      </c>
      <c r="D371" s="647">
        <v>101</v>
      </c>
      <c r="E371" s="648" t="s">
        <v>2236</v>
      </c>
      <c r="F371" s="84" t="s">
        <v>2237</v>
      </c>
      <c r="G371" s="85" t="s">
        <v>2238</v>
      </c>
      <c r="H371" s="1393" t="s">
        <v>22</v>
      </c>
      <c r="I371" s="1393" t="s">
        <v>22</v>
      </c>
      <c r="J371" s="86">
        <v>0.5</v>
      </c>
      <c r="K371" s="87">
        <v>39004</v>
      </c>
      <c r="L371" s="87">
        <v>39667</v>
      </c>
      <c r="M371" s="88">
        <f t="shared" ref="M371:M405" si="45">IF(L371="","",YEAR(L371))</f>
        <v>2008</v>
      </c>
      <c r="N371" s="89">
        <f>+IFERROR(INDEX([20]PARÁMETROS!$B$11:$B$37,MATCH(M371,[20]PARÁMETROS!$A$11:$A$37,0)),"")</f>
        <v>461500</v>
      </c>
      <c r="O371" s="649">
        <v>3848051306</v>
      </c>
      <c r="P371" s="91" t="s">
        <v>151</v>
      </c>
      <c r="Q371" s="81" t="s">
        <v>326</v>
      </c>
      <c r="R371" s="92" t="s">
        <v>326</v>
      </c>
      <c r="S371" s="93">
        <v>1</v>
      </c>
      <c r="T371" s="89">
        <f>IF(S371&lt;&gt;"",O371*S371,"")</f>
        <v>3848051306</v>
      </c>
      <c r="U371" s="94">
        <f t="shared" si="42"/>
        <v>8338.13934127844</v>
      </c>
      <c r="V371" s="94">
        <f t="shared" si="43"/>
        <v>4169.06967063922</v>
      </c>
      <c r="W371" s="95">
        <v>21</v>
      </c>
      <c r="X371" s="1484" t="s">
        <v>129</v>
      </c>
      <c r="Y371" s="1484"/>
      <c r="Z371" s="1484"/>
      <c r="AA371" s="1484" t="s">
        <v>129</v>
      </c>
      <c r="AB371" s="1484"/>
      <c r="AC371" s="1484"/>
      <c r="AD371" s="1484" t="s">
        <v>22</v>
      </c>
      <c r="AE371" s="1484"/>
      <c r="AF371" s="1484"/>
      <c r="AG371" s="1393" t="s">
        <v>22</v>
      </c>
      <c r="AH371" s="1484" t="str">
        <f>IF(V371="","",IF(SUM(V371:V376)&gt;=[20]PARÁMETROS!$D$5,"HÁBIL","NO HÁBIL"))</f>
        <v>HÁBIL</v>
      </c>
      <c r="AI371" s="1484" t="str">
        <f>IF(V371="","",IF(V371+V372+V373&gt;=[20]PARÁMETROS!$H$5,"HÁBIL","NO HÁBIL"))</f>
        <v>HÁBIL</v>
      </c>
      <c r="AJ371" s="1400" t="str">
        <f>+IF(V371="","",IF(V371&gt;=[20]PARÁMETROS!$F$5,"CUMPLE","NO CUMPLE"))</f>
        <v>CUMPLE</v>
      </c>
      <c r="AK371" s="96"/>
    </row>
    <row r="372" spans="1:37" ht="57">
      <c r="A372" s="1615"/>
      <c r="B372" s="1510"/>
      <c r="C372" s="19" t="s">
        <v>498</v>
      </c>
      <c r="D372" s="650">
        <v>108</v>
      </c>
      <c r="E372" s="651" t="s">
        <v>2236</v>
      </c>
      <c r="F372" s="22" t="s">
        <v>965</v>
      </c>
      <c r="G372" s="22" t="s">
        <v>2239</v>
      </c>
      <c r="H372" s="1388" t="s">
        <v>22</v>
      </c>
      <c r="I372" s="1388" t="s">
        <v>22</v>
      </c>
      <c r="J372" s="34">
        <v>0.33</v>
      </c>
      <c r="K372" s="25">
        <v>40368</v>
      </c>
      <c r="L372" s="25">
        <v>42094</v>
      </c>
      <c r="M372" s="26">
        <f t="shared" si="45"/>
        <v>2015</v>
      </c>
      <c r="N372" s="27">
        <f>+IFERROR(INDEX([20]PARÁMETROS!$B$11:$B$37,MATCH(M372,[20]PARÁMETROS!$A$11:$A$37,0)),"")</f>
        <v>644350</v>
      </c>
      <c r="O372" s="652">
        <v>10689723675</v>
      </c>
      <c r="P372" s="27" t="s">
        <v>151</v>
      </c>
      <c r="Q372" s="19" t="s">
        <v>326</v>
      </c>
      <c r="R372" s="30" t="s">
        <v>326</v>
      </c>
      <c r="S372" s="31">
        <v>1</v>
      </c>
      <c r="T372" s="27">
        <f>IF(S372&lt;&gt;"",O372*S372,"")</f>
        <v>10689723675</v>
      </c>
      <c r="U372" s="16">
        <f t="shared" si="42"/>
        <v>16589.933537673624</v>
      </c>
      <c r="V372" s="16">
        <f t="shared" si="43"/>
        <v>5474.6780674322963</v>
      </c>
      <c r="W372" s="32">
        <v>108</v>
      </c>
      <c r="X372" s="1485" t="s">
        <v>129</v>
      </c>
      <c r="Y372" s="1485"/>
      <c r="Z372" s="1485"/>
      <c r="AA372" s="1485" t="s">
        <v>22</v>
      </c>
      <c r="AB372" s="1485"/>
      <c r="AC372" s="1485"/>
      <c r="AD372" s="1485" t="s">
        <v>22</v>
      </c>
      <c r="AE372" s="1485"/>
      <c r="AF372" s="1485"/>
      <c r="AG372" s="1388" t="s">
        <v>22</v>
      </c>
      <c r="AH372" s="1485"/>
      <c r="AI372" s="1485"/>
      <c r="AJ372" s="1388" t="str">
        <f>+IF(V372="","",IF(V372&gt;=[20]PARÁMETROS!$F$5,"CUMPLE","NO CUMPLE"))</f>
        <v>CUMPLE</v>
      </c>
      <c r="AK372" s="97"/>
    </row>
    <row r="373" spans="1:37" ht="128.25">
      <c r="A373" s="1615"/>
      <c r="B373" s="1510"/>
      <c r="C373" s="19" t="s">
        <v>498</v>
      </c>
      <c r="D373" s="650">
        <v>115</v>
      </c>
      <c r="E373" s="651" t="s">
        <v>2236</v>
      </c>
      <c r="F373" s="22" t="s">
        <v>2237</v>
      </c>
      <c r="G373" s="23" t="s">
        <v>2240</v>
      </c>
      <c r="H373" s="1388" t="s">
        <v>22</v>
      </c>
      <c r="I373" s="1388" t="s">
        <v>22</v>
      </c>
      <c r="J373" s="24">
        <v>0.5</v>
      </c>
      <c r="K373" s="25">
        <v>38754</v>
      </c>
      <c r="L373" s="25">
        <v>39682</v>
      </c>
      <c r="M373" s="26">
        <f t="shared" si="45"/>
        <v>2008</v>
      </c>
      <c r="N373" s="27">
        <f>+IFERROR(INDEX([20]PARÁMETROS!$B$11:$B$37,MATCH(M373,[20]PARÁMETROS!$A$11:$A$37,0)),"")</f>
        <v>461500</v>
      </c>
      <c r="O373" s="653">
        <v>3406916680</v>
      </c>
      <c r="P373" s="29" t="s">
        <v>151</v>
      </c>
      <c r="Q373" s="19" t="s">
        <v>326</v>
      </c>
      <c r="R373" s="30" t="s">
        <v>326</v>
      </c>
      <c r="S373" s="31">
        <v>1</v>
      </c>
      <c r="T373" s="27">
        <f>IF(S373&lt;&gt;"",O373*S373,"")</f>
        <v>3406916680</v>
      </c>
      <c r="U373" s="16">
        <f t="shared" si="42"/>
        <v>7382.267995666306</v>
      </c>
      <c r="V373" s="16">
        <f t="shared" si="43"/>
        <v>3691.133997833153</v>
      </c>
      <c r="W373" s="32">
        <v>17</v>
      </c>
      <c r="X373" s="1485" t="s">
        <v>129</v>
      </c>
      <c r="Y373" s="1485"/>
      <c r="Z373" s="1485"/>
      <c r="AA373" s="1485" t="s">
        <v>129</v>
      </c>
      <c r="AB373" s="1485"/>
      <c r="AC373" s="1485"/>
      <c r="AD373" s="1485" t="s">
        <v>22</v>
      </c>
      <c r="AE373" s="1485"/>
      <c r="AF373" s="1485"/>
      <c r="AG373" s="1388" t="s">
        <v>22</v>
      </c>
      <c r="AH373" s="1485"/>
      <c r="AI373" s="1485"/>
      <c r="AJ373" s="1388" t="str">
        <f>+IF(V373="","",IF(V373&gt;=[20]PARÁMETROS!$F$5,"CUMPLE","NO CUMPLE"))</f>
        <v>CUMPLE</v>
      </c>
      <c r="AK373" s="98"/>
    </row>
    <row r="374" spans="1:37" ht="71.25">
      <c r="A374" s="1615"/>
      <c r="B374" s="1510"/>
      <c r="C374" s="19" t="s">
        <v>503</v>
      </c>
      <c r="D374" s="650">
        <v>121</v>
      </c>
      <c r="E374" s="651" t="s">
        <v>219</v>
      </c>
      <c r="F374" s="22" t="s">
        <v>970</v>
      </c>
      <c r="G374" s="23" t="s">
        <v>2241</v>
      </c>
      <c r="H374" s="1388" t="s">
        <v>22</v>
      </c>
      <c r="I374" s="1388" t="s">
        <v>22</v>
      </c>
      <c r="J374" s="24">
        <v>0.5</v>
      </c>
      <c r="K374" s="25">
        <v>39405</v>
      </c>
      <c r="L374" s="25">
        <v>40268</v>
      </c>
      <c r="M374" s="26">
        <f t="shared" si="45"/>
        <v>2010</v>
      </c>
      <c r="N374" s="27">
        <f>+IFERROR(INDEX([20]PARÁMETROS!$B$11:$B$37,MATCH(M374,[20]PARÁMETROS!$A$11:$A$37,0)),"")</f>
        <v>515000</v>
      </c>
      <c r="O374" s="653">
        <f>1300041+321436+268981</f>
        <v>1890458</v>
      </c>
      <c r="P374" s="29" t="s">
        <v>142</v>
      </c>
      <c r="Q374" s="19">
        <v>1.3452999999999999</v>
      </c>
      <c r="R374" s="30">
        <f>+Q374*O374</f>
        <v>2543233.1473999997</v>
      </c>
      <c r="S374" s="31">
        <v>1928.59</v>
      </c>
      <c r="T374" s="27">
        <f>IF(S374&lt;&gt;"",R374*S374,"")</f>
        <v>4904854015.7441654</v>
      </c>
      <c r="U374" s="16">
        <f t="shared" si="42"/>
        <v>9523.9883800857588</v>
      </c>
      <c r="V374" s="16">
        <f t="shared" si="43"/>
        <v>4761.9941900428794</v>
      </c>
      <c r="W374" s="32">
        <v>22</v>
      </c>
      <c r="X374" s="1496" t="s">
        <v>22</v>
      </c>
      <c r="Y374" s="1497"/>
      <c r="Z374" s="1498"/>
      <c r="AA374" s="1496" t="s">
        <v>22</v>
      </c>
      <c r="AB374" s="1497"/>
      <c r="AC374" s="1498"/>
      <c r="AD374" s="1496" t="s">
        <v>22</v>
      </c>
      <c r="AE374" s="1497"/>
      <c r="AF374" s="1498"/>
      <c r="AG374" s="1388" t="s">
        <v>22</v>
      </c>
      <c r="AH374" s="1485"/>
      <c r="AI374" s="1485"/>
      <c r="AJ374" s="1388" t="str">
        <f>+IF(V374="","",IF(V374&gt;=[20]PARÁMETROS!$F$5,"CUMPLE","NO CUMPLE"))</f>
        <v>CUMPLE</v>
      </c>
      <c r="AK374" s="98"/>
    </row>
    <row r="375" spans="1:37" ht="71.25">
      <c r="A375" s="1615"/>
      <c r="B375" s="1510"/>
      <c r="C375" s="19" t="s">
        <v>503</v>
      </c>
      <c r="D375" s="650">
        <v>126</v>
      </c>
      <c r="E375" s="651" t="s">
        <v>219</v>
      </c>
      <c r="F375" s="22" t="s">
        <v>220</v>
      </c>
      <c r="G375" s="23" t="s">
        <v>221</v>
      </c>
      <c r="H375" s="1388" t="s">
        <v>22</v>
      </c>
      <c r="I375" s="1388" t="s">
        <v>22</v>
      </c>
      <c r="J375" s="24">
        <v>0.7</v>
      </c>
      <c r="K375" s="25">
        <v>37951</v>
      </c>
      <c r="L375" s="25">
        <v>39568</v>
      </c>
      <c r="M375" s="26">
        <f t="shared" si="45"/>
        <v>2008</v>
      </c>
      <c r="N375" s="27">
        <f>+IFERROR(INDEX([20]PARÁMETROS!$B$11:$B$37,MATCH(M375,[20]PARÁMETROS!$A$11:$A$37,0)),"")</f>
        <v>461500</v>
      </c>
      <c r="O375" s="653">
        <v>2224756</v>
      </c>
      <c r="P375" s="29" t="s">
        <v>142</v>
      </c>
      <c r="Q375" s="19">
        <v>1.5607500000000001</v>
      </c>
      <c r="R375" s="30">
        <f>+Q375*O375</f>
        <v>3472287.9270000001</v>
      </c>
      <c r="S375" s="31">
        <v>1780.21</v>
      </c>
      <c r="T375" s="27">
        <f>IF(S375&lt;&gt;"",R375*S375,"")</f>
        <v>6181401690.5246706</v>
      </c>
      <c r="U375" s="16">
        <f t="shared" si="42"/>
        <v>13394.153175568084</v>
      </c>
      <c r="V375" s="16">
        <f t="shared" si="43"/>
        <v>9375.9072228976584</v>
      </c>
      <c r="W375" s="32">
        <v>23</v>
      </c>
      <c r="X375" s="1485" t="s">
        <v>22</v>
      </c>
      <c r="Y375" s="1485"/>
      <c r="Z375" s="1485"/>
      <c r="AA375" s="1485" t="s">
        <v>22</v>
      </c>
      <c r="AB375" s="1485"/>
      <c r="AC375" s="1485"/>
      <c r="AD375" s="1485" t="s">
        <v>22</v>
      </c>
      <c r="AE375" s="1485"/>
      <c r="AF375" s="1485"/>
      <c r="AG375" s="1388" t="s">
        <v>22</v>
      </c>
      <c r="AH375" s="1485"/>
      <c r="AI375" s="1485"/>
      <c r="AJ375" s="1388" t="str">
        <f>+IF(V375="","",IF(V375&gt;=[20]PARÁMETROS!$F$5,"CUMPLE","NO CUMPLE"))</f>
        <v>CUMPLE</v>
      </c>
      <c r="AK375" s="98"/>
    </row>
    <row r="376" spans="1:37" ht="72" thickBot="1">
      <c r="A376" s="1615"/>
      <c r="B376" s="1511"/>
      <c r="C376" s="99" t="s">
        <v>503</v>
      </c>
      <c r="D376" s="100">
        <v>132</v>
      </c>
      <c r="E376" s="654" t="s">
        <v>219</v>
      </c>
      <c r="F376" s="102" t="s">
        <v>2242</v>
      </c>
      <c r="G376" s="103" t="s">
        <v>2243</v>
      </c>
      <c r="H376" s="1392" t="s">
        <v>22</v>
      </c>
      <c r="I376" s="1392" t="s">
        <v>22</v>
      </c>
      <c r="J376" s="104">
        <v>0.5</v>
      </c>
      <c r="K376" s="105">
        <v>39722</v>
      </c>
      <c r="L376" s="105">
        <v>41211</v>
      </c>
      <c r="M376" s="106">
        <f t="shared" si="45"/>
        <v>2012</v>
      </c>
      <c r="N376" s="107">
        <f>+IFERROR(INDEX([20]PARÁMETROS!$B$11:$B$37,MATCH(M376,[20]PARÁMETROS!$A$11:$A$37,0)),"")</f>
        <v>566700</v>
      </c>
      <c r="O376" s="655">
        <v>2738296</v>
      </c>
      <c r="P376" s="109" t="s">
        <v>142</v>
      </c>
      <c r="Q376" s="99">
        <v>1.29355</v>
      </c>
      <c r="R376" s="110">
        <f>+Q376*O376</f>
        <v>3542122.7908000001</v>
      </c>
      <c r="S376" s="111">
        <v>1823.18</v>
      </c>
      <c r="T376" s="107">
        <f>IF(S376&lt;&gt;"",R376*S376,"")</f>
        <v>6457927429.7307444</v>
      </c>
      <c r="U376" s="112">
        <f t="shared" si="42"/>
        <v>11395.672189396055</v>
      </c>
      <c r="V376" s="112">
        <f t="shared" si="43"/>
        <v>5697.8360946980274</v>
      </c>
      <c r="W376" s="656"/>
      <c r="X376" s="1486"/>
      <c r="Y376" s="1486"/>
      <c r="Z376" s="1486"/>
      <c r="AA376" s="1486"/>
      <c r="AB376" s="1486"/>
      <c r="AC376" s="1486"/>
      <c r="AD376" s="1486"/>
      <c r="AE376" s="1486"/>
      <c r="AF376" s="1486"/>
      <c r="AG376" s="1392"/>
      <c r="AH376" s="1486"/>
      <c r="AI376" s="1486"/>
      <c r="AJ376" s="1394" t="str">
        <f>+IF(V376="","",IF(V376&gt;=[20]PARÁMETROS!$F$5,"CUMPLE","NO CUMPLE"))</f>
        <v>CUMPLE</v>
      </c>
      <c r="AK376" s="113" t="s">
        <v>2244</v>
      </c>
    </row>
    <row r="377" spans="1:37" ht="57">
      <c r="A377" s="1615"/>
      <c r="B377" s="1509" t="s">
        <v>2245</v>
      </c>
      <c r="C377" s="68" t="s">
        <v>507</v>
      </c>
      <c r="D377" s="69">
        <v>243</v>
      </c>
      <c r="E377" s="723" t="s">
        <v>2246</v>
      </c>
      <c r="F377" s="657" t="s">
        <v>2020</v>
      </c>
      <c r="G377" s="658" t="s">
        <v>2247</v>
      </c>
      <c r="H377" s="1394" t="s">
        <v>22</v>
      </c>
      <c r="I377" s="1394" t="s">
        <v>22</v>
      </c>
      <c r="J377" s="659">
        <v>0.7</v>
      </c>
      <c r="K377" s="74">
        <v>39933</v>
      </c>
      <c r="L377" s="74">
        <v>41029</v>
      </c>
      <c r="M377" s="116">
        <f t="shared" si="45"/>
        <v>2012</v>
      </c>
      <c r="N377" s="75">
        <f>+IFERROR(INDEX([20]PARÁMETROS!$B$11:$B$37,MATCH(M377,[20]PARÁMETROS!$A$11:$A$37,0)),"")</f>
        <v>566700</v>
      </c>
      <c r="O377" s="660">
        <f>6196817512+1390157920+518272198+1127918102+175141200</f>
        <v>9408306932</v>
      </c>
      <c r="P377" s="77" t="s">
        <v>151</v>
      </c>
      <c r="Q377" s="68" t="s">
        <v>326</v>
      </c>
      <c r="R377" s="78" t="s">
        <v>326</v>
      </c>
      <c r="S377" s="79">
        <v>1</v>
      </c>
      <c r="T377" s="75">
        <f t="shared" ref="T377:T392" si="46">IF(S377&lt;&gt;"",O377*S377,"")</f>
        <v>9408306932</v>
      </c>
      <c r="U377" s="80">
        <f t="shared" si="42"/>
        <v>16601.918002470444</v>
      </c>
      <c r="V377" s="80">
        <f t="shared" si="43"/>
        <v>11621.34260172931</v>
      </c>
      <c r="W377" s="80" t="s">
        <v>2248</v>
      </c>
      <c r="X377" s="1484" t="s">
        <v>129</v>
      </c>
      <c r="Y377" s="1484"/>
      <c r="Z377" s="1484"/>
      <c r="AA377" s="1508" t="s">
        <v>129</v>
      </c>
      <c r="AB377" s="1508"/>
      <c r="AC377" s="1508"/>
      <c r="AD377" s="1508" t="s">
        <v>22</v>
      </c>
      <c r="AE377" s="1508"/>
      <c r="AF377" s="1508"/>
      <c r="AG377" s="1394" t="s">
        <v>22</v>
      </c>
      <c r="AH377" s="1508" t="str">
        <f>IF(V377="","",IF(SUM(V377:V382)&gt;=[20]PARÁMETROS!$D$5,"HÁBIL","NO HÁBIL"))</f>
        <v>HÁBIL</v>
      </c>
      <c r="AI377" s="1508" t="str">
        <f>IF(V377="","",IF(V377&gt;=[20]PARÁMETROS!$H$5,"HÁBIL","NO HÁBIL"))</f>
        <v>HÁBIL</v>
      </c>
      <c r="AJ377" s="1400" t="str">
        <f>+IF(V377="","",IF(V377&gt;=[20]PARÁMETROS!$F$5,"CUMPLE","NO CUMPLE"))</f>
        <v>CUMPLE</v>
      </c>
      <c r="AK377" s="122"/>
    </row>
    <row r="378" spans="1:37" ht="57">
      <c r="A378" s="1615"/>
      <c r="B378" s="1510"/>
      <c r="C378" s="19" t="s">
        <v>507</v>
      </c>
      <c r="D378" s="36">
        <v>248</v>
      </c>
      <c r="E378" s="651" t="s">
        <v>2246</v>
      </c>
      <c r="F378" s="661" t="s">
        <v>2249</v>
      </c>
      <c r="G378" s="662" t="s">
        <v>2250</v>
      </c>
      <c r="H378" s="1388" t="s">
        <v>22</v>
      </c>
      <c r="I378" s="1388" t="s">
        <v>22</v>
      </c>
      <c r="J378" s="659">
        <v>0.5</v>
      </c>
      <c r="K378" s="25">
        <v>36333</v>
      </c>
      <c r="L378" s="25">
        <v>38915</v>
      </c>
      <c r="M378" s="26">
        <f t="shared" si="45"/>
        <v>2006</v>
      </c>
      <c r="N378" s="27">
        <f>+IFERROR(INDEX([20]PARÁMETROS!$B$11:$B$37,MATCH(M378,[20]PARÁMETROS!$A$11:$A$37,0)),"")</f>
        <v>408000</v>
      </c>
      <c r="O378" s="663">
        <v>19941780178.779999</v>
      </c>
      <c r="P378" s="29" t="s">
        <v>151</v>
      </c>
      <c r="Q378" s="19" t="s">
        <v>326</v>
      </c>
      <c r="R378" s="30" t="s">
        <v>326</v>
      </c>
      <c r="S378" s="31">
        <v>1</v>
      </c>
      <c r="T378" s="27">
        <f t="shared" si="46"/>
        <v>19941780178.779999</v>
      </c>
      <c r="U378" s="16">
        <f t="shared" si="42"/>
        <v>48876.912202892156</v>
      </c>
      <c r="V378" s="16">
        <f t="shared" si="43"/>
        <v>24438.456101446078</v>
      </c>
      <c r="W378" s="16" t="s">
        <v>2251</v>
      </c>
      <c r="X378" s="1485" t="s">
        <v>129</v>
      </c>
      <c r="Y378" s="1485"/>
      <c r="Z378" s="1485"/>
      <c r="AA378" s="1485" t="s">
        <v>129</v>
      </c>
      <c r="AB378" s="1485"/>
      <c r="AC378" s="1485"/>
      <c r="AD378" s="1485" t="s">
        <v>22</v>
      </c>
      <c r="AE378" s="1485"/>
      <c r="AF378" s="1485"/>
      <c r="AG378" s="1388" t="s">
        <v>22</v>
      </c>
      <c r="AH378" s="1485"/>
      <c r="AI378" s="1485"/>
      <c r="AJ378" s="1388" t="str">
        <f>+IF(V378="","",IF(V378&gt;=[20]PARÁMETROS!$F$5,"CUMPLE","NO CUMPLE"))</f>
        <v>CUMPLE</v>
      </c>
      <c r="AK378" s="97"/>
    </row>
    <row r="379" spans="1:37" ht="57">
      <c r="A379" s="1615"/>
      <c r="B379" s="1510"/>
      <c r="C379" s="19" t="s">
        <v>507</v>
      </c>
      <c r="D379" s="36">
        <v>251</v>
      </c>
      <c r="E379" s="651" t="s">
        <v>2246</v>
      </c>
      <c r="F379" s="664" t="s">
        <v>2252</v>
      </c>
      <c r="G379" s="662" t="s">
        <v>2253</v>
      </c>
      <c r="H379" s="1388" t="s">
        <v>22</v>
      </c>
      <c r="I379" s="1388" t="s">
        <v>22</v>
      </c>
      <c r="J379" s="665">
        <v>1</v>
      </c>
      <c r="K379" s="25">
        <v>38888</v>
      </c>
      <c r="L379" s="25">
        <v>39641</v>
      </c>
      <c r="M379" s="26">
        <f t="shared" si="45"/>
        <v>2008</v>
      </c>
      <c r="N379" s="27">
        <f>+IFERROR(INDEX([20]PARÁMETROS!$B$11:$B$37,MATCH(M379,[20]PARÁMETROS!$A$11:$A$37,0)),"")</f>
        <v>461500</v>
      </c>
      <c r="O379" s="666">
        <v>10475917527</v>
      </c>
      <c r="P379" s="29" t="s">
        <v>151</v>
      </c>
      <c r="Q379" s="19" t="s">
        <v>326</v>
      </c>
      <c r="R379" s="30" t="s">
        <v>326</v>
      </c>
      <c r="S379" s="31">
        <v>1</v>
      </c>
      <c r="T379" s="27">
        <f t="shared" si="46"/>
        <v>10475917527</v>
      </c>
      <c r="U379" s="16">
        <f t="shared" si="42"/>
        <v>22699.712951245936</v>
      </c>
      <c r="V379" s="16">
        <f t="shared" si="43"/>
        <v>22699.712951245936</v>
      </c>
      <c r="W379" s="16" t="s">
        <v>2254</v>
      </c>
      <c r="X379" s="1485" t="s">
        <v>129</v>
      </c>
      <c r="Y379" s="1485"/>
      <c r="Z379" s="1485"/>
      <c r="AA379" s="1485" t="s">
        <v>129</v>
      </c>
      <c r="AB379" s="1485"/>
      <c r="AC379" s="1485"/>
      <c r="AD379" s="1485" t="s">
        <v>22</v>
      </c>
      <c r="AE379" s="1485"/>
      <c r="AF379" s="1485"/>
      <c r="AG379" s="1388" t="s">
        <v>22</v>
      </c>
      <c r="AH379" s="1485"/>
      <c r="AI379" s="1485"/>
      <c r="AJ379" s="1388" t="str">
        <f>+IF(V379="","",IF(V379&gt;=[20]PARÁMETROS!$F$5,"CUMPLE","NO CUMPLE"))</f>
        <v>CUMPLE</v>
      </c>
      <c r="AK379" s="97"/>
    </row>
    <row r="380" spans="1:37" ht="42.75">
      <c r="A380" s="1615"/>
      <c r="B380" s="1510"/>
      <c r="C380" s="19" t="s">
        <v>507</v>
      </c>
      <c r="D380" s="36">
        <v>255</v>
      </c>
      <c r="E380" s="651" t="s">
        <v>2246</v>
      </c>
      <c r="F380" s="661" t="s">
        <v>2255</v>
      </c>
      <c r="G380" s="662" t="s">
        <v>2256</v>
      </c>
      <c r="H380" s="1388" t="s">
        <v>22</v>
      </c>
      <c r="I380" s="1388" t="s">
        <v>22</v>
      </c>
      <c r="J380" s="659">
        <v>0.45</v>
      </c>
      <c r="K380" s="25">
        <v>39860</v>
      </c>
      <c r="L380" s="25">
        <v>41213</v>
      </c>
      <c r="M380" s="26">
        <f t="shared" si="45"/>
        <v>2012</v>
      </c>
      <c r="N380" s="27">
        <f>+IFERROR(INDEX([20]PARÁMETROS!$B$11:$B$37,MATCH(M380,[20]PARÁMETROS!$A$11:$A$37,0)),"")</f>
        <v>566700</v>
      </c>
      <c r="O380" s="660">
        <v>8291206645</v>
      </c>
      <c r="P380" s="29" t="s">
        <v>151</v>
      </c>
      <c r="Q380" s="19" t="s">
        <v>326</v>
      </c>
      <c r="R380" s="30" t="s">
        <v>326</v>
      </c>
      <c r="S380" s="31">
        <v>1</v>
      </c>
      <c r="T380" s="27">
        <f t="shared" si="46"/>
        <v>8291206645</v>
      </c>
      <c r="U380" s="16">
        <f t="shared" si="42"/>
        <v>14630.680509970001</v>
      </c>
      <c r="V380" s="16">
        <f t="shared" si="43"/>
        <v>6583.8062294865003</v>
      </c>
      <c r="W380" s="16" t="s">
        <v>2257</v>
      </c>
      <c r="X380" s="1485" t="s">
        <v>129</v>
      </c>
      <c r="Y380" s="1485"/>
      <c r="Z380" s="1485"/>
      <c r="AA380" s="1485" t="s">
        <v>129</v>
      </c>
      <c r="AB380" s="1485"/>
      <c r="AC380" s="1485"/>
      <c r="AD380" s="1485" t="s">
        <v>22</v>
      </c>
      <c r="AE380" s="1485"/>
      <c r="AF380" s="1485"/>
      <c r="AG380" s="1388" t="s">
        <v>22</v>
      </c>
      <c r="AH380" s="1485"/>
      <c r="AI380" s="1485"/>
      <c r="AJ380" s="1388" t="str">
        <f>+IF(V380="","",IF(V380&gt;=[20]PARÁMETROS!$F$5,"CUMPLE","NO CUMPLE"))</f>
        <v>CUMPLE</v>
      </c>
      <c r="AK380" s="97"/>
    </row>
    <row r="381" spans="1:37" ht="57">
      <c r="A381" s="1615"/>
      <c r="B381" s="1510"/>
      <c r="C381" s="19" t="s">
        <v>507</v>
      </c>
      <c r="D381" s="36">
        <v>260</v>
      </c>
      <c r="E381" s="651" t="s">
        <v>2246</v>
      </c>
      <c r="F381" s="661" t="s">
        <v>2249</v>
      </c>
      <c r="G381" s="662" t="s">
        <v>2258</v>
      </c>
      <c r="H381" s="1388" t="s">
        <v>22</v>
      </c>
      <c r="I381" s="1388" t="s">
        <v>22</v>
      </c>
      <c r="J381" s="659">
        <v>0.5</v>
      </c>
      <c r="K381" s="25">
        <v>38916</v>
      </c>
      <c r="L381" s="25">
        <v>40267</v>
      </c>
      <c r="M381" s="26">
        <f t="shared" si="45"/>
        <v>2010</v>
      </c>
      <c r="N381" s="27">
        <f>+IFERROR(INDEX([20]PARÁMETROS!$B$11:$B$37,MATCH(M381,[20]PARÁMETROS!$A$11:$A$37,0)),"")</f>
        <v>515000</v>
      </c>
      <c r="O381" s="663">
        <v>7564702533</v>
      </c>
      <c r="P381" s="29" t="s">
        <v>151</v>
      </c>
      <c r="Q381" s="19" t="s">
        <v>326</v>
      </c>
      <c r="R381" s="30" t="s">
        <v>326</v>
      </c>
      <c r="S381" s="31">
        <v>1</v>
      </c>
      <c r="T381" s="27">
        <f t="shared" si="46"/>
        <v>7564702533</v>
      </c>
      <c r="U381" s="16">
        <f t="shared" si="42"/>
        <v>14688.742782524272</v>
      </c>
      <c r="V381" s="16">
        <f t="shared" si="43"/>
        <v>7344.3713912621361</v>
      </c>
      <c r="W381" s="16" t="s">
        <v>2259</v>
      </c>
      <c r="X381" s="1485" t="s">
        <v>129</v>
      </c>
      <c r="Y381" s="1485"/>
      <c r="Z381" s="1485"/>
      <c r="AA381" s="1485" t="s">
        <v>129</v>
      </c>
      <c r="AB381" s="1485"/>
      <c r="AC381" s="1485"/>
      <c r="AD381" s="1485" t="s">
        <v>22</v>
      </c>
      <c r="AE381" s="1485"/>
      <c r="AF381" s="1485"/>
      <c r="AG381" s="1388" t="s">
        <v>22</v>
      </c>
      <c r="AH381" s="1485"/>
      <c r="AI381" s="1485"/>
      <c r="AJ381" s="1388" t="str">
        <f>+IF(V381="","",IF(V381&gt;=[20]PARÁMETROS!$F$5,"CUMPLE","NO CUMPLE"))</f>
        <v>CUMPLE</v>
      </c>
      <c r="AK381" s="97"/>
    </row>
    <row r="382" spans="1:37" ht="43.5" thickBot="1">
      <c r="A382" s="1615"/>
      <c r="B382" s="1511"/>
      <c r="C382" s="99" t="s">
        <v>507</v>
      </c>
      <c r="D382" s="100">
        <v>267</v>
      </c>
      <c r="E382" s="654" t="s">
        <v>2246</v>
      </c>
      <c r="F382" s="667" t="s">
        <v>1744</v>
      </c>
      <c r="G382" s="668" t="s">
        <v>2260</v>
      </c>
      <c r="H382" s="1392" t="s">
        <v>22</v>
      </c>
      <c r="I382" s="1392" t="s">
        <v>22</v>
      </c>
      <c r="J382" s="669">
        <v>0.5</v>
      </c>
      <c r="K382" s="105">
        <v>35457</v>
      </c>
      <c r="L382" s="105">
        <v>37126</v>
      </c>
      <c r="M382" s="106">
        <f t="shared" si="45"/>
        <v>2001</v>
      </c>
      <c r="N382" s="107">
        <f>+IFERROR(INDEX([20]PARÁMETROS!$B$11:$B$37,MATCH(M382,[20]PARÁMETROS!$A$11:$A$37,0)),"")</f>
        <v>286000</v>
      </c>
      <c r="O382" s="670">
        <v>5240267062</v>
      </c>
      <c r="P382" s="109" t="s">
        <v>151</v>
      </c>
      <c r="Q382" s="99" t="s">
        <v>326</v>
      </c>
      <c r="R382" s="110" t="s">
        <v>326</v>
      </c>
      <c r="S382" s="111">
        <v>1</v>
      </c>
      <c r="T382" s="107">
        <f t="shared" si="46"/>
        <v>5240267062</v>
      </c>
      <c r="U382" s="112">
        <f t="shared" si="42"/>
        <v>18322.612104895106</v>
      </c>
      <c r="V382" s="112">
        <f t="shared" si="43"/>
        <v>9161.3060524475532</v>
      </c>
      <c r="W382" s="112" t="s">
        <v>2261</v>
      </c>
      <c r="X382" s="1486" t="s">
        <v>129</v>
      </c>
      <c r="Y382" s="1486"/>
      <c r="Z382" s="1486"/>
      <c r="AA382" s="1486" t="s">
        <v>129</v>
      </c>
      <c r="AB382" s="1486"/>
      <c r="AC382" s="1486"/>
      <c r="AD382" s="1486" t="s">
        <v>22</v>
      </c>
      <c r="AE382" s="1486"/>
      <c r="AF382" s="1486"/>
      <c r="AG382" s="1392" t="s">
        <v>22</v>
      </c>
      <c r="AH382" s="1486"/>
      <c r="AI382" s="1486"/>
      <c r="AJ382" s="1394" t="str">
        <f>+IF(V382="","",IF(V382&gt;=[20]PARÁMETROS!$F$5,"CUMPLE","NO CUMPLE"))</f>
        <v>CUMPLE</v>
      </c>
      <c r="AK382" s="113"/>
    </row>
    <row r="383" spans="1:37" ht="71.25">
      <c r="A383" s="1615"/>
      <c r="B383" s="1509" t="s">
        <v>2262</v>
      </c>
      <c r="C383" s="81" t="s">
        <v>1863</v>
      </c>
      <c r="D383" s="114">
        <v>147</v>
      </c>
      <c r="E383" s="648" t="s">
        <v>2263</v>
      </c>
      <c r="F383" s="671" t="s">
        <v>207</v>
      </c>
      <c r="G383" s="658" t="s">
        <v>2264</v>
      </c>
      <c r="H383" s="1393" t="s">
        <v>22</v>
      </c>
      <c r="I383" s="1393" t="s">
        <v>22</v>
      </c>
      <c r="J383" s="672">
        <v>0.65</v>
      </c>
      <c r="K383" s="673">
        <v>37986</v>
      </c>
      <c r="L383" s="673">
        <v>40748</v>
      </c>
      <c r="M383" s="88">
        <f t="shared" si="45"/>
        <v>2011</v>
      </c>
      <c r="N383" s="89">
        <f>+IFERROR(INDEX([20]PARÁMETROS!$B$11:$B$37,MATCH(M383,[20]PARÁMETROS!$A$11:$A$37,0)),"")</f>
        <v>535600</v>
      </c>
      <c r="O383" s="674">
        <v>6087540759</v>
      </c>
      <c r="P383" s="91" t="s">
        <v>151</v>
      </c>
      <c r="Q383" s="81" t="s">
        <v>326</v>
      </c>
      <c r="R383" s="92" t="s">
        <v>326</v>
      </c>
      <c r="S383" s="93">
        <v>1</v>
      </c>
      <c r="T383" s="89">
        <f t="shared" si="46"/>
        <v>6087540759</v>
      </c>
      <c r="U383" s="94">
        <f t="shared" si="42"/>
        <v>11365.834128080658</v>
      </c>
      <c r="V383" s="94">
        <f t="shared" si="43"/>
        <v>7387.792183252428</v>
      </c>
      <c r="W383" s="671">
        <v>67</v>
      </c>
      <c r="X383" s="1484" t="s">
        <v>129</v>
      </c>
      <c r="Y383" s="1484"/>
      <c r="Z383" s="1484"/>
      <c r="AA383" s="1484" t="s">
        <v>22</v>
      </c>
      <c r="AB383" s="1484"/>
      <c r="AC383" s="1484"/>
      <c r="AD383" s="1484" t="s">
        <v>22</v>
      </c>
      <c r="AE383" s="1484"/>
      <c r="AF383" s="1484"/>
      <c r="AG383" s="1393" t="s">
        <v>22</v>
      </c>
      <c r="AH383" s="1484" t="str">
        <f>IF(V383="","",IF(SUM(V383:V387)&gt;=[20]PARÁMETROS!$D$5,"HÁBIL","NO HÁBIL"))</f>
        <v>HÁBIL</v>
      </c>
      <c r="AI383" s="1484" t="str">
        <f>IF(V383="","",IF(V383&gt;=[20]PARÁMETROS!$H$5,"HÁBIL","NO HÁBIL"))</f>
        <v>HÁBIL</v>
      </c>
      <c r="AJ383" s="1400" t="str">
        <f>+IF(V383="","",IF(V383&gt;=[20]PARÁMETROS!$F$5,"CUMPLE","NO CUMPLE"))</f>
        <v>CUMPLE</v>
      </c>
      <c r="AK383" s="96"/>
    </row>
    <row r="384" spans="1:37" ht="57">
      <c r="A384" s="1615"/>
      <c r="B384" s="1510"/>
      <c r="C384" s="19" t="s">
        <v>1863</v>
      </c>
      <c r="D384" s="36">
        <v>153</v>
      </c>
      <c r="E384" s="651" t="s">
        <v>2263</v>
      </c>
      <c r="F384" s="671" t="s">
        <v>155</v>
      </c>
      <c r="G384" s="658" t="s">
        <v>2265</v>
      </c>
      <c r="H384" s="1388" t="s">
        <v>22</v>
      </c>
      <c r="I384" s="1388" t="s">
        <v>22</v>
      </c>
      <c r="J384" s="672">
        <v>1</v>
      </c>
      <c r="K384" s="673">
        <v>36523</v>
      </c>
      <c r="L384" s="673">
        <v>37769</v>
      </c>
      <c r="M384" s="26">
        <f t="shared" si="45"/>
        <v>2003</v>
      </c>
      <c r="N384" s="27">
        <f>+IFERROR(INDEX([20]PARÁMETROS!$B$11:$B$37,MATCH(M384,[20]PARÁMETROS!$A$11:$A$37,0)),"")</f>
        <v>332000</v>
      </c>
      <c r="O384" s="674">
        <v>3291518374</v>
      </c>
      <c r="P384" s="27" t="s">
        <v>151</v>
      </c>
      <c r="Q384" s="19" t="s">
        <v>326</v>
      </c>
      <c r="R384" s="30" t="s">
        <v>326</v>
      </c>
      <c r="S384" s="31">
        <v>1</v>
      </c>
      <c r="T384" s="27">
        <f t="shared" si="46"/>
        <v>3291518374</v>
      </c>
      <c r="U384" s="16">
        <f t="shared" si="42"/>
        <v>9914.2119698795177</v>
      </c>
      <c r="V384" s="16">
        <f t="shared" si="43"/>
        <v>9914.2119698795177</v>
      </c>
      <c r="W384" s="671">
        <v>52</v>
      </c>
      <c r="X384" s="1485" t="s">
        <v>129</v>
      </c>
      <c r="Y384" s="1485"/>
      <c r="Z384" s="1485"/>
      <c r="AA384" s="1485" t="s">
        <v>22</v>
      </c>
      <c r="AB384" s="1485"/>
      <c r="AC384" s="1485"/>
      <c r="AD384" s="1485" t="s">
        <v>22</v>
      </c>
      <c r="AE384" s="1485"/>
      <c r="AF384" s="1485"/>
      <c r="AG384" s="1388" t="s">
        <v>22</v>
      </c>
      <c r="AH384" s="1485"/>
      <c r="AI384" s="1485"/>
      <c r="AJ384" s="1388" t="str">
        <f>+IF(V384="","",IF(V384&gt;=[20]PARÁMETROS!$F$5,"CUMPLE","NO CUMPLE"))</f>
        <v>CUMPLE</v>
      </c>
      <c r="AK384" s="97"/>
    </row>
    <row r="385" spans="1:37" ht="57">
      <c r="A385" s="1615"/>
      <c r="B385" s="1510"/>
      <c r="C385" s="19" t="s">
        <v>1863</v>
      </c>
      <c r="D385" s="36">
        <v>157</v>
      </c>
      <c r="E385" s="651" t="s">
        <v>2263</v>
      </c>
      <c r="F385" s="671" t="s">
        <v>155</v>
      </c>
      <c r="G385" s="658" t="s">
        <v>2266</v>
      </c>
      <c r="H385" s="1388" t="s">
        <v>22</v>
      </c>
      <c r="I385" s="1388" t="s">
        <v>22</v>
      </c>
      <c r="J385" s="672">
        <v>1</v>
      </c>
      <c r="K385" s="673">
        <v>38366</v>
      </c>
      <c r="L385" s="673">
        <v>39064</v>
      </c>
      <c r="M385" s="26">
        <f t="shared" si="45"/>
        <v>2006</v>
      </c>
      <c r="N385" s="27">
        <f>+IFERROR(INDEX([20]PARÁMETROS!$B$11:$B$37,MATCH(M385,[20]PARÁMETROS!$A$11:$A$37,0)),"")</f>
        <v>408000</v>
      </c>
      <c r="O385" s="674">
        <v>1473683024</v>
      </c>
      <c r="P385" s="29" t="s">
        <v>151</v>
      </c>
      <c r="Q385" s="19" t="s">
        <v>326</v>
      </c>
      <c r="R385" s="30" t="s">
        <v>326</v>
      </c>
      <c r="S385" s="31">
        <v>1</v>
      </c>
      <c r="T385" s="27">
        <f t="shared" si="46"/>
        <v>1473683024</v>
      </c>
      <c r="U385" s="16">
        <f t="shared" si="42"/>
        <v>3611.9681960784314</v>
      </c>
      <c r="V385" s="16">
        <f t="shared" si="43"/>
        <v>3611.9681960784314</v>
      </c>
      <c r="W385" s="671">
        <v>62</v>
      </c>
      <c r="X385" s="1485" t="s">
        <v>129</v>
      </c>
      <c r="Y385" s="1485"/>
      <c r="Z385" s="1485"/>
      <c r="AA385" s="1485" t="s">
        <v>22</v>
      </c>
      <c r="AB385" s="1485"/>
      <c r="AC385" s="1485"/>
      <c r="AD385" s="1485" t="s">
        <v>22</v>
      </c>
      <c r="AE385" s="1485"/>
      <c r="AF385" s="1485"/>
      <c r="AG385" s="1388" t="s">
        <v>22</v>
      </c>
      <c r="AH385" s="1485"/>
      <c r="AI385" s="1485"/>
      <c r="AJ385" s="1388" t="str">
        <f>+IF(V385="","",IF(V385&gt;=[20]PARÁMETROS!$F$5,"CUMPLE","NO CUMPLE"))</f>
        <v>CUMPLE</v>
      </c>
      <c r="AK385" s="97"/>
    </row>
    <row r="386" spans="1:37" ht="42.75">
      <c r="A386" s="1615"/>
      <c r="B386" s="1510"/>
      <c r="C386" s="19" t="s">
        <v>519</v>
      </c>
      <c r="D386" s="36">
        <v>160</v>
      </c>
      <c r="E386" s="651" t="s">
        <v>2267</v>
      </c>
      <c r="F386" s="671" t="s">
        <v>1124</v>
      </c>
      <c r="G386" s="658" t="s">
        <v>2268</v>
      </c>
      <c r="H386" s="1388" t="s">
        <v>22</v>
      </c>
      <c r="I386" s="1388" t="s">
        <v>22</v>
      </c>
      <c r="J386" s="659">
        <v>1</v>
      </c>
      <c r="K386" s="673">
        <v>41018</v>
      </c>
      <c r="L386" s="673">
        <v>41486</v>
      </c>
      <c r="M386" s="26">
        <f t="shared" si="45"/>
        <v>2013</v>
      </c>
      <c r="N386" s="27">
        <f>+IFERROR(INDEX([20]PARÁMETROS!$B$11:$B$37,MATCH(M386,[20]PARÁMETROS!$A$11:$A$37,0)),"")</f>
        <v>589500</v>
      </c>
      <c r="O386" s="674">
        <v>2132195139</v>
      </c>
      <c r="P386" s="29" t="s">
        <v>151</v>
      </c>
      <c r="Q386" s="19" t="s">
        <v>326</v>
      </c>
      <c r="R386" s="30" t="s">
        <v>326</v>
      </c>
      <c r="S386" s="31">
        <v>1</v>
      </c>
      <c r="T386" s="27">
        <f t="shared" si="46"/>
        <v>2132195139</v>
      </c>
      <c r="U386" s="16">
        <f t="shared" si="42"/>
        <v>3616.9552824427483</v>
      </c>
      <c r="V386" s="16">
        <f t="shared" si="43"/>
        <v>3616.9552824427483</v>
      </c>
      <c r="W386" s="675">
        <v>8</v>
      </c>
      <c r="X386" s="1485" t="s">
        <v>129</v>
      </c>
      <c r="Y386" s="1485"/>
      <c r="Z386" s="1485"/>
      <c r="AA386" s="1485" t="s">
        <v>129</v>
      </c>
      <c r="AB386" s="1485"/>
      <c r="AC386" s="1485"/>
      <c r="AD386" s="1485" t="s">
        <v>22</v>
      </c>
      <c r="AE386" s="1485"/>
      <c r="AF386" s="1485"/>
      <c r="AG386" s="1388" t="s">
        <v>22</v>
      </c>
      <c r="AH386" s="1485"/>
      <c r="AI386" s="1485"/>
      <c r="AJ386" s="1388" t="str">
        <f>+IF(V386="","",IF(V386&gt;=[20]PARÁMETROS!$F$5,"CUMPLE","NO CUMPLE"))</f>
        <v>CUMPLE</v>
      </c>
      <c r="AK386" s="97"/>
    </row>
    <row r="387" spans="1:37" ht="43.5" thickBot="1">
      <c r="A387" s="1615"/>
      <c r="B387" s="1510"/>
      <c r="C387" s="19" t="s">
        <v>519</v>
      </c>
      <c r="D387" s="36">
        <v>165</v>
      </c>
      <c r="E387" s="651" t="s">
        <v>2267</v>
      </c>
      <c r="F387" s="671" t="s">
        <v>207</v>
      </c>
      <c r="G387" s="658" t="s">
        <v>2269</v>
      </c>
      <c r="H387" s="1388" t="s">
        <v>22</v>
      </c>
      <c r="I387" s="1388" t="s">
        <v>22</v>
      </c>
      <c r="J387" s="659">
        <v>0.8</v>
      </c>
      <c r="K387" s="673">
        <v>39204</v>
      </c>
      <c r="L387" s="673">
        <v>39906</v>
      </c>
      <c r="M387" s="26">
        <f t="shared" si="45"/>
        <v>2009</v>
      </c>
      <c r="N387" s="27">
        <f>+IFERROR(INDEX([20]PARÁMETROS!$B$11:$B$37,MATCH(M387,[20]PARÁMETROS!$A$11:$A$37,0)),"")</f>
        <v>496900</v>
      </c>
      <c r="O387" s="674">
        <v>1592082109</v>
      </c>
      <c r="P387" s="29" t="s">
        <v>151</v>
      </c>
      <c r="Q387" s="19" t="s">
        <v>326</v>
      </c>
      <c r="R387" s="30" t="s">
        <v>326</v>
      </c>
      <c r="S387" s="31">
        <v>1</v>
      </c>
      <c r="T387" s="27">
        <f t="shared" si="46"/>
        <v>1592082109</v>
      </c>
      <c r="U387" s="16">
        <f t="shared" si="42"/>
        <v>3204.0291990340111</v>
      </c>
      <c r="V387" s="16">
        <f t="shared" si="43"/>
        <v>2563.2233592272091</v>
      </c>
      <c r="W387" s="675">
        <v>16</v>
      </c>
      <c r="X387" s="1485" t="s">
        <v>22</v>
      </c>
      <c r="Y387" s="1485"/>
      <c r="Z387" s="1485"/>
      <c r="AA387" s="1485" t="s">
        <v>22</v>
      </c>
      <c r="AB387" s="1485"/>
      <c r="AC387" s="1485"/>
      <c r="AD387" s="1485" t="s">
        <v>22</v>
      </c>
      <c r="AE387" s="1485"/>
      <c r="AF387" s="1485"/>
      <c r="AG387" s="1388" t="s">
        <v>22</v>
      </c>
      <c r="AH387" s="1485"/>
      <c r="AI387" s="1485"/>
      <c r="AJ387" s="1388" t="str">
        <f>+IF(V387="","",IF(V387&gt;=[20]PARÁMETROS!$F$5,"CUMPLE","NO CUMPLE"))</f>
        <v>CUMPLE</v>
      </c>
      <c r="AK387" s="97"/>
    </row>
    <row r="388" spans="1:37" ht="57">
      <c r="A388" s="1615"/>
      <c r="B388" s="1509" t="s">
        <v>2270</v>
      </c>
      <c r="C388" s="81" t="s">
        <v>526</v>
      </c>
      <c r="D388" s="114">
        <v>183</v>
      </c>
      <c r="E388" s="648" t="s">
        <v>2271</v>
      </c>
      <c r="F388" s="430" t="s">
        <v>155</v>
      </c>
      <c r="G388" s="85" t="s">
        <v>2272</v>
      </c>
      <c r="H388" s="1393" t="s">
        <v>22</v>
      </c>
      <c r="I388" s="1393" t="s">
        <v>22</v>
      </c>
      <c r="J388" s="86">
        <v>1</v>
      </c>
      <c r="K388" s="87">
        <v>38323</v>
      </c>
      <c r="L388" s="87">
        <v>40694</v>
      </c>
      <c r="M388" s="88">
        <f t="shared" si="45"/>
        <v>2011</v>
      </c>
      <c r="N388" s="89">
        <f>+IFERROR(INDEX([20]PARÁMETROS!$B$11:$B$37,MATCH(M388,[20]PARÁMETROS!$A$11:$A$37,0)),"")</f>
        <v>535600</v>
      </c>
      <c r="O388" s="649">
        <v>8415351165</v>
      </c>
      <c r="P388" s="91" t="s">
        <v>151</v>
      </c>
      <c r="Q388" s="81" t="s">
        <v>326</v>
      </c>
      <c r="R388" s="92" t="s">
        <v>326</v>
      </c>
      <c r="S388" s="93">
        <v>1</v>
      </c>
      <c r="T388" s="89">
        <f t="shared" si="46"/>
        <v>8415351165</v>
      </c>
      <c r="U388" s="94">
        <f t="shared" si="42"/>
        <v>15712.007402912621</v>
      </c>
      <c r="V388" s="94">
        <f t="shared" si="43"/>
        <v>15712.007402912621</v>
      </c>
      <c r="W388" s="94">
        <v>13</v>
      </c>
      <c r="X388" s="1484" t="s">
        <v>22</v>
      </c>
      <c r="Y388" s="1484"/>
      <c r="Z388" s="1484"/>
      <c r="AA388" s="1484" t="s">
        <v>22</v>
      </c>
      <c r="AB388" s="1484"/>
      <c r="AC388" s="1484"/>
      <c r="AD388" s="1484" t="s">
        <v>22</v>
      </c>
      <c r="AE388" s="1484"/>
      <c r="AF388" s="1484"/>
      <c r="AG388" s="1393" t="s">
        <v>22</v>
      </c>
      <c r="AH388" s="1484" t="str">
        <f>IF(V388="","",IF(SUM(V388:V392)&gt;=[20]PARÁMETROS!$D$5,"HÁBIL","NO HÁBIL"))</f>
        <v>HÁBIL</v>
      </c>
      <c r="AI388" s="1484" t="str">
        <f>IF(V388="","",IF(V388&gt;=[20]PARÁMETROS!$H$5,"HÁBIL","NO HÁBIL"))</f>
        <v>HÁBIL</v>
      </c>
      <c r="AJ388" s="1400" t="str">
        <f>+IF(V388="","",IF(V388&gt;=[20]PARÁMETROS!$F$5,"CUMPLE","NO CUMPLE"))</f>
        <v>CUMPLE</v>
      </c>
      <c r="AK388" s="96"/>
    </row>
    <row r="389" spans="1:37" ht="42.75">
      <c r="A389" s="1615"/>
      <c r="B389" s="1510"/>
      <c r="C389" s="19" t="s">
        <v>526</v>
      </c>
      <c r="D389" s="36">
        <v>190</v>
      </c>
      <c r="E389" s="651" t="s">
        <v>2271</v>
      </c>
      <c r="F389" s="430" t="s">
        <v>155</v>
      </c>
      <c r="G389" s="23" t="s">
        <v>2273</v>
      </c>
      <c r="H389" s="1388" t="s">
        <v>22</v>
      </c>
      <c r="I389" s="1388" t="s">
        <v>22</v>
      </c>
      <c r="J389" s="24">
        <v>0.5</v>
      </c>
      <c r="K389" s="25">
        <v>36312</v>
      </c>
      <c r="L389" s="25">
        <v>37833</v>
      </c>
      <c r="M389" s="26">
        <f t="shared" si="45"/>
        <v>2003</v>
      </c>
      <c r="N389" s="27">
        <f>+IFERROR(INDEX([20]PARÁMETROS!$B$11:$B$37,MATCH(M389,[20]PARÁMETROS!$A$11:$A$37,0)),"")</f>
        <v>332000</v>
      </c>
      <c r="O389" s="653">
        <v>5331439397</v>
      </c>
      <c r="P389" s="29" t="s">
        <v>151</v>
      </c>
      <c r="Q389" s="19" t="s">
        <v>326</v>
      </c>
      <c r="R389" s="30" t="s">
        <v>326</v>
      </c>
      <c r="S389" s="31">
        <v>1</v>
      </c>
      <c r="T389" s="27">
        <f t="shared" si="46"/>
        <v>5331439397</v>
      </c>
      <c r="U389" s="16">
        <f t="shared" si="42"/>
        <v>16058.55240060241</v>
      </c>
      <c r="V389" s="16">
        <f t="shared" si="43"/>
        <v>8029.2762003012049</v>
      </c>
      <c r="W389" s="16">
        <v>8</v>
      </c>
      <c r="X389" s="1485" t="s">
        <v>22</v>
      </c>
      <c r="Y389" s="1485"/>
      <c r="Z389" s="1485"/>
      <c r="AA389" s="1485" t="s">
        <v>22</v>
      </c>
      <c r="AB389" s="1485"/>
      <c r="AC389" s="1485"/>
      <c r="AD389" s="1485" t="s">
        <v>22</v>
      </c>
      <c r="AE389" s="1485"/>
      <c r="AF389" s="1485"/>
      <c r="AG389" s="1388" t="s">
        <v>22</v>
      </c>
      <c r="AH389" s="1485"/>
      <c r="AI389" s="1485"/>
      <c r="AJ389" s="1388" t="str">
        <f>+IF(V389="","",IF(V389&gt;=[20]PARÁMETROS!$F$5,"CUMPLE","NO CUMPLE"))</f>
        <v>CUMPLE</v>
      </c>
      <c r="AK389" s="97"/>
    </row>
    <row r="390" spans="1:37" ht="57">
      <c r="A390" s="1615"/>
      <c r="B390" s="1510"/>
      <c r="C390" s="19" t="s">
        <v>526</v>
      </c>
      <c r="D390" s="36">
        <v>196</v>
      </c>
      <c r="E390" s="651" t="s">
        <v>2271</v>
      </c>
      <c r="F390" s="32" t="s">
        <v>207</v>
      </c>
      <c r="G390" s="23" t="s">
        <v>2274</v>
      </c>
      <c r="H390" s="1388" t="s">
        <v>22</v>
      </c>
      <c r="I390" s="1388" t="s">
        <v>22</v>
      </c>
      <c r="J390" s="24">
        <v>1</v>
      </c>
      <c r="K390" s="25">
        <v>39246</v>
      </c>
      <c r="L390" s="25">
        <v>40311</v>
      </c>
      <c r="M390" s="26">
        <f t="shared" si="45"/>
        <v>2010</v>
      </c>
      <c r="N390" s="27">
        <f>+IFERROR(INDEX([20]PARÁMETROS!$B$11:$B$37,MATCH(M390,[20]PARÁMETROS!$A$11:$A$37,0)),"")</f>
        <v>515000</v>
      </c>
      <c r="O390" s="653">
        <v>4653247126</v>
      </c>
      <c r="P390" s="29" t="s">
        <v>151</v>
      </c>
      <c r="Q390" s="19" t="s">
        <v>326</v>
      </c>
      <c r="R390" s="30" t="s">
        <v>326</v>
      </c>
      <c r="S390" s="31">
        <v>1</v>
      </c>
      <c r="T390" s="27">
        <f t="shared" si="46"/>
        <v>4653247126</v>
      </c>
      <c r="U390" s="16">
        <f t="shared" si="42"/>
        <v>9035.4313126213601</v>
      </c>
      <c r="V390" s="16">
        <f t="shared" si="43"/>
        <v>9035.4313126213601</v>
      </c>
      <c r="W390" s="16">
        <v>2</v>
      </c>
      <c r="X390" s="1485" t="s">
        <v>22</v>
      </c>
      <c r="Y390" s="1485"/>
      <c r="Z390" s="1485"/>
      <c r="AA390" s="1485" t="s">
        <v>22</v>
      </c>
      <c r="AB390" s="1485"/>
      <c r="AC390" s="1485"/>
      <c r="AD390" s="1485" t="s">
        <v>22</v>
      </c>
      <c r="AE390" s="1485"/>
      <c r="AF390" s="1485"/>
      <c r="AG390" s="1388" t="s">
        <v>22</v>
      </c>
      <c r="AH390" s="1485"/>
      <c r="AI390" s="1485"/>
      <c r="AJ390" s="1388" t="str">
        <f>+IF(V390="","",IF(V390&gt;=[20]PARÁMETROS!$F$5,"CUMPLE","NO CUMPLE"))</f>
        <v>CUMPLE</v>
      </c>
      <c r="AK390" s="97"/>
    </row>
    <row r="391" spans="1:37" ht="42.75">
      <c r="A391" s="1615"/>
      <c r="B391" s="1510"/>
      <c r="C391" s="19" t="s">
        <v>526</v>
      </c>
      <c r="D391" s="36">
        <v>201</v>
      </c>
      <c r="E391" s="651" t="s">
        <v>2271</v>
      </c>
      <c r="F391" s="32" t="s">
        <v>610</v>
      </c>
      <c r="G391" s="23" t="s">
        <v>2275</v>
      </c>
      <c r="H391" s="1388" t="s">
        <v>22</v>
      </c>
      <c r="I391" s="1388" t="s">
        <v>22</v>
      </c>
      <c r="J391" s="24">
        <v>0.5</v>
      </c>
      <c r="K391" s="25">
        <v>39188</v>
      </c>
      <c r="L391" s="25">
        <v>40633</v>
      </c>
      <c r="M391" s="26">
        <f t="shared" si="45"/>
        <v>2011</v>
      </c>
      <c r="N391" s="27">
        <f>+IFERROR(INDEX([20]PARÁMETROS!$B$11:$B$37,MATCH(M391,[20]PARÁMETROS!$A$11:$A$37,0)),"")</f>
        <v>535600</v>
      </c>
      <c r="O391" s="653">
        <v>12097028958</v>
      </c>
      <c r="P391" s="29" t="s">
        <v>151</v>
      </c>
      <c r="Q391" s="19" t="s">
        <v>326</v>
      </c>
      <c r="R391" s="30" t="s">
        <v>326</v>
      </c>
      <c r="S391" s="31">
        <v>1</v>
      </c>
      <c r="T391" s="27">
        <f t="shared" si="46"/>
        <v>12097028958</v>
      </c>
      <c r="U391" s="16">
        <f t="shared" si="42"/>
        <v>22585.939055265124</v>
      </c>
      <c r="V391" s="16">
        <f t="shared" si="43"/>
        <v>11292.969527632562</v>
      </c>
      <c r="W391" s="16">
        <v>19</v>
      </c>
      <c r="X391" s="1485" t="s">
        <v>22</v>
      </c>
      <c r="Y391" s="1485"/>
      <c r="Z391" s="1485"/>
      <c r="AA391" s="1485" t="s">
        <v>22</v>
      </c>
      <c r="AB391" s="1485"/>
      <c r="AC391" s="1485"/>
      <c r="AD391" s="1485" t="s">
        <v>22</v>
      </c>
      <c r="AE391" s="1485"/>
      <c r="AF391" s="1485"/>
      <c r="AG391" s="1388" t="s">
        <v>22</v>
      </c>
      <c r="AH391" s="1485"/>
      <c r="AI391" s="1485"/>
      <c r="AJ391" s="1388" t="str">
        <f>+IF(V391="","",IF(V391&gt;=[20]PARÁMETROS!$F$5,"CUMPLE","NO CUMPLE"))</f>
        <v>CUMPLE</v>
      </c>
      <c r="AK391" s="97"/>
    </row>
    <row r="392" spans="1:37" ht="57.75" thickBot="1">
      <c r="A392" s="1615"/>
      <c r="B392" s="1510"/>
      <c r="C392" s="19" t="s">
        <v>526</v>
      </c>
      <c r="D392" s="36">
        <v>206</v>
      </c>
      <c r="E392" s="651" t="s">
        <v>2271</v>
      </c>
      <c r="F392" s="32" t="s">
        <v>207</v>
      </c>
      <c r="G392" s="23" t="s">
        <v>2276</v>
      </c>
      <c r="H392" s="1388" t="s">
        <v>22</v>
      </c>
      <c r="I392" s="1388" t="s">
        <v>22</v>
      </c>
      <c r="J392" s="24">
        <v>1</v>
      </c>
      <c r="K392" s="25">
        <v>38852</v>
      </c>
      <c r="L392" s="25">
        <v>39431</v>
      </c>
      <c r="M392" s="26">
        <f t="shared" si="45"/>
        <v>2007</v>
      </c>
      <c r="N392" s="27">
        <f>+IFERROR(INDEX([20]PARÁMETROS!$B$11:$B$37,MATCH(M392,[20]PARÁMETROS!$A$11:$A$37,0)),"")</f>
        <v>433700</v>
      </c>
      <c r="O392" s="653">
        <v>1789237814</v>
      </c>
      <c r="P392" s="29" t="s">
        <v>151</v>
      </c>
      <c r="Q392" s="19" t="s">
        <v>326</v>
      </c>
      <c r="R392" s="30" t="s">
        <v>326</v>
      </c>
      <c r="S392" s="31">
        <v>1</v>
      </c>
      <c r="T392" s="27">
        <f t="shared" si="46"/>
        <v>1789237814</v>
      </c>
      <c r="U392" s="16">
        <f t="shared" si="42"/>
        <v>4125.5195157943281</v>
      </c>
      <c r="V392" s="16">
        <f t="shared" si="43"/>
        <v>4125.5195157943281</v>
      </c>
      <c r="W392" s="16">
        <v>96</v>
      </c>
      <c r="X392" s="1485" t="s">
        <v>22</v>
      </c>
      <c r="Y392" s="1485"/>
      <c r="Z392" s="1485"/>
      <c r="AA392" s="1485" t="s">
        <v>22</v>
      </c>
      <c r="AB392" s="1485"/>
      <c r="AC392" s="1485"/>
      <c r="AD392" s="1485" t="s">
        <v>22</v>
      </c>
      <c r="AE392" s="1485"/>
      <c r="AF392" s="1485"/>
      <c r="AG392" s="1388" t="s">
        <v>22</v>
      </c>
      <c r="AH392" s="1485"/>
      <c r="AI392" s="1485"/>
      <c r="AJ392" s="1394" t="str">
        <f>+IF(V392="","",IF(V392&gt;=[20]PARÁMETROS!$F$5,"CUMPLE","NO CUMPLE"))</f>
        <v>CUMPLE</v>
      </c>
      <c r="AK392" s="97"/>
    </row>
    <row r="393" spans="1:37" ht="28.5">
      <c r="A393" s="1615"/>
      <c r="B393" s="1509" t="s">
        <v>2277</v>
      </c>
      <c r="C393" s="81" t="s">
        <v>540</v>
      </c>
      <c r="D393" s="114">
        <v>149</v>
      </c>
      <c r="E393" s="648" t="s">
        <v>504</v>
      </c>
      <c r="F393" s="84" t="s">
        <v>2015</v>
      </c>
      <c r="G393" s="85" t="s">
        <v>2278</v>
      </c>
      <c r="H393" s="1393" t="s">
        <v>22</v>
      </c>
      <c r="I393" s="1393" t="s">
        <v>22</v>
      </c>
      <c r="J393" s="86">
        <v>0.5</v>
      </c>
      <c r="K393" s="87">
        <v>37576</v>
      </c>
      <c r="L393" s="87">
        <v>38763</v>
      </c>
      <c r="M393" s="88">
        <f t="shared" si="45"/>
        <v>2006</v>
      </c>
      <c r="N393" s="89">
        <f>+IFERROR(INDEX([20]PARÁMETROS!$B$11:$B$37,MATCH(M393,[20]PARÁMETROS!$A$11:$A$37,0)),"")</f>
        <v>408000</v>
      </c>
      <c r="O393" s="649">
        <v>2212803.58</v>
      </c>
      <c r="P393" s="91" t="s">
        <v>142</v>
      </c>
      <c r="Q393" s="81">
        <v>1.19011</v>
      </c>
      <c r="R393" s="92">
        <f>+Q393*O393</f>
        <v>2633479.6685938002</v>
      </c>
      <c r="S393" s="93">
        <v>2254.98</v>
      </c>
      <c r="T393" s="89">
        <f>IF(S393&lt;&gt;"",R393*S393,"")</f>
        <v>5938443983.0856476</v>
      </c>
      <c r="U393" s="94">
        <f t="shared" si="42"/>
        <v>14555.009762464822</v>
      </c>
      <c r="V393" s="94">
        <f t="shared" si="43"/>
        <v>7277.5048812324112</v>
      </c>
      <c r="W393" s="94">
        <v>4</v>
      </c>
      <c r="X393" s="1484" t="s">
        <v>22</v>
      </c>
      <c r="Y393" s="1484"/>
      <c r="Z393" s="1484"/>
      <c r="AA393" s="1484" t="s">
        <v>22</v>
      </c>
      <c r="AB393" s="1484"/>
      <c r="AC393" s="1484"/>
      <c r="AD393" s="1484" t="s">
        <v>22</v>
      </c>
      <c r="AE393" s="1484"/>
      <c r="AF393" s="1484"/>
      <c r="AG393" s="1393" t="s">
        <v>22</v>
      </c>
      <c r="AH393" s="1484" t="str">
        <f>IF(V393="","",IF(SUM(V393:V396)&gt;=[20]PARÁMETROS!$D$5,"HÁBIL","NO HÁBIL"))</f>
        <v>HÁBIL</v>
      </c>
      <c r="AI393" s="1484" t="str">
        <f>IF(V393="","",IF(V393&gt;=[20]PARÁMETROS!$H$5,"HÁBIL","NO HÁBIL"))</f>
        <v>HÁBIL</v>
      </c>
      <c r="AJ393" s="1400" t="str">
        <f>+IF(V393="","",IF(V393&gt;=[20]PARÁMETROS!$F$5,"CUMPLE","NO CUMPLE"))</f>
        <v>CUMPLE</v>
      </c>
      <c r="AK393" s="96"/>
    </row>
    <row r="394" spans="1:37" ht="42.75">
      <c r="A394" s="1615"/>
      <c r="B394" s="1510"/>
      <c r="C394" s="19" t="s">
        <v>540</v>
      </c>
      <c r="D394" s="36">
        <v>153</v>
      </c>
      <c r="E394" s="651" t="s">
        <v>504</v>
      </c>
      <c r="F394" s="22" t="s">
        <v>2015</v>
      </c>
      <c r="G394" s="23" t="s">
        <v>2279</v>
      </c>
      <c r="H394" s="1388" t="s">
        <v>22</v>
      </c>
      <c r="I394" s="1388" t="s">
        <v>22</v>
      </c>
      <c r="J394" s="24">
        <v>0.5</v>
      </c>
      <c r="K394" s="25">
        <v>36774</v>
      </c>
      <c r="L394" s="25">
        <v>37806</v>
      </c>
      <c r="M394" s="26">
        <f t="shared" si="45"/>
        <v>2003</v>
      </c>
      <c r="N394" s="27">
        <f>+IFERROR(INDEX([20]PARÁMETROS!$B$11:$B$37,MATCH(M394,[20]PARÁMETROS!$A$11:$A$37,0)),"")</f>
        <v>332000</v>
      </c>
      <c r="O394" s="653">
        <v>978371.63</v>
      </c>
      <c r="P394" s="29" t="s">
        <v>142</v>
      </c>
      <c r="Q394" s="19">
        <v>1.1494</v>
      </c>
      <c r="R394" s="30">
        <f>+Q394*O394</f>
        <v>1124540.351522</v>
      </c>
      <c r="S394" s="31">
        <v>2815.14</v>
      </c>
      <c r="T394" s="27">
        <f>IF(S394&lt;&gt;"",R394*S394,"")</f>
        <v>3165738525.1836429</v>
      </c>
      <c r="U394" s="16">
        <f t="shared" si="42"/>
        <v>9535.3570035651901</v>
      </c>
      <c r="V394" s="16">
        <f t="shared" si="43"/>
        <v>4767.678501782595</v>
      </c>
      <c r="W394" s="16">
        <v>7</v>
      </c>
      <c r="X394" s="1485" t="s">
        <v>22</v>
      </c>
      <c r="Y394" s="1485"/>
      <c r="Z394" s="1485"/>
      <c r="AA394" s="1485" t="s">
        <v>22</v>
      </c>
      <c r="AB394" s="1485"/>
      <c r="AC394" s="1485"/>
      <c r="AD394" s="1485" t="s">
        <v>22</v>
      </c>
      <c r="AE394" s="1485"/>
      <c r="AF394" s="1485"/>
      <c r="AG394" s="1388" t="s">
        <v>22</v>
      </c>
      <c r="AH394" s="1485"/>
      <c r="AI394" s="1485"/>
      <c r="AJ394" s="1388" t="str">
        <f>+IF(V394="","",IF(V394&gt;=[20]PARÁMETROS!$F$5,"CUMPLE","NO CUMPLE"))</f>
        <v>CUMPLE</v>
      </c>
      <c r="AK394" s="97"/>
    </row>
    <row r="395" spans="1:37" ht="57">
      <c r="A395" s="1615"/>
      <c r="B395" s="1510"/>
      <c r="C395" s="19" t="s">
        <v>549</v>
      </c>
      <c r="D395" s="36">
        <v>157</v>
      </c>
      <c r="E395" s="651" t="s">
        <v>2280</v>
      </c>
      <c r="F395" s="23" t="s">
        <v>2281</v>
      </c>
      <c r="G395" s="23" t="s">
        <v>2282</v>
      </c>
      <c r="H395" s="1388" t="s">
        <v>22</v>
      </c>
      <c r="I395" s="1388" t="s">
        <v>22</v>
      </c>
      <c r="J395" s="39">
        <v>1</v>
      </c>
      <c r="K395" s="25">
        <v>38762</v>
      </c>
      <c r="L395" s="25">
        <v>39710</v>
      </c>
      <c r="M395" s="26">
        <f t="shared" si="45"/>
        <v>2008</v>
      </c>
      <c r="N395" s="27">
        <f>+IFERROR(INDEX([20]PARÁMETROS!$B$11:$B$37,MATCH(M395,[20]PARÁMETROS!$A$11:$A$37,0)),"")</f>
        <v>461500</v>
      </c>
      <c r="O395" s="653">
        <v>3635481658</v>
      </c>
      <c r="P395" s="29" t="s">
        <v>151</v>
      </c>
      <c r="Q395" s="19" t="s">
        <v>326</v>
      </c>
      <c r="R395" s="30" t="s">
        <v>326</v>
      </c>
      <c r="S395" s="31">
        <v>1</v>
      </c>
      <c r="T395" s="27">
        <f>IF(S395&lt;&gt;"",O395*S395,"")</f>
        <v>3635481658</v>
      </c>
      <c r="U395" s="16">
        <f t="shared" si="42"/>
        <v>7877.5333867822319</v>
      </c>
      <c r="V395" s="16">
        <f t="shared" si="43"/>
        <v>7877.5333867822319</v>
      </c>
      <c r="W395" s="16">
        <v>1</v>
      </c>
      <c r="X395" s="1485" t="s">
        <v>22</v>
      </c>
      <c r="Y395" s="1485"/>
      <c r="Z395" s="1485"/>
      <c r="AA395" s="1485" t="s">
        <v>22</v>
      </c>
      <c r="AB395" s="1485"/>
      <c r="AC395" s="1485"/>
      <c r="AD395" s="1485" t="s">
        <v>22</v>
      </c>
      <c r="AE395" s="1485"/>
      <c r="AF395" s="1485"/>
      <c r="AG395" s="1388" t="s">
        <v>22</v>
      </c>
      <c r="AH395" s="1485"/>
      <c r="AI395" s="1485"/>
      <c r="AJ395" s="1388" t="str">
        <f>+IF(V395="","",IF(V395&gt;=[20]PARÁMETROS!$F$5,"CUMPLE","NO CUMPLE"))</f>
        <v>CUMPLE</v>
      </c>
      <c r="AK395" s="97"/>
    </row>
    <row r="396" spans="1:37" ht="43.5" thickBot="1">
      <c r="A396" s="1615"/>
      <c r="B396" s="1511"/>
      <c r="C396" s="99" t="s">
        <v>549</v>
      </c>
      <c r="D396" s="179">
        <v>162</v>
      </c>
      <c r="E396" s="654" t="s">
        <v>2280</v>
      </c>
      <c r="F396" s="225" t="s">
        <v>2283</v>
      </c>
      <c r="G396" s="103" t="s">
        <v>2284</v>
      </c>
      <c r="H396" s="1392" t="s">
        <v>22</v>
      </c>
      <c r="I396" s="1392" t="s">
        <v>22</v>
      </c>
      <c r="J396" s="292">
        <v>1</v>
      </c>
      <c r="K396" s="293">
        <v>37956</v>
      </c>
      <c r="L396" s="294">
        <v>39052</v>
      </c>
      <c r="M396" s="106">
        <f t="shared" si="45"/>
        <v>2006</v>
      </c>
      <c r="N396" s="107">
        <f>+IFERROR(INDEX([20]PARÁMETROS!$B$11:$B$37,MATCH(M396,[20]PARÁMETROS!$A$11:$A$37,0)),"")</f>
        <v>408000</v>
      </c>
      <c r="O396" s="676">
        <v>2387827695</v>
      </c>
      <c r="P396" s="109" t="s">
        <v>151</v>
      </c>
      <c r="Q396" s="109" t="s">
        <v>326</v>
      </c>
      <c r="R396" s="109" t="s">
        <v>326</v>
      </c>
      <c r="S396" s="31">
        <v>1</v>
      </c>
      <c r="T396" s="107">
        <f>IF(S396&lt;&gt;"",O396*S396,"")</f>
        <v>2387827695</v>
      </c>
      <c r="U396" s="112">
        <f t="shared" si="42"/>
        <v>5852.518860294118</v>
      </c>
      <c r="V396" s="112">
        <f t="shared" si="43"/>
        <v>5852.518860294118</v>
      </c>
      <c r="W396" s="677">
        <v>37</v>
      </c>
      <c r="X396" s="1486" t="s">
        <v>22</v>
      </c>
      <c r="Y396" s="1486"/>
      <c r="Z396" s="1486"/>
      <c r="AA396" s="1486" t="s">
        <v>22</v>
      </c>
      <c r="AB396" s="1486"/>
      <c r="AC396" s="1486"/>
      <c r="AD396" s="1486" t="s">
        <v>22</v>
      </c>
      <c r="AE396" s="1486"/>
      <c r="AF396" s="1486"/>
      <c r="AG396" s="1392" t="s">
        <v>22</v>
      </c>
      <c r="AH396" s="1486"/>
      <c r="AI396" s="1486"/>
      <c r="AJ396" s="1392" t="str">
        <f>+IF(V396="","",IF(V396&gt;=[20]PARÁMETROS!$F$5,"CUMPLE","NO CUMPLE"))</f>
        <v>CUMPLE</v>
      </c>
      <c r="AK396" s="113"/>
    </row>
    <row r="397" spans="1:37" ht="85.5">
      <c r="A397" s="1615"/>
      <c r="B397" s="1605" t="s">
        <v>2285</v>
      </c>
      <c r="C397" s="68" t="s">
        <v>560</v>
      </c>
      <c r="D397" s="69">
        <v>304</v>
      </c>
      <c r="E397" s="723" t="s">
        <v>2286</v>
      </c>
      <c r="F397" s="678" t="s">
        <v>2013</v>
      </c>
      <c r="G397" s="679" t="s">
        <v>2014</v>
      </c>
      <c r="H397" s="1394" t="s">
        <v>22</v>
      </c>
      <c r="I397" s="1394" t="s">
        <v>22</v>
      </c>
      <c r="J397" s="73">
        <v>0.23</v>
      </c>
      <c r="K397" s="680">
        <v>35473</v>
      </c>
      <c r="L397" s="680">
        <v>36189</v>
      </c>
      <c r="M397" s="116">
        <f t="shared" si="45"/>
        <v>1999</v>
      </c>
      <c r="N397" s="75">
        <f>+IFERROR(INDEX([20]PARÁMETROS!$B$11:$B$37,MATCH(M397,[20]PARÁMETROS!$A$11:$A$37,0)),"")</f>
        <v>236460</v>
      </c>
      <c r="O397" s="681">
        <v>7035211.1399999997</v>
      </c>
      <c r="P397" s="77" t="s">
        <v>142</v>
      </c>
      <c r="Q397" s="68">
        <v>1.1385000000000001</v>
      </c>
      <c r="R397" s="78">
        <f>+Q397*O397</f>
        <v>8009587.88289</v>
      </c>
      <c r="S397" s="79">
        <v>1580.72</v>
      </c>
      <c r="T397" s="75">
        <f>IF(S397&lt;&gt;"",R397*S397,"")</f>
        <v>12660915758.24188</v>
      </c>
      <c r="U397" s="80">
        <f t="shared" si="42"/>
        <v>53543.583516205195</v>
      </c>
      <c r="V397" s="80">
        <f t="shared" si="43"/>
        <v>12315.024208727196</v>
      </c>
      <c r="W397" s="80">
        <v>51</v>
      </c>
      <c r="X397" s="1508" t="s">
        <v>22</v>
      </c>
      <c r="Y397" s="1508"/>
      <c r="Z397" s="1508"/>
      <c r="AA397" s="1508" t="s">
        <v>22</v>
      </c>
      <c r="AB397" s="1508"/>
      <c r="AC397" s="1508"/>
      <c r="AD397" s="1508" t="s">
        <v>22</v>
      </c>
      <c r="AE397" s="1508"/>
      <c r="AF397" s="1508"/>
      <c r="AG397" s="1394" t="s">
        <v>22</v>
      </c>
      <c r="AH397" s="1508" t="str">
        <f>IF(V397="","",IF(SUM(V397:V400)&gt;=[20]PARÁMETROS!$D$5,"HÁBIL","NO HÁBIL"))</f>
        <v>HÁBIL</v>
      </c>
      <c r="AI397" s="1508" t="str">
        <f>IF(V397="","",IF(V397&gt;=[20]PARÁMETROS!$H$5,"HÁBIL","NO HÁBIL"))</f>
        <v>HÁBIL</v>
      </c>
      <c r="AJ397" s="1401" t="str">
        <f>+IF(V397="","",IF(V397&gt;=[20]PARÁMETROS!$F$5,"CUMPLE","NO CUMPLE"))</f>
        <v>CUMPLE</v>
      </c>
      <c r="AK397" s="122"/>
    </row>
    <row r="398" spans="1:37" ht="85.5">
      <c r="A398" s="1615"/>
      <c r="B398" s="1510"/>
      <c r="C398" s="19" t="s">
        <v>560</v>
      </c>
      <c r="D398" s="36">
        <v>314</v>
      </c>
      <c r="E398" s="651" t="s">
        <v>2286</v>
      </c>
      <c r="F398" s="657" t="s">
        <v>2015</v>
      </c>
      <c r="G398" s="658" t="s">
        <v>2016</v>
      </c>
      <c r="H398" s="1388" t="s">
        <v>22</v>
      </c>
      <c r="I398" s="1388" t="s">
        <v>22</v>
      </c>
      <c r="J398" s="24">
        <v>0.5</v>
      </c>
      <c r="K398" s="673">
        <v>38693</v>
      </c>
      <c r="L398" s="673">
        <v>40907</v>
      </c>
      <c r="M398" s="26">
        <f t="shared" si="45"/>
        <v>2011</v>
      </c>
      <c r="N398" s="27">
        <f>+IFERROR(INDEX([20]PARÁMETROS!$B$11:$B$37,MATCH(M398,[20]PARÁMETROS!$A$11:$A$37,0)),"")</f>
        <v>535600</v>
      </c>
      <c r="O398" s="660">
        <v>1827620.16</v>
      </c>
      <c r="P398" s="29" t="s">
        <v>142</v>
      </c>
      <c r="Q398" s="19">
        <v>1.2922119999999999</v>
      </c>
      <c r="R398" s="30">
        <f>+Q398*O398</f>
        <v>2361672.7021939196</v>
      </c>
      <c r="S398" s="31">
        <v>1942.7</v>
      </c>
      <c r="T398" s="27">
        <f>IF(S398&lt;&gt;"",R398*S398,"")</f>
        <v>4588021558.5521278</v>
      </c>
      <c r="U398" s="16">
        <f t="shared" si="42"/>
        <v>8566.1343512922485</v>
      </c>
      <c r="V398" s="16">
        <f t="shared" si="43"/>
        <v>4283.0671756461243</v>
      </c>
      <c r="W398" s="16">
        <v>78</v>
      </c>
      <c r="X398" s="1485" t="s">
        <v>22</v>
      </c>
      <c r="Y398" s="1485"/>
      <c r="Z398" s="1485"/>
      <c r="AA398" s="1485" t="s">
        <v>22</v>
      </c>
      <c r="AB398" s="1485"/>
      <c r="AC398" s="1485"/>
      <c r="AD398" s="1485" t="s">
        <v>22</v>
      </c>
      <c r="AE398" s="1485"/>
      <c r="AF398" s="1485"/>
      <c r="AG398" s="1388" t="s">
        <v>22</v>
      </c>
      <c r="AH398" s="1485"/>
      <c r="AI398" s="1485"/>
      <c r="AJ398" s="1388" t="str">
        <f>+IF(V398="","",IF(V398&gt;=[20]PARÁMETROS!$F$5,"CUMPLE","NO CUMPLE"))</f>
        <v>CUMPLE</v>
      </c>
      <c r="AK398" s="97"/>
    </row>
    <row r="399" spans="1:37" ht="71.25">
      <c r="A399" s="1615"/>
      <c r="B399" s="1510"/>
      <c r="C399" s="19" t="s">
        <v>552</v>
      </c>
      <c r="D399" s="36">
        <v>325</v>
      </c>
      <c r="E399" s="651" t="s">
        <v>2287</v>
      </c>
      <c r="F399" s="678" t="s">
        <v>2018</v>
      </c>
      <c r="G399" s="679" t="s">
        <v>2019</v>
      </c>
      <c r="H399" s="1388" t="s">
        <v>22</v>
      </c>
      <c r="I399" s="1388" t="s">
        <v>22</v>
      </c>
      <c r="J399" s="24">
        <v>0.6</v>
      </c>
      <c r="K399" s="680">
        <v>39997</v>
      </c>
      <c r="L399" s="680">
        <v>42338</v>
      </c>
      <c r="M399" s="26">
        <f t="shared" si="45"/>
        <v>2015</v>
      </c>
      <c r="N399" s="27">
        <f>+IFERROR(INDEX([20]PARÁMETROS!$B$11:$B$37,MATCH(M399,[20]PARÁMETROS!$A$11:$A$37,0)),"")</f>
        <v>644350</v>
      </c>
      <c r="O399" s="653">
        <v>6605610884</v>
      </c>
      <c r="P399" s="29" t="s">
        <v>151</v>
      </c>
      <c r="Q399" s="19" t="s">
        <v>326</v>
      </c>
      <c r="R399" s="30" t="s">
        <v>326</v>
      </c>
      <c r="S399" s="31">
        <v>1</v>
      </c>
      <c r="T399" s="27">
        <f t="shared" ref="T399:T404" si="47">IF(S399&lt;&gt;"",O399*S399,"")</f>
        <v>6605610884</v>
      </c>
      <c r="U399" s="16">
        <f t="shared" si="42"/>
        <v>10251.588242414837</v>
      </c>
      <c r="V399" s="16">
        <f t="shared" si="43"/>
        <v>6150.952945448902</v>
      </c>
      <c r="W399" s="16" t="s">
        <v>152</v>
      </c>
      <c r="X399" s="1485"/>
      <c r="Y399" s="1485"/>
      <c r="Z399" s="1485"/>
      <c r="AA399" s="1485"/>
      <c r="AB399" s="1485"/>
      <c r="AC399" s="1485"/>
      <c r="AD399" s="1485"/>
      <c r="AE399" s="1485"/>
      <c r="AF399" s="1485"/>
      <c r="AG399" s="1388"/>
      <c r="AH399" s="1485"/>
      <c r="AI399" s="1485"/>
      <c r="AJ399" s="1388" t="str">
        <f>+IF(V399="","",IF(V399&gt;=[20]PARÁMETROS!$F$5,"CUMPLE","NO CUMPLE"))</f>
        <v>CUMPLE</v>
      </c>
      <c r="AK399" s="97"/>
    </row>
    <row r="400" spans="1:37" ht="143.25" thickBot="1">
      <c r="A400" s="1615"/>
      <c r="B400" s="1510"/>
      <c r="C400" s="19" t="s">
        <v>552</v>
      </c>
      <c r="D400" s="36">
        <v>329</v>
      </c>
      <c r="E400" s="651" t="s">
        <v>2287</v>
      </c>
      <c r="F400" s="657" t="s">
        <v>2020</v>
      </c>
      <c r="G400" s="658" t="s">
        <v>2021</v>
      </c>
      <c r="H400" s="1388" t="s">
        <v>22</v>
      </c>
      <c r="I400" s="1388" t="s">
        <v>22</v>
      </c>
      <c r="J400" s="24">
        <v>0.45</v>
      </c>
      <c r="K400" s="673">
        <v>40954</v>
      </c>
      <c r="L400" s="673">
        <v>42331</v>
      </c>
      <c r="M400" s="26">
        <f t="shared" si="45"/>
        <v>2015</v>
      </c>
      <c r="N400" s="27">
        <f>+IFERROR(INDEX([20]PARÁMETROS!$B$11:$B$37,MATCH(M400,[20]PARÁMETROS!$A$11:$A$37,0)),"")</f>
        <v>644350</v>
      </c>
      <c r="O400" s="653">
        <v>6670475572</v>
      </c>
      <c r="P400" s="29" t="s">
        <v>151</v>
      </c>
      <c r="Q400" s="19" t="s">
        <v>326</v>
      </c>
      <c r="R400" s="30" t="s">
        <v>326</v>
      </c>
      <c r="S400" s="31">
        <v>1</v>
      </c>
      <c r="T400" s="27">
        <f t="shared" si="47"/>
        <v>6670475572</v>
      </c>
      <c r="U400" s="16">
        <f t="shared" si="42"/>
        <v>10352.255097384961</v>
      </c>
      <c r="V400" s="16">
        <f t="shared" si="43"/>
        <v>4658.514793823233</v>
      </c>
      <c r="W400" s="16" t="s">
        <v>152</v>
      </c>
      <c r="X400" s="1485"/>
      <c r="Y400" s="1485"/>
      <c r="Z400" s="1485"/>
      <c r="AA400" s="1485"/>
      <c r="AB400" s="1485"/>
      <c r="AC400" s="1485"/>
      <c r="AD400" s="1485"/>
      <c r="AE400" s="1485"/>
      <c r="AF400" s="1485"/>
      <c r="AG400" s="1388"/>
      <c r="AH400" s="1485"/>
      <c r="AI400" s="1485"/>
      <c r="AJ400" s="1388" t="str">
        <f>+IF(V400="","",IF(V400&gt;=[20]PARÁMETROS!$F$5,"CUMPLE","NO CUMPLE"))</f>
        <v>CUMPLE</v>
      </c>
      <c r="AK400" s="97"/>
    </row>
    <row r="401" spans="1:37" ht="57">
      <c r="A401" s="1615"/>
      <c r="B401" s="1509" t="s">
        <v>2288</v>
      </c>
      <c r="C401" s="81" t="s">
        <v>569</v>
      </c>
      <c r="D401" s="114">
        <v>255</v>
      </c>
      <c r="E401" s="648" t="s">
        <v>2289</v>
      </c>
      <c r="F401" s="154" t="s">
        <v>155</v>
      </c>
      <c r="G401" s="85" t="s">
        <v>2290</v>
      </c>
      <c r="H401" s="1393" t="s">
        <v>22</v>
      </c>
      <c r="I401" s="1393" t="s">
        <v>22</v>
      </c>
      <c r="J401" s="86">
        <v>0.5</v>
      </c>
      <c r="K401" s="87">
        <v>38338</v>
      </c>
      <c r="L401" s="87">
        <v>40296</v>
      </c>
      <c r="M401" s="88">
        <f t="shared" si="45"/>
        <v>2010</v>
      </c>
      <c r="N401" s="89">
        <f>+IFERROR(INDEX([20]PARÁMETROS!$B$11:$B$37,MATCH(M401,[20]PARÁMETROS!$A$11:$A$37,0)),"")</f>
        <v>515000</v>
      </c>
      <c r="O401" s="649">
        <v>5611007434</v>
      </c>
      <c r="P401" s="91" t="s">
        <v>151</v>
      </c>
      <c r="Q401" s="81" t="s">
        <v>326</v>
      </c>
      <c r="R401" s="92" t="s">
        <v>326</v>
      </c>
      <c r="S401" s="93">
        <v>1</v>
      </c>
      <c r="T401" s="89">
        <f t="shared" si="47"/>
        <v>5611007434</v>
      </c>
      <c r="U401" s="94">
        <f t="shared" si="42"/>
        <v>10895.160066019418</v>
      </c>
      <c r="V401" s="94">
        <f t="shared" si="43"/>
        <v>5447.580033009709</v>
      </c>
      <c r="W401" s="94">
        <v>109</v>
      </c>
      <c r="X401" s="1484" t="s">
        <v>22</v>
      </c>
      <c r="Y401" s="1484"/>
      <c r="Z401" s="1484"/>
      <c r="AA401" s="1484" t="s">
        <v>22</v>
      </c>
      <c r="AB401" s="1484"/>
      <c r="AC401" s="1484"/>
      <c r="AD401" s="1484" t="s">
        <v>22</v>
      </c>
      <c r="AE401" s="1484"/>
      <c r="AF401" s="1484"/>
      <c r="AG401" s="1393" t="s">
        <v>22</v>
      </c>
      <c r="AH401" s="1484" t="str">
        <f>IF(V401="","",IF(SUM(V401:V405)&gt;=[20]PARÁMETROS!$D$5,"HÁBIL","NO HÁBIL"))</f>
        <v>HÁBIL</v>
      </c>
      <c r="AI401" s="1484" t="str">
        <f>IF(V401="","",IF(V401&gt;=[20]PARÁMETROS!$H$5,"HÁBIL","NO HÁBIL"))</f>
        <v>HÁBIL</v>
      </c>
      <c r="AJ401" s="1400" t="str">
        <f>+IF(V401="","",IF(V401&gt;=[20]PARÁMETROS!$F$5,"CUMPLE","NO CUMPLE"))</f>
        <v>CUMPLE</v>
      </c>
      <c r="AK401" s="96"/>
    </row>
    <row r="402" spans="1:37" ht="42.75">
      <c r="A402" s="1615"/>
      <c r="B402" s="1510"/>
      <c r="C402" s="19" t="s">
        <v>569</v>
      </c>
      <c r="D402" s="36">
        <v>307</v>
      </c>
      <c r="E402" s="651" t="s">
        <v>2289</v>
      </c>
      <c r="F402" s="22" t="s">
        <v>207</v>
      </c>
      <c r="G402" s="23" t="s">
        <v>2291</v>
      </c>
      <c r="H402" s="1388" t="s">
        <v>22</v>
      </c>
      <c r="I402" s="1388" t="s">
        <v>22</v>
      </c>
      <c r="J402" s="24">
        <v>1</v>
      </c>
      <c r="K402" s="25">
        <v>39181</v>
      </c>
      <c r="L402" s="25">
        <v>39950</v>
      </c>
      <c r="M402" s="26">
        <f t="shared" si="45"/>
        <v>2009</v>
      </c>
      <c r="N402" s="27">
        <f>+IFERROR(INDEX([20]PARÁMETROS!$B$11:$B$37,MATCH(M402,[20]PARÁMETROS!$A$11:$A$37,0)),"")</f>
        <v>496900</v>
      </c>
      <c r="O402" s="653">
        <v>1219858640</v>
      </c>
      <c r="P402" s="29" t="s">
        <v>151</v>
      </c>
      <c r="Q402" s="19" t="s">
        <v>326</v>
      </c>
      <c r="R402" s="30" t="s">
        <v>326</v>
      </c>
      <c r="S402" s="31">
        <v>1</v>
      </c>
      <c r="T402" s="27">
        <f t="shared" si="47"/>
        <v>1219858640</v>
      </c>
      <c r="U402" s="16">
        <f t="shared" si="42"/>
        <v>2454.9378949486818</v>
      </c>
      <c r="V402" s="16">
        <f t="shared" si="43"/>
        <v>2454.9378949486818</v>
      </c>
      <c r="W402" s="16">
        <v>180</v>
      </c>
      <c r="X402" s="1485" t="s">
        <v>22</v>
      </c>
      <c r="Y402" s="1485"/>
      <c r="Z402" s="1485"/>
      <c r="AA402" s="1485" t="s">
        <v>22</v>
      </c>
      <c r="AB402" s="1485"/>
      <c r="AC402" s="1485"/>
      <c r="AD402" s="1485" t="s">
        <v>22</v>
      </c>
      <c r="AE402" s="1485"/>
      <c r="AF402" s="1485"/>
      <c r="AG402" s="1388" t="s">
        <v>22</v>
      </c>
      <c r="AH402" s="1485"/>
      <c r="AI402" s="1485"/>
      <c r="AJ402" s="1388" t="str">
        <f>+IF(V402="","",IF(V402&gt;=[20]PARÁMETROS!$F$5,"CUMPLE","NO CUMPLE"))</f>
        <v>CUMPLE</v>
      </c>
      <c r="AK402" s="97"/>
    </row>
    <row r="403" spans="1:37" ht="57">
      <c r="A403" s="1615"/>
      <c r="B403" s="1510"/>
      <c r="C403" s="19" t="s">
        <v>569</v>
      </c>
      <c r="D403" s="36">
        <v>265</v>
      </c>
      <c r="E403" s="651" t="s">
        <v>2289</v>
      </c>
      <c r="F403" s="22" t="s">
        <v>1579</v>
      </c>
      <c r="G403" s="23" t="s">
        <v>2292</v>
      </c>
      <c r="H403" s="1388" t="s">
        <v>22</v>
      </c>
      <c r="I403" s="1388" t="s">
        <v>22</v>
      </c>
      <c r="J403" s="24">
        <v>1</v>
      </c>
      <c r="K403" s="25">
        <v>40609</v>
      </c>
      <c r="L403" s="25">
        <v>41441</v>
      </c>
      <c r="M403" s="26">
        <f t="shared" si="45"/>
        <v>2013</v>
      </c>
      <c r="N403" s="27">
        <f>+IFERROR(INDEX([20]PARÁMETROS!$B$11:$B$37,MATCH(M403,[20]PARÁMETROS!$A$11:$A$37,0)),"")</f>
        <v>589500</v>
      </c>
      <c r="O403" s="653">
        <v>1749995913</v>
      </c>
      <c r="P403" s="29" t="s">
        <v>151</v>
      </c>
      <c r="Q403" s="19" t="s">
        <v>326</v>
      </c>
      <c r="R403" s="30" t="s">
        <v>326</v>
      </c>
      <c r="S403" s="31">
        <v>1</v>
      </c>
      <c r="T403" s="27">
        <f t="shared" si="47"/>
        <v>1749995913</v>
      </c>
      <c r="U403" s="16">
        <f t="shared" si="42"/>
        <v>2968.6105394402034</v>
      </c>
      <c r="V403" s="16">
        <f t="shared" si="43"/>
        <v>2968.6105394402034</v>
      </c>
      <c r="W403" s="16">
        <v>38</v>
      </c>
      <c r="X403" s="1485" t="s">
        <v>22</v>
      </c>
      <c r="Y403" s="1485"/>
      <c r="Z403" s="1485"/>
      <c r="AA403" s="1485" t="s">
        <v>22</v>
      </c>
      <c r="AB403" s="1485"/>
      <c r="AC403" s="1485"/>
      <c r="AD403" s="1485" t="s">
        <v>22</v>
      </c>
      <c r="AE403" s="1485"/>
      <c r="AF403" s="1485"/>
      <c r="AG403" s="1388" t="s">
        <v>22</v>
      </c>
      <c r="AH403" s="1485"/>
      <c r="AI403" s="1485"/>
      <c r="AJ403" s="1388" t="str">
        <f>+IF(V403="","",IF(V403&gt;=[20]PARÁMETROS!$F$5,"CUMPLE","NO CUMPLE"))</f>
        <v>CUMPLE</v>
      </c>
      <c r="AK403" s="97"/>
    </row>
    <row r="404" spans="1:37" ht="57">
      <c r="A404" s="1615"/>
      <c r="B404" s="1510"/>
      <c r="C404" s="19" t="s">
        <v>579</v>
      </c>
      <c r="D404" s="36">
        <v>349</v>
      </c>
      <c r="E404" s="651" t="s">
        <v>1297</v>
      </c>
      <c r="F404" s="44" t="s">
        <v>2293</v>
      </c>
      <c r="G404" s="45" t="s">
        <v>2294</v>
      </c>
      <c r="H404" s="1388" t="s">
        <v>22</v>
      </c>
      <c r="I404" s="1388" t="s">
        <v>22</v>
      </c>
      <c r="J404" s="46">
        <v>0.5</v>
      </c>
      <c r="K404" s="47">
        <v>37288</v>
      </c>
      <c r="L404" s="47">
        <v>42265</v>
      </c>
      <c r="M404" s="26">
        <f t="shared" si="45"/>
        <v>2015</v>
      </c>
      <c r="N404" s="27">
        <f>+IFERROR(INDEX([20]PARÁMETROS!$B$11:$B$37,MATCH(M404,[20]PARÁMETROS!$A$11:$A$37,0)),"")</f>
        <v>644350</v>
      </c>
      <c r="O404" s="682"/>
      <c r="P404" s="49" t="s">
        <v>151</v>
      </c>
      <c r="Q404" s="19" t="s">
        <v>326</v>
      </c>
      <c r="R404" s="30" t="s">
        <v>326</v>
      </c>
      <c r="S404" s="31">
        <v>1</v>
      </c>
      <c r="T404" s="27">
        <f t="shared" si="47"/>
        <v>0</v>
      </c>
      <c r="U404" s="16">
        <v>16317.48</v>
      </c>
      <c r="V404" s="16">
        <f t="shared" si="43"/>
        <v>8158.74</v>
      </c>
      <c r="W404" s="16" t="s">
        <v>152</v>
      </c>
      <c r="X404" s="1485"/>
      <c r="Y404" s="1485"/>
      <c r="Z404" s="1485"/>
      <c r="AA404" s="1485"/>
      <c r="AB404" s="1485"/>
      <c r="AC404" s="1485"/>
      <c r="AD404" s="1485"/>
      <c r="AE404" s="1485"/>
      <c r="AF404" s="1485"/>
      <c r="AG404" s="1388"/>
      <c r="AH404" s="1485"/>
      <c r="AI404" s="1485"/>
      <c r="AJ404" s="1388" t="str">
        <f>+IF(V404="","",IF(V404&gt;=[20]PARÁMETROS!$F$5,"CUMPLE","NO CUMPLE"))</f>
        <v>CUMPLE</v>
      </c>
      <c r="AK404" s="98"/>
    </row>
    <row r="405" spans="1:37" ht="43.5" thickBot="1">
      <c r="A405" s="1615"/>
      <c r="B405" s="1510"/>
      <c r="C405" s="19" t="s">
        <v>782</v>
      </c>
      <c r="D405" s="36">
        <v>379</v>
      </c>
      <c r="E405" s="651" t="s">
        <v>2295</v>
      </c>
      <c r="F405" s="22" t="s">
        <v>2296</v>
      </c>
      <c r="G405" s="23" t="s">
        <v>2297</v>
      </c>
      <c r="H405" s="1388" t="s">
        <v>22</v>
      </c>
      <c r="I405" s="1388" t="s">
        <v>22</v>
      </c>
      <c r="J405" s="24">
        <v>1</v>
      </c>
      <c r="K405" s="25">
        <v>39539</v>
      </c>
      <c r="L405" s="25">
        <v>41061</v>
      </c>
      <c r="M405" s="26">
        <f t="shared" si="45"/>
        <v>2012</v>
      </c>
      <c r="N405" s="27">
        <f>+IFERROR(INDEX([20]PARÁMETROS!$B$11:$B$37,MATCH(M405,[20]PARÁMETROS!$A$11:$A$37,0)),"")</f>
        <v>566700</v>
      </c>
      <c r="O405" s="653">
        <v>12427664</v>
      </c>
      <c r="P405" s="29" t="s">
        <v>142</v>
      </c>
      <c r="Q405" s="19">
        <v>1.23814</v>
      </c>
      <c r="R405" s="30">
        <f>+Q405*O405</f>
        <v>15387187.904960001</v>
      </c>
      <c r="S405" s="31">
        <v>1833.8</v>
      </c>
      <c r="T405" s="27">
        <f>IF(S405&lt;&gt;"",R405*S405,"")</f>
        <v>28217025180.11565</v>
      </c>
      <c r="U405" s="16">
        <f>+IFERROR(T405/N405,"")</f>
        <v>49791.821387181313</v>
      </c>
      <c r="V405" s="16">
        <f>IFERROR(U405*J405,"")</f>
        <v>49791.821387181313</v>
      </c>
      <c r="W405" s="16">
        <v>1</v>
      </c>
      <c r="X405" s="1485" t="s">
        <v>22</v>
      </c>
      <c r="Y405" s="1485"/>
      <c r="Z405" s="1485"/>
      <c r="AA405" s="1485" t="s">
        <v>129</v>
      </c>
      <c r="AB405" s="1485"/>
      <c r="AC405" s="1485"/>
      <c r="AD405" s="1485" t="s">
        <v>22</v>
      </c>
      <c r="AE405" s="1485"/>
      <c r="AF405" s="1485"/>
      <c r="AG405" s="1388" t="s">
        <v>22</v>
      </c>
      <c r="AH405" s="1485"/>
      <c r="AI405" s="1485"/>
      <c r="AJ405" s="1394" t="s">
        <v>2196</v>
      </c>
      <c r="AK405" s="97"/>
    </row>
    <row r="406" spans="1:37" ht="71.25">
      <c r="A406" s="1615"/>
      <c r="B406" s="1509" t="s">
        <v>1903</v>
      </c>
      <c r="C406" s="81" t="s">
        <v>589</v>
      </c>
      <c r="D406" s="82">
        <v>87</v>
      </c>
      <c r="E406" s="83" t="s">
        <v>2298</v>
      </c>
      <c r="F406" s="84" t="s">
        <v>448</v>
      </c>
      <c r="G406" s="85" t="s">
        <v>2299</v>
      </c>
      <c r="H406" s="1393" t="s">
        <v>22</v>
      </c>
      <c r="I406" s="1393" t="s">
        <v>22</v>
      </c>
      <c r="J406" s="86">
        <v>0.5</v>
      </c>
      <c r="K406" s="87">
        <v>38034</v>
      </c>
      <c r="L406" s="87">
        <v>40770</v>
      </c>
      <c r="M406" s="88">
        <f>IF(L406="","",YEAR(L406))</f>
        <v>2011</v>
      </c>
      <c r="N406" s="89">
        <f>+IFERROR(INDEX([21]PARÁMETROS!$B$11:$B$37,MATCH(M406,[21]PARÁMETROS!$A$11:$A$37,0)),"")</f>
        <v>535600</v>
      </c>
      <c r="O406" s="90">
        <v>9131630030</v>
      </c>
      <c r="P406" s="91" t="s">
        <v>151</v>
      </c>
      <c r="Q406" s="81" t="s">
        <v>140</v>
      </c>
      <c r="R406" s="92" t="s">
        <v>140</v>
      </c>
      <c r="S406" s="93">
        <v>1</v>
      </c>
      <c r="T406" s="89">
        <f>IF(S406&lt;&gt;"",O406*S406,"")</f>
        <v>9131630030</v>
      </c>
      <c r="U406" s="94">
        <f>+IFERROR(T406/N406,"")</f>
        <v>17049.346583271097</v>
      </c>
      <c r="V406" s="94">
        <f>IFERROR(U406*J406,"")</f>
        <v>8524.6732916355486</v>
      </c>
      <c r="W406" s="95">
        <v>37</v>
      </c>
      <c r="X406" s="1484" t="s">
        <v>22</v>
      </c>
      <c r="Y406" s="1484"/>
      <c r="Z406" s="1484"/>
      <c r="AA406" s="1484" t="s">
        <v>22</v>
      </c>
      <c r="AB406" s="1484"/>
      <c r="AC406" s="1484"/>
      <c r="AD406" s="1484" t="s">
        <v>22</v>
      </c>
      <c r="AE406" s="1484"/>
      <c r="AF406" s="1484"/>
      <c r="AG406" s="1393" t="s">
        <v>22</v>
      </c>
      <c r="AH406" s="1484" t="str">
        <f>IF(V406="","",IF(SUM(V406:V411)&gt;=[21]PARÁMETROS!$D$5,"HÁBIL","NO HÁBIL"))</f>
        <v>HÁBIL</v>
      </c>
      <c r="AI406" s="1484" t="str">
        <f>IF(V406="","",IF((V406+V407+V408+V409+V410)&gt;=[21]PARÁMETROS!$H$5,"HÁBIL","NO HÁBIL"))</f>
        <v>HÁBIL</v>
      </c>
      <c r="AJ406" s="1393" t="str">
        <f>+IF(V406="","",IF(V406&gt;=[21]PARÁMETROS!$F$5,"CUMPLE","NO CUMPLE"))</f>
        <v>CUMPLE</v>
      </c>
      <c r="AK406" s="96"/>
    </row>
    <row r="407" spans="1:37" ht="71.25">
      <c r="A407" s="1615"/>
      <c r="B407" s="1510"/>
      <c r="C407" s="19" t="s">
        <v>589</v>
      </c>
      <c r="D407" s="20">
        <v>92</v>
      </c>
      <c r="E407" s="21" t="s">
        <v>2298</v>
      </c>
      <c r="F407" s="22" t="s">
        <v>493</v>
      </c>
      <c r="G407" s="22" t="s">
        <v>2300</v>
      </c>
      <c r="H407" s="1388" t="s">
        <v>22</v>
      </c>
      <c r="I407" s="1388" t="s">
        <v>22</v>
      </c>
      <c r="J407" s="34">
        <v>1</v>
      </c>
      <c r="K407" s="25">
        <v>38337</v>
      </c>
      <c r="L407" s="25">
        <v>39401</v>
      </c>
      <c r="M407" s="26">
        <f t="shared" ref="M407:M438" si="48">IF(L407="","",YEAR(L407))</f>
        <v>2007</v>
      </c>
      <c r="N407" s="27">
        <f>+IFERROR(INDEX([21]PARÁMETROS!$B$11:$B$37,MATCH(M407,[21]PARÁMETROS!$A$11:$A$37,0)),"")</f>
        <v>433700</v>
      </c>
      <c r="O407" s="35">
        <v>2544987926</v>
      </c>
      <c r="P407" s="27" t="s">
        <v>151</v>
      </c>
      <c r="Q407" s="19" t="s">
        <v>140</v>
      </c>
      <c r="R407" s="30" t="s">
        <v>140</v>
      </c>
      <c r="S407" s="31">
        <v>1</v>
      </c>
      <c r="T407" s="27">
        <f t="shared" ref="T407:T438" si="49">IF(S407&lt;&gt;"",O407*S407,"")</f>
        <v>2544987926</v>
      </c>
      <c r="U407" s="16">
        <f t="shared" ref="U407:U438" si="50">+IFERROR(T407/N407,"")</f>
        <v>5868.0837583583125</v>
      </c>
      <c r="V407" s="16">
        <f t="shared" ref="V407:V438" si="51">IFERROR(U407*J407,"")</f>
        <v>5868.0837583583125</v>
      </c>
      <c r="W407" s="32">
        <v>14</v>
      </c>
      <c r="X407" s="1485" t="s">
        <v>129</v>
      </c>
      <c r="Y407" s="1485"/>
      <c r="Z407" s="1485"/>
      <c r="AA407" s="1485" t="s">
        <v>22</v>
      </c>
      <c r="AB407" s="1485"/>
      <c r="AC407" s="1485"/>
      <c r="AD407" s="1485" t="s">
        <v>22</v>
      </c>
      <c r="AE407" s="1485"/>
      <c r="AF407" s="1485"/>
      <c r="AG407" s="1388" t="s">
        <v>22</v>
      </c>
      <c r="AH407" s="1485"/>
      <c r="AI407" s="1485"/>
      <c r="AJ407" s="1388" t="str">
        <f>+IF(V407="","",IF(V407&gt;=[21]PARÁMETROS!$F$5,"CUMPLE","NO CUMPLE"))</f>
        <v>CUMPLE</v>
      </c>
      <c r="AK407" s="97"/>
    </row>
    <row r="408" spans="1:37" ht="85.5">
      <c r="A408" s="1615"/>
      <c r="B408" s="1510"/>
      <c r="C408" s="19" t="s">
        <v>589</v>
      </c>
      <c r="D408" s="20">
        <v>96</v>
      </c>
      <c r="E408" s="21" t="s">
        <v>2298</v>
      </c>
      <c r="F408" s="22" t="s">
        <v>442</v>
      </c>
      <c r="G408" s="23" t="s">
        <v>2301</v>
      </c>
      <c r="H408" s="1388" t="s">
        <v>22</v>
      </c>
      <c r="I408" s="1388" t="s">
        <v>22</v>
      </c>
      <c r="J408" s="24">
        <v>0.75</v>
      </c>
      <c r="K408" s="25">
        <v>38177</v>
      </c>
      <c r="L408" s="25">
        <v>39760</v>
      </c>
      <c r="M408" s="26">
        <f t="shared" si="48"/>
        <v>2008</v>
      </c>
      <c r="N408" s="27">
        <f>+IFERROR(INDEX([21]PARÁMETROS!$B$11:$B$37,MATCH(M408,[21]PARÁMETROS!$A$11:$A$37,0)),"")</f>
        <v>461500</v>
      </c>
      <c r="O408" s="28">
        <v>2288853386.96</v>
      </c>
      <c r="P408" s="29" t="s">
        <v>151</v>
      </c>
      <c r="Q408" s="19" t="s">
        <v>140</v>
      </c>
      <c r="R408" s="30" t="s">
        <v>140</v>
      </c>
      <c r="S408" s="31">
        <v>1</v>
      </c>
      <c r="T408" s="27">
        <f t="shared" si="49"/>
        <v>2288853386.96</v>
      </c>
      <c r="U408" s="16">
        <f t="shared" si="50"/>
        <v>4959.5956380498374</v>
      </c>
      <c r="V408" s="16">
        <f t="shared" si="51"/>
        <v>3719.696728537378</v>
      </c>
      <c r="W408" s="32">
        <v>25</v>
      </c>
      <c r="X408" s="1485" t="s">
        <v>22</v>
      </c>
      <c r="Y408" s="1485"/>
      <c r="Z408" s="1485"/>
      <c r="AA408" s="1485" t="s">
        <v>22</v>
      </c>
      <c r="AB408" s="1485"/>
      <c r="AC408" s="1485"/>
      <c r="AD408" s="1485" t="s">
        <v>22</v>
      </c>
      <c r="AE408" s="1485"/>
      <c r="AF408" s="1485"/>
      <c r="AG408" s="1388" t="s">
        <v>22</v>
      </c>
      <c r="AH408" s="1485"/>
      <c r="AI408" s="1485"/>
      <c r="AJ408" s="1388" t="str">
        <f>+IF(V408="","",IF(V408&gt;=[21]PARÁMETROS!$F$5,"CUMPLE","NO CUMPLE"))</f>
        <v>CUMPLE</v>
      </c>
      <c r="AK408" s="98"/>
    </row>
    <row r="409" spans="1:37" ht="85.5">
      <c r="A409" s="1615"/>
      <c r="B409" s="1510"/>
      <c r="C409" s="19" t="s">
        <v>589</v>
      </c>
      <c r="D409" s="20">
        <v>107</v>
      </c>
      <c r="E409" s="21" t="s">
        <v>2298</v>
      </c>
      <c r="F409" s="22" t="s">
        <v>442</v>
      </c>
      <c r="G409" s="23" t="s">
        <v>2302</v>
      </c>
      <c r="H409" s="1388" t="s">
        <v>22</v>
      </c>
      <c r="I409" s="1388" t="s">
        <v>22</v>
      </c>
      <c r="J409" s="24">
        <v>0.75</v>
      </c>
      <c r="K409" s="25">
        <v>38374</v>
      </c>
      <c r="L409" s="25">
        <v>39512</v>
      </c>
      <c r="M409" s="26">
        <f t="shared" si="48"/>
        <v>2008</v>
      </c>
      <c r="N409" s="27">
        <f>+IFERROR(INDEX([21]PARÁMETROS!$B$11:$B$37,MATCH(M409,[21]PARÁMETROS!$A$11:$A$37,0)),"")</f>
        <v>461500</v>
      </c>
      <c r="O409" s="28">
        <v>4505935152</v>
      </c>
      <c r="P409" s="29" t="s">
        <v>151</v>
      </c>
      <c r="Q409" s="19" t="s">
        <v>140</v>
      </c>
      <c r="R409" s="30" t="s">
        <v>140</v>
      </c>
      <c r="S409" s="31">
        <v>1</v>
      </c>
      <c r="T409" s="27">
        <f t="shared" si="49"/>
        <v>4505935152</v>
      </c>
      <c r="U409" s="16">
        <f t="shared" si="50"/>
        <v>9763.6731354279527</v>
      </c>
      <c r="V409" s="16">
        <f t="shared" si="51"/>
        <v>7322.7548515709641</v>
      </c>
      <c r="W409" s="32">
        <v>26</v>
      </c>
      <c r="X409" s="1485" t="s">
        <v>22</v>
      </c>
      <c r="Y409" s="1485"/>
      <c r="Z409" s="1485"/>
      <c r="AA409" s="1485" t="s">
        <v>22</v>
      </c>
      <c r="AB409" s="1485"/>
      <c r="AC409" s="1485"/>
      <c r="AD409" s="1485" t="s">
        <v>22</v>
      </c>
      <c r="AE409" s="1485"/>
      <c r="AF409" s="1485"/>
      <c r="AG409" s="1388" t="s">
        <v>22</v>
      </c>
      <c r="AH409" s="1485"/>
      <c r="AI409" s="1485"/>
      <c r="AJ409" s="1388" t="str">
        <f>+IF(V409="","",IF(V409&gt;=[21]PARÁMETROS!$F$5,"CUMPLE","NO CUMPLE"))</f>
        <v>CUMPLE</v>
      </c>
      <c r="AK409" s="98"/>
    </row>
    <row r="410" spans="1:37" ht="63">
      <c r="A410" s="1615"/>
      <c r="B410" s="1510"/>
      <c r="C410" s="19" t="s">
        <v>589</v>
      </c>
      <c r="D410" s="20">
        <v>114</v>
      </c>
      <c r="E410" s="21" t="s">
        <v>2298</v>
      </c>
      <c r="F410" s="22" t="s">
        <v>2303</v>
      </c>
      <c r="G410" s="23" t="s">
        <v>2304</v>
      </c>
      <c r="H410" s="1388" t="s">
        <v>22</v>
      </c>
      <c r="I410" s="1388" t="s">
        <v>22</v>
      </c>
      <c r="J410" s="24">
        <v>0.5</v>
      </c>
      <c r="K410" s="25">
        <v>40329</v>
      </c>
      <c r="L410" s="25">
        <v>41076</v>
      </c>
      <c r="M410" s="26">
        <f t="shared" si="48"/>
        <v>2012</v>
      </c>
      <c r="N410" s="27">
        <f>+IFERROR(INDEX([21]PARÁMETROS!$B$11:$B$37,MATCH(M410,[21]PARÁMETROS!$A$11:$A$37,0)),"")</f>
        <v>566700</v>
      </c>
      <c r="O410" s="28">
        <v>4660189234</v>
      </c>
      <c r="P410" s="29" t="s">
        <v>151</v>
      </c>
      <c r="Q410" s="19" t="s">
        <v>140</v>
      </c>
      <c r="R410" s="30" t="s">
        <v>140</v>
      </c>
      <c r="S410" s="31">
        <v>1</v>
      </c>
      <c r="T410" s="27">
        <f t="shared" si="49"/>
        <v>4660189234</v>
      </c>
      <c r="U410" s="16">
        <f t="shared" si="50"/>
        <v>8223.3796259043593</v>
      </c>
      <c r="V410" s="16">
        <f t="shared" si="51"/>
        <v>4111.6898129521796</v>
      </c>
      <c r="W410" s="32">
        <v>46</v>
      </c>
      <c r="X410" s="1485" t="s">
        <v>129</v>
      </c>
      <c r="Y410" s="1485"/>
      <c r="Z410" s="1485"/>
      <c r="AA410" s="1485" t="s">
        <v>22</v>
      </c>
      <c r="AB410" s="1485"/>
      <c r="AC410" s="1485"/>
      <c r="AD410" s="1485" t="s">
        <v>22</v>
      </c>
      <c r="AE410" s="1485"/>
      <c r="AF410" s="1485"/>
      <c r="AG410" s="1388" t="s">
        <v>22</v>
      </c>
      <c r="AH410" s="1485"/>
      <c r="AI410" s="1485"/>
      <c r="AJ410" s="1388" t="str">
        <f>+IF(V410="","",IF(V410&gt;=[21]PARÁMETROS!$F$5,"CUMPLE","NO CUMPLE"))</f>
        <v>CUMPLE</v>
      </c>
      <c r="AK410" s="98"/>
    </row>
    <row r="411" spans="1:37" ht="72" thickBot="1">
      <c r="A411" s="1615"/>
      <c r="B411" s="1511"/>
      <c r="C411" s="99" t="s">
        <v>593</v>
      </c>
      <c r="D411" s="123">
        <v>138</v>
      </c>
      <c r="E411" s="101" t="s">
        <v>2305</v>
      </c>
      <c r="F411" s="102" t="s">
        <v>493</v>
      </c>
      <c r="G411" s="103" t="s">
        <v>2306</v>
      </c>
      <c r="H411" s="1392" t="s">
        <v>22</v>
      </c>
      <c r="I411" s="1392" t="s">
        <v>22</v>
      </c>
      <c r="J411" s="104">
        <v>0.4</v>
      </c>
      <c r="K411" s="105">
        <v>41109</v>
      </c>
      <c r="L411" s="105" t="s">
        <v>2307</v>
      </c>
      <c r="M411" s="106">
        <v>2015</v>
      </c>
      <c r="N411" s="107">
        <f>+IFERROR(INDEX([21]PARÁMETROS!$B$11:$B$37,MATCH(M411,[21]PARÁMETROS!$A$11:$A$37,0)),"")</f>
        <v>644350</v>
      </c>
      <c r="O411" s="108">
        <v>5281678857</v>
      </c>
      <c r="P411" s="109" t="s">
        <v>151</v>
      </c>
      <c r="Q411" s="99" t="s">
        <v>140</v>
      </c>
      <c r="R411" s="110" t="s">
        <v>140</v>
      </c>
      <c r="S411" s="111">
        <v>1</v>
      </c>
      <c r="T411" s="107">
        <f t="shared" si="49"/>
        <v>5281678857</v>
      </c>
      <c r="U411" s="112">
        <f t="shared" si="50"/>
        <v>8196.9098424769145</v>
      </c>
      <c r="V411" s="112">
        <f t="shared" si="51"/>
        <v>3278.7639369907661</v>
      </c>
      <c r="W411" s="112" t="s">
        <v>2307</v>
      </c>
      <c r="X411" s="1486"/>
      <c r="Y411" s="1486"/>
      <c r="Z411" s="1486"/>
      <c r="AA411" s="1486"/>
      <c r="AB411" s="1486"/>
      <c r="AC411" s="1486"/>
      <c r="AD411" s="1486"/>
      <c r="AE411" s="1486"/>
      <c r="AF411" s="1486"/>
      <c r="AG411" s="1392"/>
      <c r="AH411" s="1486"/>
      <c r="AI411" s="1486"/>
      <c r="AJ411" s="1392" t="str">
        <f>+IF(V411="","",IF(V411&gt;=[21]PARÁMETROS!$F$5,"CUMPLE","NO CUMPLE"))</f>
        <v>CUMPLE</v>
      </c>
      <c r="AK411" s="113"/>
    </row>
    <row r="412" spans="1:37" ht="78.75">
      <c r="A412" s="1615"/>
      <c r="B412" s="1509" t="s">
        <v>1907</v>
      </c>
      <c r="C412" s="81" t="s">
        <v>1912</v>
      </c>
      <c r="D412" s="169">
        <v>123</v>
      </c>
      <c r="E412" s="83" t="s">
        <v>979</v>
      </c>
      <c r="F412" s="84" t="s">
        <v>214</v>
      </c>
      <c r="G412" s="85" t="s">
        <v>2308</v>
      </c>
      <c r="H412" s="1393" t="s">
        <v>22</v>
      </c>
      <c r="I412" s="1393" t="s">
        <v>22</v>
      </c>
      <c r="J412" s="86">
        <v>1</v>
      </c>
      <c r="K412" s="87">
        <v>38338</v>
      </c>
      <c r="L412" s="87">
        <v>39082</v>
      </c>
      <c r="M412" s="88">
        <f t="shared" si="48"/>
        <v>2006</v>
      </c>
      <c r="N412" s="89">
        <f>+IFERROR(INDEX([21]PARÁMETROS!$B$11:$B$37,MATCH(M412,[21]PARÁMETROS!$A$11:$A$37,0)),"")</f>
        <v>408000</v>
      </c>
      <c r="O412" s="90">
        <v>449899.22</v>
      </c>
      <c r="P412" s="91" t="s">
        <v>142</v>
      </c>
      <c r="Q412" s="81">
        <v>1.3192999999999999</v>
      </c>
      <c r="R412" s="92">
        <f>+O412*Q412</f>
        <v>593552.04094599991</v>
      </c>
      <c r="S412" s="93">
        <v>2238.79</v>
      </c>
      <c r="T412" s="89">
        <f>+R412*S412</f>
        <v>1328838373.749495</v>
      </c>
      <c r="U412" s="94">
        <f t="shared" si="50"/>
        <v>3256.9567984056252</v>
      </c>
      <c r="V412" s="94">
        <f t="shared" si="51"/>
        <v>3256.9567984056252</v>
      </c>
      <c r="W412" s="207">
        <v>3</v>
      </c>
      <c r="X412" s="1484" t="s">
        <v>129</v>
      </c>
      <c r="Y412" s="1484"/>
      <c r="Z412" s="1484"/>
      <c r="AA412" s="1484" t="s">
        <v>129</v>
      </c>
      <c r="AB412" s="1484"/>
      <c r="AC412" s="1484"/>
      <c r="AD412" s="1484" t="s">
        <v>22</v>
      </c>
      <c r="AE412" s="1484"/>
      <c r="AF412" s="1484"/>
      <c r="AG412" s="1393" t="s">
        <v>22</v>
      </c>
      <c r="AH412" s="1484" t="str">
        <f>IF(V412="","",IF(SUM(V412:V415)&gt;=[21]PARÁMETROS!$D$5,"HÁBIL","NO HÁBIL"))</f>
        <v>HÁBIL</v>
      </c>
      <c r="AI412" s="1484" t="str">
        <f>IF(V412="","",IF((V412+V413)&gt;=[21]PARÁMETROS!$H$5,"HÁBIL","NO HÁBIL"))</f>
        <v>HÁBIL</v>
      </c>
      <c r="AJ412" s="1393" t="str">
        <f>+IF(V412="","",IF(V412&gt;=[21]PARÁMETROS!$F$5,"CUMPLE","NO CUMPLE"))</f>
        <v>CUMPLE</v>
      </c>
      <c r="AK412" s="96"/>
    </row>
    <row r="413" spans="1:37" ht="78.75">
      <c r="A413" s="1615"/>
      <c r="B413" s="1510"/>
      <c r="C413" s="19" t="s">
        <v>1912</v>
      </c>
      <c r="D413" s="170">
        <v>125</v>
      </c>
      <c r="E413" s="21" t="s">
        <v>979</v>
      </c>
      <c r="F413" s="22" t="s">
        <v>1499</v>
      </c>
      <c r="G413" s="23" t="s">
        <v>2309</v>
      </c>
      <c r="H413" s="1388" t="s">
        <v>22</v>
      </c>
      <c r="I413" s="1388" t="s">
        <v>22</v>
      </c>
      <c r="J413" s="24">
        <v>0.4</v>
      </c>
      <c r="K413" s="25">
        <v>41282</v>
      </c>
      <c r="L413" s="25" t="s">
        <v>2307</v>
      </c>
      <c r="M413" s="26">
        <v>2015</v>
      </c>
      <c r="N413" s="27">
        <f>+IFERROR(INDEX([21]PARÁMETROS!$B$11:$B$37,MATCH(M413,[21]PARÁMETROS!$A$11:$A$37,0)),"")</f>
        <v>644350</v>
      </c>
      <c r="O413" s="28">
        <v>16123259108</v>
      </c>
      <c r="P413" s="29" t="s">
        <v>151</v>
      </c>
      <c r="Q413" s="19" t="s">
        <v>140</v>
      </c>
      <c r="R413" s="30" t="s">
        <v>140</v>
      </c>
      <c r="S413" s="31">
        <v>1</v>
      </c>
      <c r="T413" s="27">
        <f t="shared" si="49"/>
        <v>16123259108</v>
      </c>
      <c r="U413" s="16">
        <f t="shared" si="50"/>
        <v>25022.517433072087</v>
      </c>
      <c r="V413" s="16">
        <f t="shared" si="51"/>
        <v>10009.006973228836</v>
      </c>
      <c r="W413" s="16" t="s">
        <v>2307</v>
      </c>
      <c r="X413" s="1485" t="s">
        <v>129</v>
      </c>
      <c r="Y413" s="1485"/>
      <c r="Z413" s="1485"/>
      <c r="AA413" s="1485" t="s">
        <v>129</v>
      </c>
      <c r="AB413" s="1485"/>
      <c r="AC413" s="1485"/>
      <c r="AD413" s="1485" t="s">
        <v>129</v>
      </c>
      <c r="AE413" s="1485"/>
      <c r="AF413" s="1485"/>
      <c r="AG413" s="1388" t="s">
        <v>129</v>
      </c>
      <c r="AH413" s="1485"/>
      <c r="AI413" s="1485"/>
      <c r="AJ413" s="1388" t="str">
        <f>+IF(V413="","",IF(V413&gt;=[21]PARÁMETROS!$F$5,"CUMPLE","NO CUMPLE"))</f>
        <v>CUMPLE</v>
      </c>
      <c r="AK413" s="97"/>
    </row>
    <row r="414" spans="1:37" ht="42.75">
      <c r="A414" s="1615"/>
      <c r="B414" s="1510"/>
      <c r="C414" s="19" t="s">
        <v>599</v>
      </c>
      <c r="D414" s="170">
        <v>145</v>
      </c>
      <c r="E414" s="21" t="s">
        <v>2310</v>
      </c>
      <c r="F414" s="22" t="s">
        <v>1501</v>
      </c>
      <c r="G414" s="23" t="s">
        <v>2311</v>
      </c>
      <c r="H414" s="1388" t="s">
        <v>22</v>
      </c>
      <c r="I414" s="1388" t="s">
        <v>22</v>
      </c>
      <c r="J414" s="24">
        <v>1</v>
      </c>
      <c r="K414" s="25">
        <v>39001</v>
      </c>
      <c r="L414" s="25">
        <v>40354</v>
      </c>
      <c r="M414" s="26">
        <f t="shared" si="48"/>
        <v>2010</v>
      </c>
      <c r="N414" s="27">
        <f>+IFERROR(INDEX([21]PARÁMETROS!$B$11:$B$37,MATCH(M414,[21]PARÁMETROS!$A$11:$A$37,0)),"")</f>
        <v>515000</v>
      </c>
      <c r="O414" s="28">
        <v>6389802.9699999997</v>
      </c>
      <c r="P414" s="29" t="s">
        <v>142</v>
      </c>
      <c r="Q414" s="19">
        <v>1.23166</v>
      </c>
      <c r="R414" s="30">
        <f>+O414*Q414</f>
        <v>7870064.7260301998</v>
      </c>
      <c r="S414" s="31">
        <v>1896.87</v>
      </c>
      <c r="T414" s="27">
        <f>+R414*S414</f>
        <v>14928489676.864904</v>
      </c>
      <c r="U414" s="16">
        <f t="shared" si="50"/>
        <v>28987.358595854184</v>
      </c>
      <c r="V414" s="16">
        <f t="shared" si="51"/>
        <v>28987.358595854184</v>
      </c>
      <c r="W414" s="208">
        <v>63</v>
      </c>
      <c r="X414" s="1485" t="s">
        <v>22</v>
      </c>
      <c r="Y414" s="1485"/>
      <c r="Z414" s="1485"/>
      <c r="AA414" s="1485" t="s">
        <v>22</v>
      </c>
      <c r="AB414" s="1485"/>
      <c r="AC414" s="1485"/>
      <c r="AD414" s="1485" t="s">
        <v>22</v>
      </c>
      <c r="AE414" s="1485"/>
      <c r="AF414" s="1485"/>
      <c r="AG414" s="1388" t="s">
        <v>22</v>
      </c>
      <c r="AH414" s="1485"/>
      <c r="AI414" s="1485"/>
      <c r="AJ414" s="1388" t="str">
        <f>+IF(V414="","",IF(V414&gt;=[21]PARÁMETROS!$F$5,"CUMPLE","NO CUMPLE"))</f>
        <v>CUMPLE</v>
      </c>
      <c r="AK414" s="97"/>
    </row>
    <row r="415" spans="1:37" ht="43.5" thickBot="1">
      <c r="A415" s="1615"/>
      <c r="B415" s="1511"/>
      <c r="C415" s="99" t="s">
        <v>599</v>
      </c>
      <c r="D415" s="178">
        <v>150</v>
      </c>
      <c r="E415" s="101" t="s">
        <v>2310</v>
      </c>
      <c r="F415" s="102" t="s">
        <v>214</v>
      </c>
      <c r="G415" s="103" t="s">
        <v>2312</v>
      </c>
      <c r="H415" s="1392" t="s">
        <v>22</v>
      </c>
      <c r="I415" s="1392" t="s">
        <v>22</v>
      </c>
      <c r="J415" s="104">
        <v>1</v>
      </c>
      <c r="K415" s="105">
        <v>38051</v>
      </c>
      <c r="L415" s="105">
        <v>41071</v>
      </c>
      <c r="M415" s="106">
        <f t="shared" si="48"/>
        <v>2012</v>
      </c>
      <c r="N415" s="107">
        <f>+IFERROR(INDEX([21]PARÁMETROS!$B$11:$B$37,MATCH(M415,[21]PARÁMETROS!$A$11:$A$37,0)),"")</f>
        <v>566700</v>
      </c>
      <c r="O415" s="108">
        <v>4711321.91</v>
      </c>
      <c r="P415" s="109" t="s">
        <v>142</v>
      </c>
      <c r="Q415" s="99">
        <v>1.2534400000000001</v>
      </c>
      <c r="R415" s="110">
        <f>+O415*Q415</f>
        <v>5905359.3348704008</v>
      </c>
      <c r="S415" s="111">
        <v>1776.26</v>
      </c>
      <c r="T415" s="107">
        <f>+R415*S415</f>
        <v>10489453572.156898</v>
      </c>
      <c r="U415" s="112">
        <f t="shared" si="50"/>
        <v>18509.711614887769</v>
      </c>
      <c r="V415" s="112">
        <f t="shared" si="51"/>
        <v>18509.711614887769</v>
      </c>
      <c r="W415" s="213">
        <v>4</v>
      </c>
      <c r="X415" s="1486" t="s">
        <v>22</v>
      </c>
      <c r="Y415" s="1486"/>
      <c r="Z415" s="1486"/>
      <c r="AA415" s="1486" t="s">
        <v>22</v>
      </c>
      <c r="AB415" s="1486"/>
      <c r="AC415" s="1486"/>
      <c r="AD415" s="1486" t="s">
        <v>22</v>
      </c>
      <c r="AE415" s="1486"/>
      <c r="AF415" s="1486"/>
      <c r="AG415" s="1392" t="s">
        <v>22</v>
      </c>
      <c r="AH415" s="1486"/>
      <c r="AI415" s="1486"/>
      <c r="AJ415" s="1392" t="str">
        <f>+IF(V415="","",IF(V415&gt;=[21]PARÁMETROS!$F$5,"CUMPLE","NO CUMPLE"))</f>
        <v>CUMPLE</v>
      </c>
      <c r="AK415" s="113"/>
    </row>
    <row r="416" spans="1:37" ht="85.5">
      <c r="A416" s="1615"/>
      <c r="B416" s="1509" t="s">
        <v>1918</v>
      </c>
      <c r="C416" s="81" t="s">
        <v>614</v>
      </c>
      <c r="D416" s="169">
        <v>141</v>
      </c>
      <c r="E416" s="83" t="s">
        <v>2313</v>
      </c>
      <c r="F416" s="84" t="s">
        <v>448</v>
      </c>
      <c r="G416" s="85" t="s">
        <v>2314</v>
      </c>
      <c r="H416" s="1393" t="s">
        <v>22</v>
      </c>
      <c r="I416" s="1393" t="s">
        <v>22</v>
      </c>
      <c r="J416" s="86">
        <v>1</v>
      </c>
      <c r="K416" s="87">
        <v>39211</v>
      </c>
      <c r="L416" s="87">
        <v>40227</v>
      </c>
      <c r="M416" s="88">
        <f t="shared" si="48"/>
        <v>2010</v>
      </c>
      <c r="N416" s="89">
        <f>+IFERROR(INDEX([21]PARÁMETROS!$B$11:$B$37,MATCH(M416,[21]PARÁMETROS!$A$11:$A$37,0)),"")</f>
        <v>515000</v>
      </c>
      <c r="O416" s="90">
        <v>4313621278</v>
      </c>
      <c r="P416" s="91" t="s">
        <v>151</v>
      </c>
      <c r="Q416" s="81" t="s">
        <v>140</v>
      </c>
      <c r="R416" s="92" t="s">
        <v>140</v>
      </c>
      <c r="S416" s="93">
        <v>1</v>
      </c>
      <c r="T416" s="89">
        <f t="shared" si="49"/>
        <v>4313621278</v>
      </c>
      <c r="U416" s="94">
        <f t="shared" si="50"/>
        <v>8375.9636466019419</v>
      </c>
      <c r="V416" s="94">
        <f t="shared" si="51"/>
        <v>8375.9636466019419</v>
      </c>
      <c r="W416" s="207">
        <v>5</v>
      </c>
      <c r="X416" s="1484" t="s">
        <v>129</v>
      </c>
      <c r="Y416" s="1484"/>
      <c r="Z416" s="1484"/>
      <c r="AA416" s="1484" t="s">
        <v>22</v>
      </c>
      <c r="AB416" s="1484"/>
      <c r="AC416" s="1484"/>
      <c r="AD416" s="1484" t="s">
        <v>22</v>
      </c>
      <c r="AE416" s="1484"/>
      <c r="AF416" s="1484"/>
      <c r="AG416" s="1393" t="s">
        <v>22</v>
      </c>
      <c r="AH416" s="1484" t="str">
        <f>IF(V416="","",IF(SUM(V416:V421)&gt;=[21]PARÁMETROS!$D$5,"HÁBIL","NO HÁBIL"))</f>
        <v>HÁBIL</v>
      </c>
      <c r="AI416" s="1484" t="str">
        <f>IF(V416="","",IF((V416+V417+V418)&gt;=[21]PARÁMETROS!$H$5,"HÁBIL","NO HÁBIL"))</f>
        <v>HÁBIL</v>
      </c>
      <c r="AJ416" s="1393" t="str">
        <f>+IF(V416="","",IF(V416&gt;=[21]PARÁMETROS!$F$5,"CUMPLE","NO CUMPLE"))</f>
        <v>CUMPLE</v>
      </c>
      <c r="AK416" s="96"/>
    </row>
    <row r="417" spans="1:37" ht="71.25">
      <c r="A417" s="1615"/>
      <c r="B417" s="1510"/>
      <c r="C417" s="19" t="s">
        <v>614</v>
      </c>
      <c r="D417" s="170">
        <v>188</v>
      </c>
      <c r="E417" s="21" t="s">
        <v>2313</v>
      </c>
      <c r="F417" s="22" t="s">
        <v>1038</v>
      </c>
      <c r="G417" s="22" t="s">
        <v>1069</v>
      </c>
      <c r="H417" s="1388" t="s">
        <v>22</v>
      </c>
      <c r="I417" s="1388" t="s">
        <v>22</v>
      </c>
      <c r="J417" s="34">
        <v>1</v>
      </c>
      <c r="K417" s="25">
        <v>39776</v>
      </c>
      <c r="L417" s="25">
        <v>40809</v>
      </c>
      <c r="M417" s="26">
        <f t="shared" si="48"/>
        <v>2011</v>
      </c>
      <c r="N417" s="27">
        <f>+IFERROR(INDEX([21]PARÁMETROS!$B$11:$B$37,MATCH(M417,[21]PARÁMETROS!$A$11:$A$37,0)),"")</f>
        <v>535600</v>
      </c>
      <c r="O417" s="35">
        <v>3888865854</v>
      </c>
      <c r="P417" s="27" t="s">
        <v>151</v>
      </c>
      <c r="Q417" s="19" t="s">
        <v>140</v>
      </c>
      <c r="R417" s="30" t="s">
        <v>140</v>
      </c>
      <c r="S417" s="31">
        <v>1</v>
      </c>
      <c r="T417" s="27">
        <f t="shared" si="49"/>
        <v>3888865854</v>
      </c>
      <c r="U417" s="16">
        <f t="shared" si="50"/>
        <v>7260.7652240477964</v>
      </c>
      <c r="V417" s="16">
        <f t="shared" si="51"/>
        <v>7260.7652240477964</v>
      </c>
      <c r="W417" s="208">
        <v>6</v>
      </c>
      <c r="X417" s="1485" t="s">
        <v>129</v>
      </c>
      <c r="Y417" s="1485"/>
      <c r="Z417" s="1485"/>
      <c r="AA417" s="1485" t="s">
        <v>22</v>
      </c>
      <c r="AB417" s="1485"/>
      <c r="AC417" s="1485"/>
      <c r="AD417" s="1485" t="s">
        <v>22</v>
      </c>
      <c r="AE417" s="1485"/>
      <c r="AF417" s="1485"/>
      <c r="AG417" s="1388" t="s">
        <v>22</v>
      </c>
      <c r="AH417" s="1485"/>
      <c r="AI417" s="1485"/>
      <c r="AJ417" s="1388" t="str">
        <f>+IF(V417="","",IF(V417&gt;=[21]PARÁMETROS!$F$5,"CUMPLE","NO CUMPLE"))</f>
        <v>CUMPLE</v>
      </c>
      <c r="AK417" s="97"/>
    </row>
    <row r="418" spans="1:37" ht="57">
      <c r="A418" s="1615"/>
      <c r="B418" s="1510"/>
      <c r="C418" s="19" t="s">
        <v>614</v>
      </c>
      <c r="D418" s="170">
        <v>226</v>
      </c>
      <c r="E418" s="21" t="s">
        <v>2313</v>
      </c>
      <c r="F418" s="22" t="s">
        <v>448</v>
      </c>
      <c r="G418" s="23" t="s">
        <v>1070</v>
      </c>
      <c r="H418" s="1388" t="s">
        <v>22</v>
      </c>
      <c r="I418" s="1388" t="s">
        <v>22</v>
      </c>
      <c r="J418" s="24">
        <v>0.6</v>
      </c>
      <c r="K418" s="25">
        <v>37432</v>
      </c>
      <c r="L418" s="25">
        <v>38352</v>
      </c>
      <c r="M418" s="26">
        <f t="shared" si="48"/>
        <v>2004</v>
      </c>
      <c r="N418" s="27">
        <f>+IFERROR(INDEX([21]PARÁMETROS!$B$11:$B$37,MATCH(M418,[21]PARÁMETROS!$A$11:$A$37,0)),"")</f>
        <v>358000</v>
      </c>
      <c r="O418" s="28">
        <v>2437834762</v>
      </c>
      <c r="P418" s="29" t="s">
        <v>151</v>
      </c>
      <c r="Q418" s="19" t="s">
        <v>140</v>
      </c>
      <c r="R418" s="30" t="s">
        <v>140</v>
      </c>
      <c r="S418" s="31">
        <v>1</v>
      </c>
      <c r="T418" s="27">
        <f t="shared" si="49"/>
        <v>2437834762</v>
      </c>
      <c r="U418" s="16">
        <f t="shared" si="50"/>
        <v>6809.5943072625696</v>
      </c>
      <c r="V418" s="16">
        <f t="shared" si="51"/>
        <v>4085.7565843575417</v>
      </c>
      <c r="W418" s="208">
        <v>12</v>
      </c>
      <c r="X418" s="1485" t="s">
        <v>129</v>
      </c>
      <c r="Y418" s="1485"/>
      <c r="Z418" s="1485"/>
      <c r="AA418" s="1485" t="s">
        <v>22</v>
      </c>
      <c r="AB418" s="1485"/>
      <c r="AC418" s="1485"/>
      <c r="AD418" s="1485" t="s">
        <v>22</v>
      </c>
      <c r="AE418" s="1485"/>
      <c r="AF418" s="1485"/>
      <c r="AG418" s="1388" t="s">
        <v>22</v>
      </c>
      <c r="AH418" s="1485"/>
      <c r="AI418" s="1485"/>
      <c r="AJ418" s="1388" t="str">
        <f>+IF(V418="","",IF(V418&gt;=[21]PARÁMETROS!$F$5,"CUMPLE","NO CUMPLE"))</f>
        <v>CUMPLE</v>
      </c>
      <c r="AK418" s="97"/>
    </row>
    <row r="419" spans="1:37" ht="85.5">
      <c r="A419" s="1615"/>
      <c r="B419" s="1510"/>
      <c r="C419" s="19" t="s">
        <v>626</v>
      </c>
      <c r="D419" s="170">
        <v>248</v>
      </c>
      <c r="E419" s="21" t="s">
        <v>2315</v>
      </c>
      <c r="F419" s="22" t="s">
        <v>2316</v>
      </c>
      <c r="G419" s="23" t="s">
        <v>1060</v>
      </c>
      <c r="H419" s="1388" t="s">
        <v>22</v>
      </c>
      <c r="I419" s="1388" t="s">
        <v>22</v>
      </c>
      <c r="J419" s="24">
        <v>0.6</v>
      </c>
      <c r="K419" s="25">
        <v>41075</v>
      </c>
      <c r="L419" s="25" t="s">
        <v>2307</v>
      </c>
      <c r="M419" s="26">
        <v>2015</v>
      </c>
      <c r="N419" s="27">
        <f>+IFERROR(INDEX([21]PARÁMETROS!$B$11:$B$37,MATCH(M419,[21]PARÁMETROS!$A$11:$A$37,0)),"")</f>
        <v>644350</v>
      </c>
      <c r="O419" s="28">
        <v>20766942881</v>
      </c>
      <c r="P419" s="29" t="s">
        <v>151</v>
      </c>
      <c r="Q419" s="19" t="s">
        <v>140</v>
      </c>
      <c r="R419" s="30" t="s">
        <v>140</v>
      </c>
      <c r="S419" s="31">
        <v>1</v>
      </c>
      <c r="T419" s="27">
        <f t="shared" si="49"/>
        <v>20766942881</v>
      </c>
      <c r="U419" s="16">
        <f t="shared" si="50"/>
        <v>32229.289797470319</v>
      </c>
      <c r="V419" s="16">
        <f t="shared" si="51"/>
        <v>19337.573878482192</v>
      </c>
      <c r="W419" s="16" t="s">
        <v>2307</v>
      </c>
      <c r="X419" s="1485" t="s">
        <v>129</v>
      </c>
      <c r="Y419" s="1485"/>
      <c r="Z419" s="1485"/>
      <c r="AA419" s="1485" t="s">
        <v>129</v>
      </c>
      <c r="AB419" s="1485"/>
      <c r="AC419" s="1485"/>
      <c r="AD419" s="1485" t="s">
        <v>22</v>
      </c>
      <c r="AE419" s="1485"/>
      <c r="AF419" s="1485"/>
      <c r="AG419" s="1388" t="s">
        <v>129</v>
      </c>
      <c r="AH419" s="1485"/>
      <c r="AI419" s="1485"/>
      <c r="AJ419" s="1388" t="str">
        <f>+IF(V419="","",IF(V419&gt;=[21]PARÁMETROS!$F$5,"CUMPLE","NO CUMPLE"))</f>
        <v>CUMPLE</v>
      </c>
      <c r="AK419" s="97"/>
    </row>
    <row r="420" spans="1:37" ht="63">
      <c r="A420" s="1615"/>
      <c r="B420" s="1510"/>
      <c r="C420" s="19" t="s">
        <v>626</v>
      </c>
      <c r="D420" s="170">
        <v>253</v>
      </c>
      <c r="E420" s="21" t="s">
        <v>2315</v>
      </c>
      <c r="F420" s="22" t="s">
        <v>1517</v>
      </c>
      <c r="G420" s="23" t="s">
        <v>2317</v>
      </c>
      <c r="H420" s="1388" t="s">
        <v>22</v>
      </c>
      <c r="I420" s="1388" t="s">
        <v>22</v>
      </c>
      <c r="J420" s="24">
        <v>1</v>
      </c>
      <c r="K420" s="25">
        <v>39548</v>
      </c>
      <c r="L420" s="25">
        <v>40317</v>
      </c>
      <c r="M420" s="26">
        <f t="shared" si="48"/>
        <v>2010</v>
      </c>
      <c r="N420" s="27">
        <f>+IFERROR(INDEX([21]PARÁMETROS!$B$11:$B$37,MATCH(M420,[21]PARÁMETROS!$A$11:$A$37,0)),"")</f>
        <v>515000</v>
      </c>
      <c r="O420" s="28">
        <v>529800000</v>
      </c>
      <c r="P420" s="29" t="s">
        <v>177</v>
      </c>
      <c r="Q420" s="19">
        <v>1.81E-3</v>
      </c>
      <c r="R420" s="30">
        <v>986957</v>
      </c>
      <c r="S420" s="31">
        <v>1976.46</v>
      </c>
      <c r="T420" s="30">
        <f>+R420*S420</f>
        <v>1950681032.22</v>
      </c>
      <c r="U420" s="16">
        <f t="shared" si="50"/>
        <v>3787.7301596504853</v>
      </c>
      <c r="V420" s="16">
        <f t="shared" si="51"/>
        <v>3787.7301596504853</v>
      </c>
      <c r="W420" s="16" t="s">
        <v>2318</v>
      </c>
      <c r="X420" s="1485"/>
      <c r="Y420" s="1485"/>
      <c r="Z420" s="1485"/>
      <c r="AA420" s="1485"/>
      <c r="AB420" s="1485"/>
      <c r="AC420" s="1485"/>
      <c r="AD420" s="1485"/>
      <c r="AE420" s="1485"/>
      <c r="AF420" s="1485"/>
      <c r="AG420" s="1388"/>
      <c r="AH420" s="1485"/>
      <c r="AI420" s="1485"/>
      <c r="AJ420" s="1388" t="str">
        <f>+IF(V420="","",IF(V420&gt;=[21]PARÁMETROS!$F$5,"CUMPLE","NO CUMPLE"))</f>
        <v>CUMPLE</v>
      </c>
      <c r="AK420" s="97"/>
    </row>
    <row r="421" spans="1:37" ht="63.75" thickBot="1">
      <c r="A421" s="1615"/>
      <c r="B421" s="1511"/>
      <c r="C421" s="99" t="s">
        <v>626</v>
      </c>
      <c r="D421" s="178">
        <v>258</v>
      </c>
      <c r="E421" s="101" t="s">
        <v>2315</v>
      </c>
      <c r="F421" s="102" t="s">
        <v>1517</v>
      </c>
      <c r="G421" s="103" t="s">
        <v>1062</v>
      </c>
      <c r="H421" s="1392" t="s">
        <v>22</v>
      </c>
      <c r="I421" s="1392" t="s">
        <v>22</v>
      </c>
      <c r="J421" s="104">
        <v>1</v>
      </c>
      <c r="K421" s="105">
        <v>39671</v>
      </c>
      <c r="L421" s="105">
        <v>40273</v>
      </c>
      <c r="M421" s="106">
        <f t="shared" si="48"/>
        <v>2010</v>
      </c>
      <c r="N421" s="107">
        <f>+IFERROR(INDEX([21]PARÁMETROS!$B$11:$B$37,MATCH(M421,[21]PARÁMETROS!$A$11:$A$37,0)),"")</f>
        <v>515000</v>
      </c>
      <c r="O421" s="108">
        <v>612800000</v>
      </c>
      <c r="P421" s="109" t="s">
        <v>177</v>
      </c>
      <c r="Q421" s="99">
        <v>1.83E-3</v>
      </c>
      <c r="R421" s="110">
        <v>1184567</v>
      </c>
      <c r="S421" s="111">
        <v>1921.88</v>
      </c>
      <c r="T421" s="110">
        <f>+R421*S421</f>
        <v>2276595625.96</v>
      </c>
      <c r="U421" s="112">
        <f t="shared" si="50"/>
        <v>4420.5740309902912</v>
      </c>
      <c r="V421" s="112">
        <f t="shared" si="51"/>
        <v>4420.5740309902912</v>
      </c>
      <c r="W421" s="112" t="s">
        <v>2318</v>
      </c>
      <c r="X421" s="1486"/>
      <c r="Y421" s="1486"/>
      <c r="Z421" s="1486"/>
      <c r="AA421" s="1486"/>
      <c r="AB421" s="1486"/>
      <c r="AC421" s="1486"/>
      <c r="AD421" s="1486"/>
      <c r="AE421" s="1486"/>
      <c r="AF421" s="1486"/>
      <c r="AG421" s="1392"/>
      <c r="AH421" s="1486"/>
      <c r="AI421" s="1486"/>
      <c r="AJ421" s="1392" t="str">
        <f>+IF(V421="","",IF(V421&gt;=[21]PARÁMETROS!$F$5,"CUMPLE","NO CUMPLE"))</f>
        <v>CUMPLE</v>
      </c>
      <c r="AK421" s="113"/>
    </row>
    <row r="422" spans="1:37" ht="57">
      <c r="A422" s="1615"/>
      <c r="B422" s="1509" t="s">
        <v>1928</v>
      </c>
      <c r="C422" s="81" t="s">
        <v>631</v>
      </c>
      <c r="D422" s="169">
        <v>234</v>
      </c>
      <c r="E422" s="83" t="s">
        <v>1148</v>
      </c>
      <c r="F422" s="84" t="s">
        <v>442</v>
      </c>
      <c r="G422" s="85" t="s">
        <v>2319</v>
      </c>
      <c r="H422" s="1393" t="s">
        <v>22</v>
      </c>
      <c r="I422" s="1393" t="s">
        <v>22</v>
      </c>
      <c r="J422" s="86">
        <v>0.75</v>
      </c>
      <c r="K422" s="87">
        <v>38343</v>
      </c>
      <c r="L422" s="87">
        <v>39804</v>
      </c>
      <c r="M422" s="88">
        <f t="shared" si="48"/>
        <v>2008</v>
      </c>
      <c r="N422" s="89">
        <f>+IFERROR(INDEX([21]PARÁMETROS!$B$11:$B$37,MATCH(M422,[21]PARÁMETROS!$A$11:$A$37,0)),"")</f>
        <v>461500</v>
      </c>
      <c r="O422" s="90">
        <v>2538978678</v>
      </c>
      <c r="P422" s="91" t="s">
        <v>151</v>
      </c>
      <c r="Q422" s="81" t="s">
        <v>140</v>
      </c>
      <c r="R422" s="92" t="s">
        <v>140</v>
      </c>
      <c r="S422" s="93">
        <v>1</v>
      </c>
      <c r="T422" s="89">
        <f t="shared" si="49"/>
        <v>2538978678</v>
      </c>
      <c r="U422" s="94">
        <f t="shared" si="50"/>
        <v>5501.5789339111589</v>
      </c>
      <c r="V422" s="94">
        <f t="shared" si="51"/>
        <v>4126.1842004333694</v>
      </c>
      <c r="W422" s="207">
        <v>66</v>
      </c>
      <c r="X422" s="1484" t="s">
        <v>22</v>
      </c>
      <c r="Y422" s="1484"/>
      <c r="Z422" s="1484"/>
      <c r="AA422" s="1484" t="s">
        <v>22</v>
      </c>
      <c r="AB422" s="1484"/>
      <c r="AC422" s="1484"/>
      <c r="AD422" s="1484" t="s">
        <v>22</v>
      </c>
      <c r="AE422" s="1484"/>
      <c r="AF422" s="1484"/>
      <c r="AG422" s="1393" t="s">
        <v>22</v>
      </c>
      <c r="AH422" s="1484" t="str">
        <f>IF(V422="","",IF(SUM(V422:V426)&gt;=[21]PARÁMETROS!$D$5,"HÁBIL","NO HÁBIL"))</f>
        <v>HÁBIL</v>
      </c>
      <c r="AI422" s="1484" t="str">
        <f>IF(V422="","",IF((V422+V423)&gt;=[21]PARÁMETROS!$H$5,"HÁBIL","NO HÁBIL"))</f>
        <v>HÁBIL</v>
      </c>
      <c r="AJ422" s="1393" t="str">
        <f>+IF(V422="","",IF(V422&gt;=[21]PARÁMETROS!$F$5,"CUMPLE","NO CUMPLE"))</f>
        <v>CUMPLE</v>
      </c>
      <c r="AK422" s="96"/>
    </row>
    <row r="423" spans="1:37" ht="85.5">
      <c r="A423" s="1615"/>
      <c r="B423" s="1510"/>
      <c r="C423" s="19" t="s">
        <v>631</v>
      </c>
      <c r="D423" s="170">
        <v>251</v>
      </c>
      <c r="E423" s="21" t="s">
        <v>1148</v>
      </c>
      <c r="F423" s="22" t="s">
        <v>161</v>
      </c>
      <c r="G423" s="23" t="s">
        <v>2320</v>
      </c>
      <c r="H423" s="1388" t="s">
        <v>22</v>
      </c>
      <c r="I423" s="1388" t="s">
        <v>22</v>
      </c>
      <c r="J423" s="24">
        <v>0.5</v>
      </c>
      <c r="K423" s="25">
        <v>40099</v>
      </c>
      <c r="L423" s="25">
        <v>40558</v>
      </c>
      <c r="M423" s="26">
        <f t="shared" si="48"/>
        <v>2011</v>
      </c>
      <c r="N423" s="27">
        <f>+IFERROR(INDEX([21]PARÁMETROS!$B$11:$B$37,MATCH(M423,[21]PARÁMETROS!$A$11:$A$37,0)),"")</f>
        <v>535600</v>
      </c>
      <c r="O423" s="28">
        <v>4561047955</v>
      </c>
      <c r="P423" s="29" t="s">
        <v>151</v>
      </c>
      <c r="Q423" s="19" t="s">
        <v>140</v>
      </c>
      <c r="R423" s="30" t="s">
        <v>140</v>
      </c>
      <c r="S423" s="31">
        <v>1</v>
      </c>
      <c r="T423" s="27">
        <f t="shared" si="49"/>
        <v>4561047955</v>
      </c>
      <c r="U423" s="16">
        <f t="shared" si="50"/>
        <v>8515.7728808812553</v>
      </c>
      <c r="V423" s="16">
        <f t="shared" si="51"/>
        <v>4257.8864404406277</v>
      </c>
      <c r="W423" s="208">
        <v>20</v>
      </c>
      <c r="X423" s="1485" t="s">
        <v>22</v>
      </c>
      <c r="Y423" s="1485"/>
      <c r="Z423" s="1485"/>
      <c r="AA423" s="1485" t="s">
        <v>22</v>
      </c>
      <c r="AB423" s="1485"/>
      <c r="AC423" s="1485"/>
      <c r="AD423" s="1485" t="s">
        <v>22</v>
      </c>
      <c r="AE423" s="1485"/>
      <c r="AF423" s="1485"/>
      <c r="AG423" s="1388" t="s">
        <v>22</v>
      </c>
      <c r="AH423" s="1485"/>
      <c r="AI423" s="1485"/>
      <c r="AJ423" s="1388" t="str">
        <f>+IF(V423="","",IF(V423&gt;=[21]PARÁMETROS!$F$5,"CUMPLE","NO CUMPLE"))</f>
        <v>CUMPLE</v>
      </c>
      <c r="AK423" s="97"/>
    </row>
    <row r="424" spans="1:37" ht="71.25">
      <c r="A424" s="1615"/>
      <c r="B424" s="1510"/>
      <c r="C424" s="19" t="s">
        <v>638</v>
      </c>
      <c r="D424" s="170">
        <v>263</v>
      </c>
      <c r="E424" s="21" t="s">
        <v>2321</v>
      </c>
      <c r="F424" s="22" t="s">
        <v>2322</v>
      </c>
      <c r="G424" s="23" t="s">
        <v>2323</v>
      </c>
      <c r="H424" s="1388" t="s">
        <v>22</v>
      </c>
      <c r="I424" s="1388" t="s">
        <v>22</v>
      </c>
      <c r="J424" s="24">
        <v>1</v>
      </c>
      <c r="K424" s="25">
        <v>40548</v>
      </c>
      <c r="L424" s="25">
        <v>40896</v>
      </c>
      <c r="M424" s="26">
        <f t="shared" si="48"/>
        <v>2011</v>
      </c>
      <c r="N424" s="27">
        <f>+IFERROR(INDEX([21]PARÁMETROS!$B$11:$B$37,MATCH(M424,[21]PARÁMETROS!$A$11:$A$37,0)),"")</f>
        <v>535600</v>
      </c>
      <c r="O424" s="28">
        <v>1030651395</v>
      </c>
      <c r="P424" s="29" t="s">
        <v>151</v>
      </c>
      <c r="Q424" s="19" t="s">
        <v>140</v>
      </c>
      <c r="R424" s="30" t="s">
        <v>140</v>
      </c>
      <c r="S424" s="31">
        <v>1</v>
      </c>
      <c r="T424" s="27">
        <f t="shared" si="49"/>
        <v>1030651395</v>
      </c>
      <c r="U424" s="16">
        <f t="shared" si="50"/>
        <v>1924.2931198655713</v>
      </c>
      <c r="V424" s="16">
        <f t="shared" si="51"/>
        <v>1924.2931198655713</v>
      </c>
      <c r="W424" s="208">
        <v>2</v>
      </c>
      <c r="X424" s="1485" t="s">
        <v>129</v>
      </c>
      <c r="Y424" s="1485"/>
      <c r="Z424" s="1485"/>
      <c r="AA424" s="1485" t="s">
        <v>22</v>
      </c>
      <c r="AB424" s="1485"/>
      <c r="AC424" s="1485"/>
      <c r="AD424" s="1485" t="s">
        <v>22</v>
      </c>
      <c r="AE424" s="1485"/>
      <c r="AF424" s="1485"/>
      <c r="AG424" s="1388" t="s">
        <v>22</v>
      </c>
      <c r="AH424" s="1485"/>
      <c r="AI424" s="1485"/>
      <c r="AJ424" s="1388" t="str">
        <f>+IF(V424="","",IF(V424&gt;=[21]PARÁMETROS!$F$5,"CUMPLE","NO CUMPLE"))</f>
        <v>CUMPLE</v>
      </c>
      <c r="AK424" s="97"/>
    </row>
    <row r="425" spans="1:37" ht="57">
      <c r="A425" s="1615"/>
      <c r="B425" s="1510"/>
      <c r="C425" s="19" t="s">
        <v>638</v>
      </c>
      <c r="D425" s="170">
        <v>283</v>
      </c>
      <c r="E425" s="21" t="s">
        <v>2321</v>
      </c>
      <c r="F425" s="22" t="s">
        <v>448</v>
      </c>
      <c r="G425" s="23" t="s">
        <v>2324</v>
      </c>
      <c r="H425" s="1388" t="s">
        <v>22</v>
      </c>
      <c r="I425" s="1388" t="s">
        <v>22</v>
      </c>
      <c r="J425" s="24">
        <v>1</v>
      </c>
      <c r="K425" s="25">
        <v>39153</v>
      </c>
      <c r="L425" s="25">
        <v>39743</v>
      </c>
      <c r="M425" s="26">
        <f t="shared" si="48"/>
        <v>2008</v>
      </c>
      <c r="N425" s="27">
        <f>+IFERROR(INDEX([21]PARÁMETROS!$B$11:$B$37,MATCH(M425,[21]PARÁMETROS!$A$11:$A$37,0)),"")</f>
        <v>461500</v>
      </c>
      <c r="O425" s="28">
        <v>1467948717</v>
      </c>
      <c r="P425" s="29" t="s">
        <v>151</v>
      </c>
      <c r="Q425" s="19" t="s">
        <v>140</v>
      </c>
      <c r="R425" s="30" t="s">
        <v>140</v>
      </c>
      <c r="S425" s="31">
        <v>1</v>
      </c>
      <c r="T425" s="27">
        <f t="shared" si="49"/>
        <v>1467948717</v>
      </c>
      <c r="U425" s="16">
        <f t="shared" si="50"/>
        <v>3180.8206218851569</v>
      </c>
      <c r="V425" s="16">
        <f t="shared" si="51"/>
        <v>3180.8206218851569</v>
      </c>
      <c r="W425" s="208">
        <v>1</v>
      </c>
      <c r="X425" s="1485" t="s">
        <v>129</v>
      </c>
      <c r="Y425" s="1485"/>
      <c r="Z425" s="1485"/>
      <c r="AA425" s="1485" t="s">
        <v>22</v>
      </c>
      <c r="AB425" s="1485"/>
      <c r="AC425" s="1485"/>
      <c r="AD425" s="1485" t="s">
        <v>22</v>
      </c>
      <c r="AE425" s="1485"/>
      <c r="AF425" s="1485"/>
      <c r="AG425" s="1388" t="s">
        <v>22</v>
      </c>
      <c r="AH425" s="1485"/>
      <c r="AI425" s="1485"/>
      <c r="AJ425" s="1388" t="str">
        <f>+IF(V425="","",IF(V425&gt;=[21]PARÁMETROS!$F$5,"CUMPLE","NO CUMPLE"))</f>
        <v>CUMPLE</v>
      </c>
      <c r="AK425" s="97"/>
    </row>
    <row r="426" spans="1:37" ht="57.75" thickBot="1">
      <c r="A426" s="1615"/>
      <c r="B426" s="1511"/>
      <c r="C426" s="99" t="s">
        <v>638</v>
      </c>
      <c r="D426" s="178">
        <v>294</v>
      </c>
      <c r="E426" s="101" t="s">
        <v>2321</v>
      </c>
      <c r="F426" s="102" t="s">
        <v>2322</v>
      </c>
      <c r="G426" s="103" t="s">
        <v>2325</v>
      </c>
      <c r="H426" s="1392" t="s">
        <v>22</v>
      </c>
      <c r="I426" s="1392" t="s">
        <v>22</v>
      </c>
      <c r="J426" s="104">
        <v>0.95</v>
      </c>
      <c r="K426" s="105">
        <v>41799</v>
      </c>
      <c r="L426" s="105" t="s">
        <v>2307</v>
      </c>
      <c r="M426" s="106">
        <v>2015</v>
      </c>
      <c r="N426" s="107">
        <f>+IFERROR(INDEX([21]PARÁMETROS!$B$11:$B$37,MATCH(M426,[21]PARÁMETROS!$A$11:$A$37,0)),"")</f>
        <v>644350</v>
      </c>
      <c r="O426" s="108">
        <v>1834324974</v>
      </c>
      <c r="P426" s="109" t="s">
        <v>151</v>
      </c>
      <c r="Q426" s="99" t="s">
        <v>140</v>
      </c>
      <c r="R426" s="110" t="s">
        <v>140</v>
      </c>
      <c r="S426" s="111">
        <v>1</v>
      </c>
      <c r="T426" s="107">
        <f t="shared" si="49"/>
        <v>1834324974</v>
      </c>
      <c r="U426" s="112">
        <f t="shared" si="50"/>
        <v>2846.783540001552</v>
      </c>
      <c r="V426" s="112">
        <f t="shared" si="51"/>
        <v>2704.4443630014744</v>
      </c>
      <c r="W426" s="213" t="s">
        <v>140</v>
      </c>
      <c r="X426" s="1486"/>
      <c r="Y426" s="1486"/>
      <c r="Z426" s="1486"/>
      <c r="AA426" s="1486"/>
      <c r="AB426" s="1486"/>
      <c r="AC426" s="1486"/>
      <c r="AD426" s="1486"/>
      <c r="AE426" s="1486"/>
      <c r="AF426" s="1486"/>
      <c r="AG426" s="1392"/>
      <c r="AH426" s="1486"/>
      <c r="AI426" s="1486"/>
      <c r="AJ426" s="1392" t="str">
        <f>+IF(V426="","",IF(V426&gt;=[21]PARÁMETROS!$F$5,"CUMPLE","NO CUMPLE"))</f>
        <v>CUMPLE</v>
      </c>
      <c r="AK426" s="113"/>
    </row>
    <row r="427" spans="1:37" ht="63">
      <c r="A427" s="1615"/>
      <c r="B427" s="1509" t="s">
        <v>1934</v>
      </c>
      <c r="C427" s="81" t="s">
        <v>644</v>
      </c>
      <c r="D427" s="169">
        <v>163</v>
      </c>
      <c r="E427" s="83" t="s">
        <v>2326</v>
      </c>
      <c r="F427" s="84" t="s">
        <v>1797</v>
      </c>
      <c r="G427" s="85" t="s">
        <v>1798</v>
      </c>
      <c r="H427" s="1393" t="s">
        <v>22</v>
      </c>
      <c r="I427" s="1393" t="s">
        <v>22</v>
      </c>
      <c r="J427" s="86">
        <v>1</v>
      </c>
      <c r="K427" s="87">
        <v>37774</v>
      </c>
      <c r="L427" s="87">
        <v>38597</v>
      </c>
      <c r="M427" s="88">
        <v>2005</v>
      </c>
      <c r="N427" s="89">
        <f>+IFERROR(INDEX([21]PARÁMETROS!$B$11:$B$37,MATCH(M427,[21]PARÁMETROS!$A$11:$A$37,0)),"")</f>
        <v>381500</v>
      </c>
      <c r="O427" s="90">
        <v>1207476.71</v>
      </c>
      <c r="P427" s="91" t="s">
        <v>142</v>
      </c>
      <c r="Q427" s="81">
        <v>1.2487999999999999</v>
      </c>
      <c r="R427" s="92">
        <f>+Q427*O427</f>
        <v>1507896.915448</v>
      </c>
      <c r="S427" s="93">
        <v>2298.85</v>
      </c>
      <c r="T427" s="89">
        <f>IF(S427&lt;&gt;"",R427*S427,"")</f>
        <v>3466428824.0776343</v>
      </c>
      <c r="U427" s="94">
        <f t="shared" si="50"/>
        <v>9086.3140867041529</v>
      </c>
      <c r="V427" s="94">
        <f t="shared" si="51"/>
        <v>9086.3140867041529</v>
      </c>
      <c r="W427" s="207">
        <v>23</v>
      </c>
      <c r="X427" s="1484" t="s">
        <v>22</v>
      </c>
      <c r="Y427" s="1484"/>
      <c r="Z427" s="1484"/>
      <c r="AA427" s="1484" t="s">
        <v>22</v>
      </c>
      <c r="AB427" s="1484"/>
      <c r="AC427" s="1484"/>
      <c r="AD427" s="1484" t="s">
        <v>22</v>
      </c>
      <c r="AE427" s="1484"/>
      <c r="AF427" s="1484"/>
      <c r="AG427" s="1393" t="s">
        <v>22</v>
      </c>
      <c r="AH427" s="1484" t="str">
        <f>IF(V427="","",IF(SUM(V427:V432)&gt;=[21]PARÁMETROS!$D$5,"HÁBIL","NO HÁBIL"))</f>
        <v>HÁBIL</v>
      </c>
      <c r="AI427" s="1484" t="str">
        <f>IF(V427="","",IF((V427+V428)&gt;=[21]PARÁMETROS!$H$5,"HÁBIL","NO HÁBIL"))</f>
        <v>HÁBIL</v>
      </c>
      <c r="AJ427" s="1393" t="s">
        <v>245</v>
      </c>
      <c r="AK427" s="96"/>
    </row>
    <row r="428" spans="1:37" ht="63">
      <c r="A428" s="1615"/>
      <c r="B428" s="1510"/>
      <c r="C428" s="19" t="s">
        <v>644</v>
      </c>
      <c r="D428" s="170">
        <v>168</v>
      </c>
      <c r="E428" s="21" t="s">
        <v>2326</v>
      </c>
      <c r="F428" s="22" t="s">
        <v>1797</v>
      </c>
      <c r="G428" s="23" t="s">
        <v>1799</v>
      </c>
      <c r="H428" s="1388" t="s">
        <v>22</v>
      </c>
      <c r="I428" s="1388" t="s">
        <v>22</v>
      </c>
      <c r="J428" s="24">
        <v>1</v>
      </c>
      <c r="K428" s="25">
        <v>39329</v>
      </c>
      <c r="L428" s="25">
        <v>40578</v>
      </c>
      <c r="M428" s="26">
        <v>2011</v>
      </c>
      <c r="N428" s="27">
        <f>+IFERROR(INDEX([21]PARÁMETROS!$B$11:$B$37,MATCH(M428,[21]PARÁMETROS!$A$11:$A$37,0)),"")</f>
        <v>535600</v>
      </c>
      <c r="O428" s="28">
        <v>1551350.29</v>
      </c>
      <c r="P428" s="29" t="s">
        <v>142</v>
      </c>
      <c r="Q428" s="19">
        <v>1.3747400000000001</v>
      </c>
      <c r="R428" s="30">
        <f>+Q428*O428</f>
        <v>2132703.2976746</v>
      </c>
      <c r="S428" s="31">
        <v>1863.03</v>
      </c>
      <c r="T428" s="27">
        <f>IF(S428&lt;&gt;"",R428*S428,"")</f>
        <v>3973290224.6667099</v>
      </c>
      <c r="U428" s="16">
        <f t="shared" si="50"/>
        <v>7418.3910094598768</v>
      </c>
      <c r="V428" s="16">
        <f t="shared" si="51"/>
        <v>7418.3910094598768</v>
      </c>
      <c r="W428" s="208">
        <v>21</v>
      </c>
      <c r="X428" s="1485" t="s">
        <v>22</v>
      </c>
      <c r="Y428" s="1485"/>
      <c r="Z428" s="1485"/>
      <c r="AA428" s="1485" t="s">
        <v>22</v>
      </c>
      <c r="AB428" s="1485"/>
      <c r="AC428" s="1485"/>
      <c r="AD428" s="1485" t="s">
        <v>22</v>
      </c>
      <c r="AE428" s="1485"/>
      <c r="AF428" s="1485"/>
      <c r="AG428" s="1388" t="s">
        <v>22</v>
      </c>
      <c r="AH428" s="1485"/>
      <c r="AI428" s="1485"/>
      <c r="AJ428" s="1388" t="s">
        <v>245</v>
      </c>
      <c r="AK428" s="97"/>
    </row>
    <row r="429" spans="1:37" ht="85.5">
      <c r="A429" s="1615"/>
      <c r="B429" s="1510"/>
      <c r="C429" s="19" t="s">
        <v>658</v>
      </c>
      <c r="D429" s="170">
        <v>209</v>
      </c>
      <c r="E429" s="21" t="s">
        <v>2327</v>
      </c>
      <c r="F429" s="22" t="s">
        <v>949</v>
      </c>
      <c r="G429" s="23" t="s">
        <v>1800</v>
      </c>
      <c r="H429" s="1388" t="s">
        <v>22</v>
      </c>
      <c r="I429" s="1388" t="s">
        <v>22</v>
      </c>
      <c r="J429" s="24">
        <v>0.75</v>
      </c>
      <c r="K429" s="25">
        <v>38684</v>
      </c>
      <c r="L429" s="25">
        <v>39690</v>
      </c>
      <c r="M429" s="26">
        <v>2008</v>
      </c>
      <c r="N429" s="27">
        <v>461500</v>
      </c>
      <c r="O429" s="28">
        <v>1688370055.5</v>
      </c>
      <c r="P429" s="29" t="s">
        <v>1801</v>
      </c>
      <c r="Q429" s="19" t="s">
        <v>140</v>
      </c>
      <c r="R429" s="30" t="s">
        <v>140</v>
      </c>
      <c r="S429" s="31">
        <v>1</v>
      </c>
      <c r="T429" s="27">
        <v>1688370055.5</v>
      </c>
      <c r="U429" s="16">
        <v>3658.4399902491873</v>
      </c>
      <c r="V429" s="16">
        <v>2743.8299926868904</v>
      </c>
      <c r="W429" s="208">
        <v>5</v>
      </c>
      <c r="X429" s="1485" t="s">
        <v>22</v>
      </c>
      <c r="Y429" s="1485"/>
      <c r="Z429" s="1485"/>
      <c r="AA429" s="1485" t="s">
        <v>22</v>
      </c>
      <c r="AB429" s="1485"/>
      <c r="AC429" s="1485"/>
      <c r="AD429" s="1485" t="s">
        <v>22</v>
      </c>
      <c r="AE429" s="1485"/>
      <c r="AF429" s="1485"/>
      <c r="AG429" s="1388" t="s">
        <v>22</v>
      </c>
      <c r="AH429" s="1485"/>
      <c r="AI429" s="1485"/>
      <c r="AJ429" s="1388" t="str">
        <f>+IF(V429="","",IF(V429&gt;=[21]PARÁMETROS!$F$5,"CUMPLE","NO CUMPLE"))</f>
        <v>CUMPLE</v>
      </c>
      <c r="AK429" s="121"/>
    </row>
    <row r="430" spans="1:37" ht="99.75">
      <c r="A430" s="1615"/>
      <c r="B430" s="1510"/>
      <c r="C430" s="19" t="s">
        <v>653</v>
      </c>
      <c r="D430" s="170">
        <v>255</v>
      </c>
      <c r="E430" s="21" t="s">
        <v>2328</v>
      </c>
      <c r="F430" s="22" t="s">
        <v>1674</v>
      </c>
      <c r="G430" s="23" t="s">
        <v>1804</v>
      </c>
      <c r="H430" s="1388" t="s">
        <v>22</v>
      </c>
      <c r="I430" s="1388" t="s">
        <v>22</v>
      </c>
      <c r="J430" s="24">
        <v>0.51</v>
      </c>
      <c r="K430" s="25">
        <v>38770</v>
      </c>
      <c r="L430" s="25">
        <v>39778</v>
      </c>
      <c r="M430" s="26">
        <v>2008</v>
      </c>
      <c r="N430" s="27">
        <v>461500</v>
      </c>
      <c r="O430" s="28">
        <v>3501850677</v>
      </c>
      <c r="P430" s="29" t="s">
        <v>1801</v>
      </c>
      <c r="Q430" s="19" t="s">
        <v>140</v>
      </c>
      <c r="R430" s="30" t="s">
        <v>140</v>
      </c>
      <c r="S430" s="31">
        <v>1</v>
      </c>
      <c r="T430" s="27">
        <v>3501850677</v>
      </c>
      <c r="U430" s="16">
        <v>7587.9754647887321</v>
      </c>
      <c r="V430" s="16">
        <v>3869.8674870422533</v>
      </c>
      <c r="W430" s="208">
        <v>3</v>
      </c>
      <c r="X430" s="1485" t="s">
        <v>22</v>
      </c>
      <c r="Y430" s="1485"/>
      <c r="Z430" s="1485"/>
      <c r="AA430" s="1485" t="s">
        <v>22</v>
      </c>
      <c r="AB430" s="1485"/>
      <c r="AC430" s="1485"/>
      <c r="AD430" s="1485" t="s">
        <v>22</v>
      </c>
      <c r="AE430" s="1485"/>
      <c r="AF430" s="1485"/>
      <c r="AG430" s="1388" t="s">
        <v>22</v>
      </c>
      <c r="AH430" s="1485"/>
      <c r="AI430" s="1485"/>
      <c r="AJ430" s="1388" t="str">
        <f>+IF(V430="","",IF(V430&gt;=[21]PARÁMETROS!$F$5,"CUMPLE","NO CUMPLE"))</f>
        <v>CUMPLE</v>
      </c>
      <c r="AK430" s="97"/>
    </row>
    <row r="431" spans="1:37" ht="99.75">
      <c r="A431" s="1615"/>
      <c r="B431" s="1510"/>
      <c r="C431" s="19" t="s">
        <v>653</v>
      </c>
      <c r="D431" s="170">
        <v>321</v>
      </c>
      <c r="E431" s="21" t="s">
        <v>2328</v>
      </c>
      <c r="F431" s="22" t="s">
        <v>1217</v>
      </c>
      <c r="G431" s="23" t="s">
        <v>1805</v>
      </c>
      <c r="H431" s="1388" t="s">
        <v>22</v>
      </c>
      <c r="I431" s="1388" t="s">
        <v>22</v>
      </c>
      <c r="J431" s="24">
        <v>1</v>
      </c>
      <c r="K431" s="25">
        <v>40444</v>
      </c>
      <c r="L431" s="25">
        <v>41173</v>
      </c>
      <c r="M431" s="26">
        <v>2012</v>
      </c>
      <c r="N431" s="27">
        <v>566700</v>
      </c>
      <c r="O431" s="28">
        <v>3241542005</v>
      </c>
      <c r="P431" s="29" t="s">
        <v>1801</v>
      </c>
      <c r="Q431" s="19" t="s">
        <v>140</v>
      </c>
      <c r="R431" s="30" t="s">
        <v>140</v>
      </c>
      <c r="S431" s="31">
        <v>1</v>
      </c>
      <c r="T431" s="27">
        <v>3241542005</v>
      </c>
      <c r="U431" s="16">
        <v>5720.0317716604904</v>
      </c>
      <c r="V431" s="16">
        <v>5720.0317716604904</v>
      </c>
      <c r="W431" s="208">
        <v>32</v>
      </c>
      <c r="X431" s="1485" t="s">
        <v>22</v>
      </c>
      <c r="Y431" s="1485"/>
      <c r="Z431" s="1485"/>
      <c r="AA431" s="1485" t="s">
        <v>22</v>
      </c>
      <c r="AB431" s="1485"/>
      <c r="AC431" s="1485"/>
      <c r="AD431" s="1485" t="s">
        <v>22</v>
      </c>
      <c r="AE431" s="1485"/>
      <c r="AF431" s="1485"/>
      <c r="AG431" s="1388" t="s">
        <v>22</v>
      </c>
      <c r="AH431" s="1485"/>
      <c r="AI431" s="1485"/>
      <c r="AJ431" s="1388" t="str">
        <f>+IF(V431="","",IF(V431&gt;=[21]PARÁMETROS!$F$5,"CUMPLE","NO CUMPLE"))</f>
        <v>CUMPLE</v>
      </c>
      <c r="AK431" s="97"/>
    </row>
    <row r="432" spans="1:37" ht="86.25" thickBot="1">
      <c r="A432" s="1615"/>
      <c r="B432" s="1511"/>
      <c r="C432" s="99" t="s">
        <v>653</v>
      </c>
      <c r="D432" s="178">
        <v>387</v>
      </c>
      <c r="E432" s="101" t="s">
        <v>2328</v>
      </c>
      <c r="F432" s="102" t="s">
        <v>1806</v>
      </c>
      <c r="G432" s="103" t="s">
        <v>1807</v>
      </c>
      <c r="H432" s="1392" t="s">
        <v>22</v>
      </c>
      <c r="I432" s="1392" t="s">
        <v>22</v>
      </c>
      <c r="J432" s="104">
        <v>1</v>
      </c>
      <c r="K432" s="105">
        <v>36910</v>
      </c>
      <c r="L432" s="105">
        <v>38050</v>
      </c>
      <c r="M432" s="106">
        <v>2004</v>
      </c>
      <c r="N432" s="107">
        <v>358000</v>
      </c>
      <c r="O432" s="108">
        <v>913974294</v>
      </c>
      <c r="P432" s="109" t="s">
        <v>1801</v>
      </c>
      <c r="Q432" s="99" t="s">
        <v>140</v>
      </c>
      <c r="R432" s="110" t="s">
        <v>140</v>
      </c>
      <c r="S432" s="111">
        <v>1</v>
      </c>
      <c r="T432" s="107">
        <v>913974294</v>
      </c>
      <c r="U432" s="112">
        <v>2553.0008212290504</v>
      </c>
      <c r="V432" s="112">
        <v>2553.0008212290504</v>
      </c>
      <c r="W432" s="213">
        <v>14</v>
      </c>
      <c r="X432" s="1486" t="s">
        <v>22</v>
      </c>
      <c r="Y432" s="1486"/>
      <c r="Z432" s="1486"/>
      <c r="AA432" s="1486" t="s">
        <v>22</v>
      </c>
      <c r="AB432" s="1486"/>
      <c r="AC432" s="1486"/>
      <c r="AD432" s="1486" t="s">
        <v>22</v>
      </c>
      <c r="AE432" s="1486"/>
      <c r="AF432" s="1486"/>
      <c r="AG432" s="1392" t="s">
        <v>22</v>
      </c>
      <c r="AH432" s="1486"/>
      <c r="AI432" s="1486"/>
      <c r="AJ432" s="1392" t="str">
        <f>+IF(V432="","",IF(V432&gt;=[21]PARÁMETROS!$F$5,"CUMPLE","NO CUMPLE"))</f>
        <v>CUMPLE</v>
      </c>
      <c r="AK432" s="113"/>
    </row>
    <row r="433" spans="1:37" ht="71.25">
      <c r="A433" s="1615"/>
      <c r="B433" s="1509" t="s">
        <v>1941</v>
      </c>
      <c r="C433" s="81" t="s">
        <v>1942</v>
      </c>
      <c r="D433" s="169">
        <v>127</v>
      </c>
      <c r="E433" s="83" t="s">
        <v>2329</v>
      </c>
      <c r="F433" s="84" t="s">
        <v>2330</v>
      </c>
      <c r="G433" s="85" t="s">
        <v>2331</v>
      </c>
      <c r="H433" s="1393" t="s">
        <v>22</v>
      </c>
      <c r="I433" s="1393" t="s">
        <v>22</v>
      </c>
      <c r="J433" s="86">
        <v>1</v>
      </c>
      <c r="K433" s="87">
        <v>37201</v>
      </c>
      <c r="L433" s="87">
        <v>38173</v>
      </c>
      <c r="M433" s="88">
        <f t="shared" si="48"/>
        <v>2004</v>
      </c>
      <c r="N433" s="89">
        <f>+IFERROR(INDEX([21]PARÁMETROS!$B$11:$B$37,MATCH(M433,[21]PARÁMETROS!$A$11:$A$37,0)),"")</f>
        <v>358000</v>
      </c>
      <c r="O433" s="90">
        <v>1561333.21</v>
      </c>
      <c r="P433" s="91" t="s">
        <v>142</v>
      </c>
      <c r="Q433" s="81">
        <v>1.2318</v>
      </c>
      <c r="R433" s="92">
        <f>+Q433*O433</f>
        <v>1923250.248078</v>
      </c>
      <c r="S433" s="93">
        <v>2674.1</v>
      </c>
      <c r="T433" s="89">
        <f>+R433*S433</f>
        <v>5142963488.3853798</v>
      </c>
      <c r="U433" s="94">
        <f t="shared" si="50"/>
        <v>14365.819799959161</v>
      </c>
      <c r="V433" s="94">
        <f t="shared" si="51"/>
        <v>14365.819799959161</v>
      </c>
      <c r="W433" s="207">
        <v>70</v>
      </c>
      <c r="X433" s="1484" t="s">
        <v>22</v>
      </c>
      <c r="Y433" s="1484"/>
      <c r="Z433" s="1484"/>
      <c r="AA433" s="1484" t="s">
        <v>22</v>
      </c>
      <c r="AB433" s="1484"/>
      <c r="AC433" s="1484"/>
      <c r="AD433" s="1484" t="s">
        <v>22</v>
      </c>
      <c r="AE433" s="1484"/>
      <c r="AF433" s="1484"/>
      <c r="AG433" s="1393" t="s">
        <v>22</v>
      </c>
      <c r="AH433" s="1484" t="str">
        <f>IF(V433="","",IF(SUM(V433:V435)&gt;=[21]PARÁMETROS!$D$5,"HÁBIL","NO HÁBIL"))</f>
        <v>HÁBIL</v>
      </c>
      <c r="AI433" s="1484" t="str">
        <f>IF(V433="","",IF((V433+V434)&gt;=[21]PARÁMETROS!$H$5,"HÁBIL","NO HÁBIL"))</f>
        <v>HÁBIL</v>
      </c>
      <c r="AJ433" s="1393" t="str">
        <f>+IF(V433="","",IF(V433&gt;=[21]PARÁMETROS!$F$5,"CUMPLE","NO CUMPLE"))</f>
        <v>CUMPLE</v>
      </c>
      <c r="AK433" s="96"/>
    </row>
    <row r="434" spans="1:37" ht="71.25">
      <c r="A434" s="1615"/>
      <c r="B434" s="1510"/>
      <c r="C434" s="19" t="s">
        <v>1942</v>
      </c>
      <c r="D434" s="170">
        <v>138</v>
      </c>
      <c r="E434" s="21" t="s">
        <v>2329</v>
      </c>
      <c r="F434" s="22" t="s">
        <v>2330</v>
      </c>
      <c r="G434" s="23" t="s">
        <v>2332</v>
      </c>
      <c r="H434" s="1388" t="s">
        <v>22</v>
      </c>
      <c r="I434" s="1388" t="s">
        <v>22</v>
      </c>
      <c r="J434" s="24">
        <v>1</v>
      </c>
      <c r="K434" s="25">
        <v>39525</v>
      </c>
      <c r="L434" s="25">
        <v>41580</v>
      </c>
      <c r="M434" s="26">
        <f t="shared" si="48"/>
        <v>2013</v>
      </c>
      <c r="N434" s="27">
        <f>+IFERROR(INDEX([21]PARÁMETROS!$B$11:$B$37,MATCH(M434,[21]PARÁMETROS!$A$11:$A$37,0)),"")</f>
        <v>589500</v>
      </c>
      <c r="O434" s="28">
        <v>1562052.61</v>
      </c>
      <c r="P434" s="29" t="s">
        <v>142</v>
      </c>
      <c r="Q434" s="19">
        <v>1.3530599999999999</v>
      </c>
      <c r="R434" s="30">
        <f>+Q434*O434</f>
        <v>2113550.9044865998</v>
      </c>
      <c r="S434" s="31">
        <v>1901.22</v>
      </c>
      <c r="T434" s="27">
        <f>+R434*S434</f>
        <v>4018325250.6280136</v>
      </c>
      <c r="U434" s="16">
        <f t="shared" si="50"/>
        <v>6816.4974565360708</v>
      </c>
      <c r="V434" s="16">
        <f t="shared" si="51"/>
        <v>6816.4974565360708</v>
      </c>
      <c r="W434" s="208">
        <v>5</v>
      </c>
      <c r="X434" s="1485" t="s">
        <v>22</v>
      </c>
      <c r="Y434" s="1485"/>
      <c r="Z434" s="1485"/>
      <c r="AA434" s="1485" t="s">
        <v>22</v>
      </c>
      <c r="AB434" s="1485"/>
      <c r="AC434" s="1485"/>
      <c r="AD434" s="1485" t="s">
        <v>22</v>
      </c>
      <c r="AE434" s="1485"/>
      <c r="AF434" s="1485"/>
      <c r="AG434" s="1388" t="s">
        <v>22</v>
      </c>
      <c r="AH434" s="1485"/>
      <c r="AI434" s="1485"/>
      <c r="AJ434" s="1388" t="str">
        <f>+IF(V434="","",IF(V434&gt;=[21]PARÁMETROS!$F$5,"CUMPLE","NO CUMPLE"))</f>
        <v>CUMPLE</v>
      </c>
      <c r="AK434" s="97"/>
    </row>
    <row r="435" spans="1:37" ht="72" thickBot="1">
      <c r="A435" s="1615"/>
      <c r="B435" s="1511"/>
      <c r="C435" s="99" t="s">
        <v>1944</v>
      </c>
      <c r="D435" s="178">
        <v>145</v>
      </c>
      <c r="E435" s="101" t="s">
        <v>2333</v>
      </c>
      <c r="F435" s="102" t="s">
        <v>2330</v>
      </c>
      <c r="G435" s="103" t="s">
        <v>2334</v>
      </c>
      <c r="H435" s="1392" t="s">
        <v>22</v>
      </c>
      <c r="I435" s="1392" t="s">
        <v>22</v>
      </c>
      <c r="J435" s="104">
        <v>0.5</v>
      </c>
      <c r="K435" s="105">
        <v>35586</v>
      </c>
      <c r="L435" s="105">
        <v>37053</v>
      </c>
      <c r="M435" s="106">
        <f t="shared" si="48"/>
        <v>2001</v>
      </c>
      <c r="N435" s="107">
        <f>+IFERROR(INDEX([21]PARÁMETROS!$B$11:$B$37,MATCH(M435,[21]PARÁMETROS!$A$11:$A$37,0)),"")</f>
        <v>286000</v>
      </c>
      <c r="O435" s="108">
        <v>2678981.1</v>
      </c>
      <c r="P435" s="109" t="s">
        <v>142</v>
      </c>
      <c r="Q435" s="99">
        <v>0.84975000000000001</v>
      </c>
      <c r="R435" s="110">
        <f>+Q435*O435</f>
        <v>2276464.1897249999</v>
      </c>
      <c r="S435" s="111">
        <v>2296.31</v>
      </c>
      <c r="T435" s="107">
        <f>IF(S435&lt;&gt;"",R435*S435,"")</f>
        <v>5227467483.5074148</v>
      </c>
      <c r="U435" s="112">
        <f>+IFERROR(T435/N435,"")</f>
        <v>18277.858333942011</v>
      </c>
      <c r="V435" s="112">
        <f t="shared" si="51"/>
        <v>9138.9291669710055</v>
      </c>
      <c r="W435" s="213">
        <v>1</v>
      </c>
      <c r="X435" s="1486" t="s">
        <v>22</v>
      </c>
      <c r="Y435" s="1486"/>
      <c r="Z435" s="1486"/>
      <c r="AA435" s="1486" t="s">
        <v>22</v>
      </c>
      <c r="AB435" s="1486"/>
      <c r="AC435" s="1486"/>
      <c r="AD435" s="1486" t="s">
        <v>22</v>
      </c>
      <c r="AE435" s="1486"/>
      <c r="AF435" s="1486"/>
      <c r="AG435" s="1392" t="s">
        <v>22</v>
      </c>
      <c r="AH435" s="1486"/>
      <c r="AI435" s="1486"/>
      <c r="AJ435" s="1392" t="s">
        <v>2196</v>
      </c>
      <c r="AK435" s="113"/>
    </row>
    <row r="436" spans="1:37" ht="57">
      <c r="A436" s="1615"/>
      <c r="B436" s="1509" t="s">
        <v>1950</v>
      </c>
      <c r="C436" s="81" t="s">
        <v>1951</v>
      </c>
      <c r="D436" s="169">
        <v>111</v>
      </c>
      <c r="E436" s="83" t="s">
        <v>2335</v>
      </c>
      <c r="F436" s="84" t="s">
        <v>1035</v>
      </c>
      <c r="G436" s="85" t="s">
        <v>2336</v>
      </c>
      <c r="H436" s="1393" t="s">
        <v>22</v>
      </c>
      <c r="I436" s="1393" t="s">
        <v>22</v>
      </c>
      <c r="J436" s="86">
        <v>1</v>
      </c>
      <c r="K436" s="87">
        <v>34743</v>
      </c>
      <c r="L436" s="87">
        <v>35291</v>
      </c>
      <c r="M436" s="88">
        <f t="shared" si="48"/>
        <v>1996</v>
      </c>
      <c r="N436" s="89">
        <f>+IFERROR(INDEX([21]PARÁMETROS!$B$11:$B$37,MATCH(M436,[21]PARÁMETROS!$A$11:$A$37,0)),"")</f>
        <v>142125</v>
      </c>
      <c r="O436" s="90">
        <v>602820317.29999995</v>
      </c>
      <c r="P436" s="91" t="s">
        <v>1801</v>
      </c>
      <c r="Q436" s="81" t="s">
        <v>140</v>
      </c>
      <c r="R436" s="92" t="s">
        <v>140</v>
      </c>
      <c r="S436" s="93">
        <v>1</v>
      </c>
      <c r="T436" s="89">
        <f t="shared" si="49"/>
        <v>602820317.29999995</v>
      </c>
      <c r="U436" s="94">
        <f t="shared" si="50"/>
        <v>4241.479805101143</v>
      </c>
      <c r="V436" s="94">
        <f t="shared" si="51"/>
        <v>4241.479805101143</v>
      </c>
      <c r="W436" s="207">
        <v>1</v>
      </c>
      <c r="X436" s="1484" t="s">
        <v>22</v>
      </c>
      <c r="Y436" s="1484"/>
      <c r="Z436" s="1484"/>
      <c r="AA436" s="1484" t="s">
        <v>129</v>
      </c>
      <c r="AB436" s="1484"/>
      <c r="AC436" s="1484"/>
      <c r="AD436" s="1484" t="s">
        <v>22</v>
      </c>
      <c r="AE436" s="1484"/>
      <c r="AF436" s="1484"/>
      <c r="AG436" s="1393" t="s">
        <v>22</v>
      </c>
      <c r="AH436" s="1484" t="str">
        <f>IF(V436="","",IF(SUM(V436:V439)&gt;=[21]PARÁMETROS!$D$5,"HÁBIL","NO HÁBIL"))</f>
        <v>HÁBIL</v>
      </c>
      <c r="AI436" s="1484" t="str">
        <f>IF(V436="","",IF((V436+V437+V438)&gt;=[21]PARÁMETROS!$H$5,"HÁBIL","NO HÁBIL"))</f>
        <v>HÁBIL</v>
      </c>
      <c r="AJ436" s="1393" t="str">
        <f>+IF(V436="","",IF(V436&gt;=[21]PARÁMETROS!$F$5,"CUMPLE","NO CUMPLE"))</f>
        <v>CUMPLE</v>
      </c>
      <c r="AK436" s="96"/>
    </row>
    <row r="437" spans="1:37" ht="57">
      <c r="A437" s="1615"/>
      <c r="B437" s="1510"/>
      <c r="C437" s="19" t="s">
        <v>1951</v>
      </c>
      <c r="D437" s="170">
        <v>119</v>
      </c>
      <c r="E437" s="21" t="s">
        <v>2335</v>
      </c>
      <c r="F437" s="22" t="s">
        <v>1035</v>
      </c>
      <c r="G437" s="23" t="s">
        <v>2337</v>
      </c>
      <c r="H437" s="1388" t="s">
        <v>22</v>
      </c>
      <c r="I437" s="1388" t="s">
        <v>22</v>
      </c>
      <c r="J437" s="24">
        <v>1</v>
      </c>
      <c r="K437" s="25">
        <v>34355</v>
      </c>
      <c r="L437" s="25">
        <v>34610</v>
      </c>
      <c r="M437" s="26">
        <f t="shared" si="48"/>
        <v>1994</v>
      </c>
      <c r="N437" s="27">
        <f>+IFERROR(INDEX([21]PARÁMETROS!$B$11:$B$37,MATCH(M437,[21]PARÁMETROS!$A$11:$A$37,0)),"")</f>
        <v>98700</v>
      </c>
      <c r="O437" s="28">
        <v>320063303</v>
      </c>
      <c r="P437" s="29" t="s">
        <v>1801</v>
      </c>
      <c r="Q437" s="19" t="s">
        <v>140</v>
      </c>
      <c r="R437" s="30" t="s">
        <v>140</v>
      </c>
      <c r="S437" s="31">
        <v>1</v>
      </c>
      <c r="T437" s="27">
        <f t="shared" si="49"/>
        <v>320063303</v>
      </c>
      <c r="U437" s="16">
        <f t="shared" si="50"/>
        <v>3242.789290780142</v>
      </c>
      <c r="V437" s="16">
        <f t="shared" si="51"/>
        <v>3242.789290780142</v>
      </c>
      <c r="W437" s="208">
        <v>2</v>
      </c>
      <c r="X437" s="1485" t="s">
        <v>22</v>
      </c>
      <c r="Y437" s="1485"/>
      <c r="Z437" s="1485"/>
      <c r="AA437" s="1485" t="s">
        <v>129</v>
      </c>
      <c r="AB437" s="1485"/>
      <c r="AC437" s="1485"/>
      <c r="AD437" s="1485" t="s">
        <v>22</v>
      </c>
      <c r="AE437" s="1485"/>
      <c r="AF437" s="1485"/>
      <c r="AG437" s="1388" t="s">
        <v>22</v>
      </c>
      <c r="AH437" s="1485"/>
      <c r="AI437" s="1485"/>
      <c r="AJ437" s="1388" t="str">
        <f>+IF(V437="","",IF(V437&gt;=[21]PARÁMETROS!$F$5,"CUMPLE","NO CUMPLE"))</f>
        <v>CUMPLE</v>
      </c>
      <c r="AK437" s="97"/>
    </row>
    <row r="438" spans="1:37" ht="57">
      <c r="A438" s="1615"/>
      <c r="B438" s="1510"/>
      <c r="C438" s="19" t="s">
        <v>1951</v>
      </c>
      <c r="D438" s="170">
        <v>128</v>
      </c>
      <c r="E438" s="21" t="s">
        <v>2335</v>
      </c>
      <c r="F438" s="22" t="s">
        <v>2338</v>
      </c>
      <c r="G438" s="23" t="s">
        <v>2339</v>
      </c>
      <c r="H438" s="1388" t="s">
        <v>22</v>
      </c>
      <c r="I438" s="1388" t="s">
        <v>22</v>
      </c>
      <c r="J438" s="24">
        <v>0.5</v>
      </c>
      <c r="K438" s="25">
        <v>38338</v>
      </c>
      <c r="L438" s="25">
        <v>40296</v>
      </c>
      <c r="M438" s="26">
        <f t="shared" si="48"/>
        <v>2010</v>
      </c>
      <c r="N438" s="27">
        <f>+IFERROR(INDEX([21]PARÁMETROS!$B$11:$B$37,MATCH(M438,[21]PARÁMETROS!$A$11:$A$37,0)),"")</f>
        <v>515000</v>
      </c>
      <c r="O438" s="28">
        <v>5611997439</v>
      </c>
      <c r="P438" s="29" t="s">
        <v>1801</v>
      </c>
      <c r="Q438" s="19" t="s">
        <v>140</v>
      </c>
      <c r="R438" s="30" t="s">
        <v>140</v>
      </c>
      <c r="S438" s="31">
        <v>1</v>
      </c>
      <c r="T438" s="27">
        <f t="shared" si="49"/>
        <v>5611997439</v>
      </c>
      <c r="U438" s="16">
        <f t="shared" si="50"/>
        <v>10897.082405825242</v>
      </c>
      <c r="V438" s="16">
        <f t="shared" si="51"/>
        <v>5448.541202912621</v>
      </c>
      <c r="W438" s="208">
        <v>11</v>
      </c>
      <c r="X438" s="1485" t="s">
        <v>22</v>
      </c>
      <c r="Y438" s="1485"/>
      <c r="Z438" s="1485"/>
      <c r="AA438" s="1485" t="s">
        <v>129</v>
      </c>
      <c r="AB438" s="1485"/>
      <c r="AC438" s="1485"/>
      <c r="AD438" s="1485" t="s">
        <v>22</v>
      </c>
      <c r="AE438" s="1485"/>
      <c r="AF438" s="1485"/>
      <c r="AG438" s="1388" t="s">
        <v>22</v>
      </c>
      <c r="AH438" s="1485"/>
      <c r="AI438" s="1485"/>
      <c r="AJ438" s="1388" t="str">
        <f>+IF(V438="","",IF(V438&gt;=[21]PARÁMETROS!$F$5,"CUMPLE","NO CUMPLE"))</f>
        <v>CUMPLE</v>
      </c>
      <c r="AK438" s="97"/>
    </row>
    <row r="439" spans="1:37" ht="57.75" thickBot="1">
      <c r="A439" s="1615"/>
      <c r="B439" s="1511"/>
      <c r="C439" s="99" t="s">
        <v>1958</v>
      </c>
      <c r="D439" s="178">
        <v>134</v>
      </c>
      <c r="E439" s="101" t="s">
        <v>2340</v>
      </c>
      <c r="F439" s="102" t="s">
        <v>1785</v>
      </c>
      <c r="G439" s="103" t="s">
        <v>1786</v>
      </c>
      <c r="H439" s="1392" t="s">
        <v>22</v>
      </c>
      <c r="I439" s="1392" t="s">
        <v>22</v>
      </c>
      <c r="J439" s="104">
        <v>0.95</v>
      </c>
      <c r="K439" s="105">
        <v>41815</v>
      </c>
      <c r="L439" s="105" t="s">
        <v>1781</v>
      </c>
      <c r="M439" s="106">
        <v>2015</v>
      </c>
      <c r="N439" s="107">
        <v>644350</v>
      </c>
      <c r="O439" s="108">
        <v>10736226648</v>
      </c>
      <c r="P439" s="109" t="s">
        <v>151</v>
      </c>
      <c r="Q439" s="99" t="s">
        <v>140</v>
      </c>
      <c r="R439" s="110" t="s">
        <v>140</v>
      </c>
      <c r="S439" s="111">
        <v>1</v>
      </c>
      <c r="T439" s="107">
        <v>10736226648</v>
      </c>
      <c r="U439" s="112">
        <v>16662.103900054317</v>
      </c>
      <c r="V439" s="112">
        <v>15828.998705051601</v>
      </c>
      <c r="W439" s="112" t="s">
        <v>140</v>
      </c>
      <c r="X439" s="1486"/>
      <c r="Y439" s="1486"/>
      <c r="Z439" s="1486"/>
      <c r="AA439" s="1486"/>
      <c r="AB439" s="1486"/>
      <c r="AC439" s="1486"/>
      <c r="AD439" s="1486"/>
      <c r="AE439" s="1486"/>
      <c r="AF439" s="1486"/>
      <c r="AG439" s="1392"/>
      <c r="AH439" s="1486"/>
      <c r="AI439" s="1486"/>
      <c r="AJ439" s="1392" t="str">
        <f>+IF(V439="","",IF(V439&gt;=[21]PARÁMETROS!$F$5,"CUMPLE","NO CUMPLE"))</f>
        <v>CUMPLE</v>
      </c>
      <c r="AK439" s="124"/>
    </row>
    <row r="440" spans="1:37" ht="57">
      <c r="A440" s="1615"/>
      <c r="B440" s="1509" t="s">
        <v>2341</v>
      </c>
      <c r="C440" s="81" t="s">
        <v>1972</v>
      </c>
      <c r="D440" s="82">
        <v>198</v>
      </c>
      <c r="E440" s="83" t="s">
        <v>2342</v>
      </c>
      <c r="F440" s="84" t="s">
        <v>155</v>
      </c>
      <c r="G440" s="85" t="s">
        <v>2343</v>
      </c>
      <c r="H440" s="1393" t="s">
        <v>22</v>
      </c>
      <c r="I440" s="1393" t="s">
        <v>22</v>
      </c>
      <c r="J440" s="24">
        <v>1</v>
      </c>
      <c r="K440" s="87">
        <v>38331</v>
      </c>
      <c r="L440" s="87">
        <v>40329</v>
      </c>
      <c r="M440" s="88">
        <f t="shared" ref="M440:M445" si="52">IF(L440="","",YEAR(L440))</f>
        <v>2010</v>
      </c>
      <c r="N440" s="89">
        <f>+IFERROR(INDEX([14]PARÁMETROS!$B$11:$B$37,MATCH(M440,[14]PARÁMETROS!$A$11:$A$37,0)),"")</f>
        <v>515000</v>
      </c>
      <c r="O440" s="90">
        <v>4862658335</v>
      </c>
      <c r="P440" s="91" t="s">
        <v>151</v>
      </c>
      <c r="Q440" s="81" t="s">
        <v>140</v>
      </c>
      <c r="R440" s="92" t="s">
        <v>140</v>
      </c>
      <c r="S440" s="93">
        <v>1</v>
      </c>
      <c r="T440" s="89">
        <f t="shared" ref="T440:T445" si="53">IF(S440&lt;&gt;"",O440*S440,"")</f>
        <v>4862658335</v>
      </c>
      <c r="U440" s="94">
        <f t="shared" ref="U440:U445" si="54">+IFERROR(T440/N440,"")</f>
        <v>9442.0550194174757</v>
      </c>
      <c r="V440" s="94">
        <f t="shared" ref="V440:V445" si="55">IFERROR(U440*J440,"")</f>
        <v>9442.0550194174757</v>
      </c>
      <c r="W440" s="95">
        <v>5</v>
      </c>
      <c r="X440" s="1484" t="s">
        <v>129</v>
      </c>
      <c r="Y440" s="1484"/>
      <c r="Z440" s="1484"/>
      <c r="AA440" s="1484" t="s">
        <v>22</v>
      </c>
      <c r="AB440" s="1484"/>
      <c r="AC440" s="1484"/>
      <c r="AD440" s="1484" t="s">
        <v>22</v>
      </c>
      <c r="AE440" s="1484"/>
      <c r="AF440" s="1484"/>
      <c r="AG440" s="1393" t="s">
        <v>22</v>
      </c>
      <c r="AH440" s="1484" t="str">
        <f>IF(V440="","",IF(SUM(V440:V445)&gt;=[14]PARÁMETROS!$D$5,"HÁBIL","NO HÁBIL"))</f>
        <v>HÁBIL</v>
      </c>
      <c r="AI440" s="1484" t="str">
        <f>IF(V440="","",IF(V440+V441&gt;=[14]PARÁMETROS!$H$5,"HÁBIL","NO HÁBIL"))</f>
        <v>HÁBIL</v>
      </c>
      <c r="AJ440" s="1400" t="str">
        <f>+IF(V440="","",IF(V440&gt;=[14]PARÁMETROS!$F$5,"CUMPLE","NO CUMPLE"))</f>
        <v>CUMPLE</v>
      </c>
      <c r="AK440" s="96"/>
    </row>
    <row r="441" spans="1:37" ht="42.75">
      <c r="A441" s="1615"/>
      <c r="B441" s="1510"/>
      <c r="C441" s="19" t="s">
        <v>1972</v>
      </c>
      <c r="D441" s="20">
        <v>208</v>
      </c>
      <c r="E441" s="21" t="s">
        <v>2342</v>
      </c>
      <c r="F441" s="22" t="s">
        <v>155</v>
      </c>
      <c r="G441" s="22" t="s">
        <v>2344</v>
      </c>
      <c r="H441" s="1388" t="s">
        <v>22</v>
      </c>
      <c r="I441" s="1388" t="s">
        <v>22</v>
      </c>
      <c r="J441" s="24">
        <v>1</v>
      </c>
      <c r="K441" s="25">
        <v>37271</v>
      </c>
      <c r="L441" s="25">
        <v>38292</v>
      </c>
      <c r="M441" s="26">
        <f t="shared" si="52"/>
        <v>2004</v>
      </c>
      <c r="N441" s="27">
        <f>+IFERROR(INDEX([14]PARÁMETROS!$B$11:$B$37,MATCH(M441,[14]PARÁMETROS!$A$11:$A$37,0)),"")</f>
        <v>358000</v>
      </c>
      <c r="O441" s="35">
        <v>2019668213</v>
      </c>
      <c r="P441" s="27" t="s">
        <v>151</v>
      </c>
      <c r="Q441" s="19" t="s">
        <v>140</v>
      </c>
      <c r="R441" s="30" t="s">
        <v>140</v>
      </c>
      <c r="S441" s="31">
        <v>1</v>
      </c>
      <c r="T441" s="27">
        <f t="shared" si="53"/>
        <v>2019668213</v>
      </c>
      <c r="U441" s="16">
        <f t="shared" si="54"/>
        <v>5641.5313212290503</v>
      </c>
      <c r="V441" s="16">
        <f t="shared" si="55"/>
        <v>5641.5313212290503</v>
      </c>
      <c r="W441" s="32">
        <v>18</v>
      </c>
      <c r="X441" s="1485" t="s">
        <v>129</v>
      </c>
      <c r="Y441" s="1485"/>
      <c r="Z441" s="1485"/>
      <c r="AA441" s="1485" t="s">
        <v>22</v>
      </c>
      <c r="AB441" s="1485"/>
      <c r="AC441" s="1485"/>
      <c r="AD441" s="1485" t="s">
        <v>22</v>
      </c>
      <c r="AE441" s="1485"/>
      <c r="AF441" s="1485"/>
      <c r="AG441" s="1388" t="s">
        <v>22</v>
      </c>
      <c r="AH441" s="1485"/>
      <c r="AI441" s="1485"/>
      <c r="AJ441" s="1388" t="str">
        <f>+IF(V441="","",IF(V441&gt;=[14]PARÁMETROS!$F$5,"CUMPLE","NO CUMPLE"))</f>
        <v>CUMPLE</v>
      </c>
      <c r="AK441" s="97"/>
    </row>
    <row r="442" spans="1:37" ht="85.5">
      <c r="A442" s="1615"/>
      <c r="B442" s="1510"/>
      <c r="C442" s="19" t="s">
        <v>1963</v>
      </c>
      <c r="D442" s="20">
        <v>230</v>
      </c>
      <c r="E442" s="21" t="s">
        <v>2345</v>
      </c>
      <c r="F442" s="22" t="s">
        <v>442</v>
      </c>
      <c r="G442" s="23" t="s">
        <v>2346</v>
      </c>
      <c r="H442" s="1388" t="s">
        <v>22</v>
      </c>
      <c r="I442" s="1388" t="s">
        <v>22</v>
      </c>
      <c r="J442" s="24">
        <v>1</v>
      </c>
      <c r="K442" s="25">
        <v>38937</v>
      </c>
      <c r="L442" s="25">
        <v>40305</v>
      </c>
      <c r="M442" s="26">
        <f t="shared" si="52"/>
        <v>2010</v>
      </c>
      <c r="N442" s="27">
        <f>+IFERROR(INDEX([14]PARÁMETROS!$B$11:$B$37,MATCH(M442,[14]PARÁMETROS!$A$11:$A$37,0)),"")</f>
        <v>515000</v>
      </c>
      <c r="O442" s="28">
        <v>2538434857</v>
      </c>
      <c r="P442" s="29" t="s">
        <v>151</v>
      </c>
      <c r="Q442" s="19" t="s">
        <v>140</v>
      </c>
      <c r="R442" s="30" t="s">
        <v>140</v>
      </c>
      <c r="S442" s="31">
        <v>1</v>
      </c>
      <c r="T442" s="27">
        <f t="shared" si="53"/>
        <v>2538434857</v>
      </c>
      <c r="U442" s="16">
        <f t="shared" si="54"/>
        <v>4928.999722330097</v>
      </c>
      <c r="V442" s="16">
        <f t="shared" si="55"/>
        <v>4928.999722330097</v>
      </c>
      <c r="W442" s="32">
        <v>8</v>
      </c>
      <c r="X442" s="1485" t="s">
        <v>22</v>
      </c>
      <c r="Y442" s="1485"/>
      <c r="Z442" s="1485"/>
      <c r="AA442" s="1485" t="s">
        <v>22</v>
      </c>
      <c r="AB442" s="1485"/>
      <c r="AC442" s="1485"/>
      <c r="AD442" s="1485" t="s">
        <v>22</v>
      </c>
      <c r="AE442" s="1485"/>
      <c r="AF442" s="1485"/>
      <c r="AG442" s="1388" t="s">
        <v>22</v>
      </c>
      <c r="AH442" s="1485"/>
      <c r="AI442" s="1485"/>
      <c r="AJ442" s="1388" t="str">
        <f>+IF(V442="","",IF(V442&gt;=[14]PARÁMETROS!$F$5,"CUMPLE","NO CUMPLE"))</f>
        <v>CUMPLE</v>
      </c>
      <c r="AK442" s="98"/>
    </row>
    <row r="443" spans="1:37" ht="47.25">
      <c r="A443" s="1615"/>
      <c r="B443" s="1510"/>
      <c r="C443" s="19" t="s">
        <v>2347</v>
      </c>
      <c r="D443" s="20">
        <v>246</v>
      </c>
      <c r="E443" s="21" t="s">
        <v>2348</v>
      </c>
      <c r="F443" s="22" t="s">
        <v>155</v>
      </c>
      <c r="G443" s="23" t="s">
        <v>2349</v>
      </c>
      <c r="H443" s="1388" t="s">
        <v>22</v>
      </c>
      <c r="I443" s="1388" t="s">
        <v>22</v>
      </c>
      <c r="J443" s="24">
        <v>1</v>
      </c>
      <c r="K443" s="25">
        <v>36992</v>
      </c>
      <c r="L443" s="25">
        <v>37636</v>
      </c>
      <c r="M443" s="26">
        <f t="shared" si="52"/>
        <v>2003</v>
      </c>
      <c r="N443" s="27">
        <f>+IFERROR(INDEX([14]PARÁMETROS!$B$11:$B$37,MATCH(M443,[14]PARÁMETROS!$A$11:$A$37,0)),"")</f>
        <v>332000</v>
      </c>
      <c r="O443" s="28">
        <v>1135751411</v>
      </c>
      <c r="P443" s="29" t="s">
        <v>151</v>
      </c>
      <c r="Q443" s="19" t="s">
        <v>140</v>
      </c>
      <c r="R443" s="30" t="s">
        <v>140</v>
      </c>
      <c r="S443" s="31">
        <v>1</v>
      </c>
      <c r="T443" s="27">
        <f t="shared" si="53"/>
        <v>1135751411</v>
      </c>
      <c r="U443" s="16">
        <f t="shared" si="54"/>
        <v>3420.9379849397592</v>
      </c>
      <c r="V443" s="16">
        <f t="shared" si="55"/>
        <v>3420.9379849397592</v>
      </c>
      <c r="W443" s="32">
        <v>10</v>
      </c>
      <c r="X443" s="1496" t="s">
        <v>129</v>
      </c>
      <c r="Y443" s="1497"/>
      <c r="Z443" s="1498"/>
      <c r="AA443" s="1496" t="s">
        <v>22</v>
      </c>
      <c r="AB443" s="1497"/>
      <c r="AC443" s="1498"/>
      <c r="AD443" s="1496" t="s">
        <v>22</v>
      </c>
      <c r="AE443" s="1497"/>
      <c r="AF443" s="1498"/>
      <c r="AG443" s="1388" t="s">
        <v>22</v>
      </c>
      <c r="AH443" s="1485"/>
      <c r="AI443" s="1485"/>
      <c r="AJ443" s="1388" t="str">
        <f>+IF(V443="","",IF(V443&gt;=[14]PARÁMETROS!$F$5,"CUMPLE","NO CUMPLE"))</f>
        <v>CUMPLE</v>
      </c>
      <c r="AK443" s="98"/>
    </row>
    <row r="444" spans="1:37" ht="57">
      <c r="A444" s="1615"/>
      <c r="B444" s="1510"/>
      <c r="C444" s="19" t="s">
        <v>2347</v>
      </c>
      <c r="D444" s="20">
        <v>243</v>
      </c>
      <c r="E444" s="21" t="s">
        <v>2348</v>
      </c>
      <c r="F444" s="22" t="s">
        <v>1731</v>
      </c>
      <c r="G444" s="23" t="s">
        <v>2350</v>
      </c>
      <c r="H444" s="1388" t="s">
        <v>22</v>
      </c>
      <c r="I444" s="1388" t="s">
        <v>22</v>
      </c>
      <c r="J444" s="24">
        <v>0.6</v>
      </c>
      <c r="K444" s="25">
        <v>41198</v>
      </c>
      <c r="L444" s="25">
        <v>41699</v>
      </c>
      <c r="M444" s="26">
        <f t="shared" si="52"/>
        <v>2014</v>
      </c>
      <c r="N444" s="27">
        <f>+IFERROR(INDEX([14]PARÁMETROS!$B$11:$B$37,MATCH(M444,[14]PARÁMETROS!$A$11:$A$37,0)),"")</f>
        <v>616000</v>
      </c>
      <c r="O444" s="28">
        <v>2668542300</v>
      </c>
      <c r="P444" s="29" t="s">
        <v>151</v>
      </c>
      <c r="Q444" s="19" t="s">
        <v>140</v>
      </c>
      <c r="R444" s="30" t="s">
        <v>140</v>
      </c>
      <c r="S444" s="31">
        <v>1</v>
      </c>
      <c r="T444" s="27">
        <f t="shared" si="53"/>
        <v>2668542300</v>
      </c>
      <c r="U444" s="16">
        <f t="shared" si="54"/>
        <v>4332.0491883116883</v>
      </c>
      <c r="V444" s="16">
        <f t="shared" si="55"/>
        <v>2599.2295129870131</v>
      </c>
      <c r="W444" s="32">
        <v>4</v>
      </c>
      <c r="X444" s="1485" t="s">
        <v>129</v>
      </c>
      <c r="Y444" s="1485"/>
      <c r="Z444" s="1485"/>
      <c r="AA444" s="1485" t="s">
        <v>22</v>
      </c>
      <c r="AB444" s="1485"/>
      <c r="AC444" s="1485"/>
      <c r="AD444" s="1485" t="s">
        <v>22</v>
      </c>
      <c r="AE444" s="1485"/>
      <c r="AF444" s="1485"/>
      <c r="AG444" s="1388" t="s">
        <v>22</v>
      </c>
      <c r="AH444" s="1485"/>
      <c r="AI444" s="1485"/>
      <c r="AJ444" s="1388" t="str">
        <f>+IF(V444="","",IF(V444&gt;=[14]PARÁMETROS!$F$5,"CUMPLE","NO CUMPLE"))</f>
        <v>CUMPLE</v>
      </c>
      <c r="AK444" s="98"/>
    </row>
    <row r="445" spans="1:37" ht="63.75" thickBot="1">
      <c r="A445" s="1616"/>
      <c r="B445" s="1511"/>
      <c r="C445" s="99" t="s">
        <v>2351</v>
      </c>
      <c r="D445" s="100">
        <v>249</v>
      </c>
      <c r="E445" s="101" t="s">
        <v>2352</v>
      </c>
      <c r="F445" s="102" t="s">
        <v>155</v>
      </c>
      <c r="G445" s="103" t="s">
        <v>2353</v>
      </c>
      <c r="H445" s="1392" t="s">
        <v>22</v>
      </c>
      <c r="I445" s="1392" t="s">
        <v>22</v>
      </c>
      <c r="J445" s="104">
        <v>1</v>
      </c>
      <c r="K445" s="105">
        <v>41123</v>
      </c>
      <c r="L445" s="105">
        <v>41779</v>
      </c>
      <c r="M445" s="106">
        <f t="shared" si="52"/>
        <v>2014</v>
      </c>
      <c r="N445" s="107">
        <f>+IFERROR(INDEX([14]PARÁMETROS!$B$11:$B$37,MATCH(M445,[14]PARÁMETROS!$A$11:$A$37,0)),"")</f>
        <v>616000</v>
      </c>
      <c r="O445" s="108">
        <v>1605385195.3199999</v>
      </c>
      <c r="P445" s="109" t="s">
        <v>151</v>
      </c>
      <c r="Q445" s="99" t="s">
        <v>140</v>
      </c>
      <c r="R445" s="110" t="s">
        <v>140</v>
      </c>
      <c r="S445" s="111">
        <v>1</v>
      </c>
      <c r="T445" s="107">
        <f t="shared" si="53"/>
        <v>1605385195.3199999</v>
      </c>
      <c r="U445" s="112">
        <f t="shared" si="54"/>
        <v>2606.1447975974024</v>
      </c>
      <c r="V445" s="112">
        <f t="shared" si="55"/>
        <v>2606.1447975974024</v>
      </c>
      <c r="W445" s="32">
        <v>55</v>
      </c>
      <c r="X445" s="1486" t="s">
        <v>22</v>
      </c>
      <c r="Y445" s="1486"/>
      <c r="Z445" s="1486"/>
      <c r="AA445" s="1486" t="s">
        <v>22</v>
      </c>
      <c r="AB445" s="1486"/>
      <c r="AC445" s="1486"/>
      <c r="AD445" s="1486" t="s">
        <v>22</v>
      </c>
      <c r="AE445" s="1486"/>
      <c r="AF445" s="1486"/>
      <c r="AG445" s="1392" t="s">
        <v>22</v>
      </c>
      <c r="AH445" s="1486"/>
      <c r="AI445" s="1486"/>
      <c r="AJ445" s="1394" t="str">
        <f>+IF(V445="","",IF(V445&gt;=[14]PARÁMETROS!$F$5,"CUMPLE","NO CUMPLE"))</f>
        <v>CUMPLE</v>
      </c>
      <c r="AK445" s="113"/>
    </row>
  </sheetData>
  <autoFilter ref="B1:AK445">
    <filterColumn colId="22" showButton="0"/>
    <filterColumn colId="23" showButton="0"/>
    <filterColumn colId="25" showButton="0"/>
    <filterColumn colId="26" showButton="0"/>
  </autoFilter>
  <mergeCells count="1678">
    <mergeCell ref="B440:B445"/>
    <mergeCell ref="X440:Z440"/>
    <mergeCell ref="AA440:AC440"/>
    <mergeCell ref="AD440:AF440"/>
    <mergeCell ref="AH440:AH445"/>
    <mergeCell ref="X444:Z444"/>
    <mergeCell ref="AA444:AC444"/>
    <mergeCell ref="AD444:AF444"/>
    <mergeCell ref="X445:Z445"/>
    <mergeCell ref="AA438:AC438"/>
    <mergeCell ref="AD438:AF438"/>
    <mergeCell ref="X439:Z439"/>
    <mergeCell ref="AA439:AC439"/>
    <mergeCell ref="AA445:AC445"/>
    <mergeCell ref="AD445:AF445"/>
    <mergeCell ref="AI440:AI445"/>
    <mergeCell ref="X441:Z441"/>
    <mergeCell ref="AA441:AC441"/>
    <mergeCell ref="AD441:AF441"/>
    <mergeCell ref="X442:Z442"/>
    <mergeCell ref="AA442:AC442"/>
    <mergeCell ref="AD442:AF442"/>
    <mergeCell ref="X443:Z443"/>
    <mergeCell ref="AA443:AC443"/>
    <mergeCell ref="AD443:AF443"/>
    <mergeCell ref="X438:Z438"/>
    <mergeCell ref="AD435:AF435"/>
    <mergeCell ref="B436:B439"/>
    <mergeCell ref="X436:Z436"/>
    <mergeCell ref="AA436:AC436"/>
    <mergeCell ref="AD436:AF436"/>
    <mergeCell ref="AD439:AF439"/>
    <mergeCell ref="B433:B435"/>
    <mergeCell ref="AH427:AH432"/>
    <mergeCell ref="AI427:AI432"/>
    <mergeCell ref="X428:Z428"/>
    <mergeCell ref="AA428:AC428"/>
    <mergeCell ref="AD428:AF428"/>
    <mergeCell ref="X429:Z429"/>
    <mergeCell ref="AA429:AC429"/>
    <mergeCell ref="AD429:AF429"/>
    <mergeCell ref="X430:Z430"/>
    <mergeCell ref="AA430:AC430"/>
    <mergeCell ref="X433:Z433"/>
    <mergeCell ref="AA433:AC433"/>
    <mergeCell ref="AD433:AF433"/>
    <mergeCell ref="AH433:AH435"/>
    <mergeCell ref="AI433:AI435"/>
    <mergeCell ref="X434:Z434"/>
    <mergeCell ref="AA434:AC434"/>
    <mergeCell ref="AD434:AF434"/>
    <mergeCell ref="X435:Z435"/>
    <mergeCell ref="AA435:AC435"/>
    <mergeCell ref="AH436:AH439"/>
    <mergeCell ref="AI436:AI439"/>
    <mergeCell ref="X437:Z437"/>
    <mergeCell ref="AA437:AC437"/>
    <mergeCell ref="AD437:AF437"/>
    <mergeCell ref="B427:B432"/>
    <mergeCell ref="X427:Z427"/>
    <mergeCell ref="AA427:AC427"/>
    <mergeCell ref="AD427:AF427"/>
    <mergeCell ref="AD430:AF430"/>
    <mergeCell ref="X431:Z431"/>
    <mergeCell ref="AA431:AC431"/>
    <mergeCell ref="AH422:AH426"/>
    <mergeCell ref="AI422:AI426"/>
    <mergeCell ref="X423:Z423"/>
    <mergeCell ref="AA423:AC423"/>
    <mergeCell ref="AD423:AF423"/>
    <mergeCell ref="X424:Z424"/>
    <mergeCell ref="AA424:AC424"/>
    <mergeCell ref="AD424:AF424"/>
    <mergeCell ref="X425:Z425"/>
    <mergeCell ref="AA425:AC425"/>
    <mergeCell ref="AD431:AF431"/>
    <mergeCell ref="X432:Z432"/>
    <mergeCell ref="AA432:AC432"/>
    <mergeCell ref="AD432:AF432"/>
    <mergeCell ref="AD421:AF421"/>
    <mergeCell ref="B422:B426"/>
    <mergeCell ref="X422:Z422"/>
    <mergeCell ref="AA422:AC422"/>
    <mergeCell ref="AD422:AF422"/>
    <mergeCell ref="AD425:AF425"/>
    <mergeCell ref="AH416:AH421"/>
    <mergeCell ref="AI416:AI421"/>
    <mergeCell ref="X417:Z417"/>
    <mergeCell ref="AA417:AC417"/>
    <mergeCell ref="AD417:AF417"/>
    <mergeCell ref="X418:Z418"/>
    <mergeCell ref="AA418:AC418"/>
    <mergeCell ref="AD418:AF418"/>
    <mergeCell ref="X419:Z419"/>
    <mergeCell ref="AA419:AC419"/>
    <mergeCell ref="X426:Z426"/>
    <mergeCell ref="AA426:AC426"/>
    <mergeCell ref="AD426:AF426"/>
    <mergeCell ref="X410:Z410"/>
    <mergeCell ref="AA410:AC410"/>
    <mergeCell ref="B416:B421"/>
    <mergeCell ref="X416:Z416"/>
    <mergeCell ref="AA416:AC416"/>
    <mergeCell ref="AD416:AF416"/>
    <mergeCell ref="AD419:AF419"/>
    <mergeCell ref="X420:Z420"/>
    <mergeCell ref="AD406:AF406"/>
    <mergeCell ref="AH406:AH411"/>
    <mergeCell ref="AI406:AI411"/>
    <mergeCell ref="X407:Z407"/>
    <mergeCell ref="AA407:AC407"/>
    <mergeCell ref="AD407:AF407"/>
    <mergeCell ref="X408:Z408"/>
    <mergeCell ref="AA408:AC408"/>
    <mergeCell ref="AD408:AF408"/>
    <mergeCell ref="X409:Z409"/>
    <mergeCell ref="AH412:AH415"/>
    <mergeCell ref="AI412:AI415"/>
    <mergeCell ref="X413:Z413"/>
    <mergeCell ref="AA413:AC413"/>
    <mergeCell ref="AD413:AF413"/>
    <mergeCell ref="X414:Z414"/>
    <mergeCell ref="AA414:AC414"/>
    <mergeCell ref="AD414:AF414"/>
    <mergeCell ref="X415:Z415"/>
    <mergeCell ref="AA415:AC415"/>
    <mergeCell ref="AA420:AC420"/>
    <mergeCell ref="AD420:AF420"/>
    <mergeCell ref="X421:Z421"/>
    <mergeCell ref="AA421:AC421"/>
    <mergeCell ref="AA405:AC405"/>
    <mergeCell ref="AD405:AF405"/>
    <mergeCell ref="B412:B415"/>
    <mergeCell ref="X412:Z412"/>
    <mergeCell ref="AA412:AC412"/>
    <mergeCell ref="AD412:AF412"/>
    <mergeCell ref="AD415:AF415"/>
    <mergeCell ref="B406:B411"/>
    <mergeCell ref="X406:Z406"/>
    <mergeCell ref="AA406:AC406"/>
    <mergeCell ref="AH401:AH405"/>
    <mergeCell ref="AI401:AI405"/>
    <mergeCell ref="X402:Z402"/>
    <mergeCell ref="AA402:AC402"/>
    <mergeCell ref="AD402:AF402"/>
    <mergeCell ref="X403:Z403"/>
    <mergeCell ref="AA403:AC403"/>
    <mergeCell ref="AD403:AF403"/>
    <mergeCell ref="X404:Z404"/>
    <mergeCell ref="AA404:AC404"/>
    <mergeCell ref="AD410:AF410"/>
    <mergeCell ref="X411:Z411"/>
    <mergeCell ref="AA411:AC411"/>
    <mergeCell ref="AD411:AF411"/>
    <mergeCell ref="B401:B405"/>
    <mergeCell ref="X401:Z401"/>
    <mergeCell ref="AA401:AC401"/>
    <mergeCell ref="AD401:AF401"/>
    <mergeCell ref="AD404:AF404"/>
    <mergeCell ref="X405:Z405"/>
    <mergeCell ref="AA409:AC409"/>
    <mergeCell ref="AD409:AF409"/>
    <mergeCell ref="AA399:AC399"/>
    <mergeCell ref="AD399:AF399"/>
    <mergeCell ref="X400:Z400"/>
    <mergeCell ref="AA400:AC400"/>
    <mergeCell ref="AD400:AF400"/>
    <mergeCell ref="B393:B396"/>
    <mergeCell ref="X393:Z393"/>
    <mergeCell ref="AA393:AC393"/>
    <mergeCell ref="AD393:AF393"/>
    <mergeCell ref="AD396:AF396"/>
    <mergeCell ref="B397:B400"/>
    <mergeCell ref="X397:Z397"/>
    <mergeCell ref="AA397:AC397"/>
    <mergeCell ref="AD397:AF397"/>
    <mergeCell ref="AH397:AH400"/>
    <mergeCell ref="AI397:AI400"/>
    <mergeCell ref="X398:Z398"/>
    <mergeCell ref="AA398:AC398"/>
    <mergeCell ref="AD398:AF398"/>
    <mergeCell ref="X399:Z399"/>
    <mergeCell ref="AD391:AF391"/>
    <mergeCell ref="X392:Z392"/>
    <mergeCell ref="AA392:AC392"/>
    <mergeCell ref="AD392:AF392"/>
    <mergeCell ref="AH383:AH387"/>
    <mergeCell ref="AI383:AI387"/>
    <mergeCell ref="X384:Z384"/>
    <mergeCell ref="AA384:AC384"/>
    <mergeCell ref="AD384:AF384"/>
    <mergeCell ref="X385:Z385"/>
    <mergeCell ref="AA385:AC385"/>
    <mergeCell ref="AD385:AF385"/>
    <mergeCell ref="X386:Z386"/>
    <mergeCell ref="AA386:AC386"/>
    <mergeCell ref="AH393:AH396"/>
    <mergeCell ref="AI393:AI396"/>
    <mergeCell ref="X394:Z394"/>
    <mergeCell ref="AA394:AC394"/>
    <mergeCell ref="AD394:AF394"/>
    <mergeCell ref="X395:Z395"/>
    <mergeCell ref="AA395:AC395"/>
    <mergeCell ref="AD395:AF395"/>
    <mergeCell ref="X396:Z396"/>
    <mergeCell ref="AA396:AC396"/>
    <mergeCell ref="B383:B387"/>
    <mergeCell ref="X383:Z383"/>
    <mergeCell ref="AA383:AC383"/>
    <mergeCell ref="AD383:AF383"/>
    <mergeCell ref="AD386:AF386"/>
    <mergeCell ref="X387:Z387"/>
    <mergeCell ref="AH377:AH382"/>
    <mergeCell ref="AI377:AI382"/>
    <mergeCell ref="X378:Z378"/>
    <mergeCell ref="AA378:AC378"/>
    <mergeCell ref="AD378:AF378"/>
    <mergeCell ref="X379:Z379"/>
    <mergeCell ref="AA379:AC379"/>
    <mergeCell ref="AD379:AF379"/>
    <mergeCell ref="X380:Z380"/>
    <mergeCell ref="AA380:AC380"/>
    <mergeCell ref="AH388:AH392"/>
    <mergeCell ref="AI388:AI392"/>
    <mergeCell ref="X389:Z389"/>
    <mergeCell ref="AA389:AC389"/>
    <mergeCell ref="AD389:AF389"/>
    <mergeCell ref="X390:Z390"/>
    <mergeCell ref="AA390:AC390"/>
    <mergeCell ref="AD390:AF390"/>
    <mergeCell ref="X391:Z391"/>
    <mergeCell ref="AA391:AC391"/>
    <mergeCell ref="AA387:AC387"/>
    <mergeCell ref="AD387:AF387"/>
    <mergeCell ref="B388:B392"/>
    <mergeCell ref="X388:Z388"/>
    <mergeCell ref="AA388:AC388"/>
    <mergeCell ref="AD388:AF388"/>
    <mergeCell ref="B377:B382"/>
    <mergeCell ref="X377:Z377"/>
    <mergeCell ref="AA377:AC377"/>
    <mergeCell ref="AD377:AF377"/>
    <mergeCell ref="AD380:AF380"/>
    <mergeCell ref="X381:Z381"/>
    <mergeCell ref="AA381:AC381"/>
    <mergeCell ref="AA373:AC373"/>
    <mergeCell ref="AD373:AF373"/>
    <mergeCell ref="X374:Z374"/>
    <mergeCell ref="AA374:AC374"/>
    <mergeCell ref="AD374:AF374"/>
    <mergeCell ref="X375:Z375"/>
    <mergeCell ref="AA375:AC375"/>
    <mergeCell ref="AD375:AF375"/>
    <mergeCell ref="B371:B376"/>
    <mergeCell ref="X371:Z371"/>
    <mergeCell ref="AA371:AC371"/>
    <mergeCell ref="AD371:AF371"/>
    <mergeCell ref="AD381:AF381"/>
    <mergeCell ref="X382:Z382"/>
    <mergeCell ref="AA382:AC382"/>
    <mergeCell ref="AD382:AF382"/>
    <mergeCell ref="AH371:AH376"/>
    <mergeCell ref="AI371:AI376"/>
    <mergeCell ref="X372:Z372"/>
    <mergeCell ref="AA372:AC372"/>
    <mergeCell ref="AD372:AF372"/>
    <mergeCell ref="X373:Z373"/>
    <mergeCell ref="AA368:AC368"/>
    <mergeCell ref="AD368:AF368"/>
    <mergeCell ref="X369:Z369"/>
    <mergeCell ref="AA369:AC369"/>
    <mergeCell ref="AD369:AF369"/>
    <mergeCell ref="X370:Z370"/>
    <mergeCell ref="AA370:AC370"/>
    <mergeCell ref="AD370:AF370"/>
    <mergeCell ref="B366:B370"/>
    <mergeCell ref="X366:Z366"/>
    <mergeCell ref="AA366:AC366"/>
    <mergeCell ref="AD366:AF366"/>
    <mergeCell ref="AH366:AH370"/>
    <mergeCell ref="AI366:AI370"/>
    <mergeCell ref="X367:Z367"/>
    <mergeCell ref="AA367:AC367"/>
    <mergeCell ref="AD367:AF367"/>
    <mergeCell ref="X368:Z368"/>
    <mergeCell ref="X376:Z376"/>
    <mergeCell ref="AA376:AC376"/>
    <mergeCell ref="AD376:AF376"/>
    <mergeCell ref="AH361:AH365"/>
    <mergeCell ref="AI361:AI365"/>
    <mergeCell ref="X362:Z362"/>
    <mergeCell ref="AA362:AC362"/>
    <mergeCell ref="AD362:AF362"/>
    <mergeCell ref="X363:Z363"/>
    <mergeCell ref="AA363:AC363"/>
    <mergeCell ref="AD363:AF363"/>
    <mergeCell ref="X364:Z364"/>
    <mergeCell ref="AA364:AC364"/>
    <mergeCell ref="AA360:AC360"/>
    <mergeCell ref="AD360:AF360"/>
    <mergeCell ref="B361:B365"/>
    <mergeCell ref="X361:Z361"/>
    <mergeCell ref="AA361:AC361"/>
    <mergeCell ref="AD361:AF361"/>
    <mergeCell ref="AD364:AF364"/>
    <mergeCell ref="X365:Z365"/>
    <mergeCell ref="AA365:AC365"/>
    <mergeCell ref="AD365:AF365"/>
    <mergeCell ref="AI355:AI360"/>
    <mergeCell ref="X356:Z356"/>
    <mergeCell ref="AA356:AC356"/>
    <mergeCell ref="AD356:AF356"/>
    <mergeCell ref="X357:Z357"/>
    <mergeCell ref="AA357:AC357"/>
    <mergeCell ref="AD357:AF357"/>
    <mergeCell ref="X358:Z358"/>
    <mergeCell ref="AA358:AC358"/>
    <mergeCell ref="AD358:AF358"/>
    <mergeCell ref="B355:B360"/>
    <mergeCell ref="X355:Z355"/>
    <mergeCell ref="AA355:AC355"/>
    <mergeCell ref="AD355:AF355"/>
    <mergeCell ref="AH355:AH360"/>
    <mergeCell ref="X359:Z359"/>
    <mergeCell ref="AA359:AC359"/>
    <mergeCell ref="AD359:AF359"/>
    <mergeCell ref="X360:Z360"/>
    <mergeCell ref="AH348:AH351"/>
    <mergeCell ref="AI348:AI351"/>
    <mergeCell ref="X349:Z349"/>
    <mergeCell ref="AA349:AC349"/>
    <mergeCell ref="AD349:AF349"/>
    <mergeCell ref="X350:Z350"/>
    <mergeCell ref="AA350:AC350"/>
    <mergeCell ref="AD350:AF350"/>
    <mergeCell ref="X351:Z351"/>
    <mergeCell ref="AA351:AC351"/>
    <mergeCell ref="AI352:AI354"/>
    <mergeCell ref="X353:Z353"/>
    <mergeCell ref="AA353:AC353"/>
    <mergeCell ref="AD353:AF353"/>
    <mergeCell ref="X354:Z354"/>
    <mergeCell ref="AA354:AC354"/>
    <mergeCell ref="AD354:AF354"/>
    <mergeCell ref="B352:B354"/>
    <mergeCell ref="X352:Z352"/>
    <mergeCell ref="AA352:AC352"/>
    <mergeCell ref="AD352:AF352"/>
    <mergeCell ref="AH352:AH354"/>
    <mergeCell ref="B348:B351"/>
    <mergeCell ref="X348:Z348"/>
    <mergeCell ref="AA348:AC348"/>
    <mergeCell ref="AD348:AF348"/>
    <mergeCell ref="AH340:AH343"/>
    <mergeCell ref="AI340:AI343"/>
    <mergeCell ref="X341:Z341"/>
    <mergeCell ref="AA341:AC341"/>
    <mergeCell ref="AD341:AF341"/>
    <mergeCell ref="X342:Z342"/>
    <mergeCell ref="AA342:AC342"/>
    <mergeCell ref="AD342:AF342"/>
    <mergeCell ref="X343:Z343"/>
    <mergeCell ref="AA343:AC343"/>
    <mergeCell ref="AI344:AI347"/>
    <mergeCell ref="X345:Z345"/>
    <mergeCell ref="AA345:AC345"/>
    <mergeCell ref="AD345:AF345"/>
    <mergeCell ref="X346:Z346"/>
    <mergeCell ref="AA346:AC346"/>
    <mergeCell ref="AD346:AF346"/>
    <mergeCell ref="X347:Z347"/>
    <mergeCell ref="AA347:AC347"/>
    <mergeCell ref="AD347:AF347"/>
    <mergeCell ref="AD351:AF351"/>
    <mergeCell ref="B344:B347"/>
    <mergeCell ref="X344:Z344"/>
    <mergeCell ref="AA344:AC344"/>
    <mergeCell ref="AD344:AF344"/>
    <mergeCell ref="AH344:AH347"/>
    <mergeCell ref="B340:B343"/>
    <mergeCell ref="X340:Z340"/>
    <mergeCell ref="AA340:AC340"/>
    <mergeCell ref="AD340:AF340"/>
    <mergeCell ref="AI331:AI336"/>
    <mergeCell ref="X332:Z332"/>
    <mergeCell ref="AA332:AC332"/>
    <mergeCell ref="AD332:AF332"/>
    <mergeCell ref="X333:Z333"/>
    <mergeCell ref="AA333:AC333"/>
    <mergeCell ref="AD333:AF333"/>
    <mergeCell ref="X334:Z334"/>
    <mergeCell ref="AA334:AC334"/>
    <mergeCell ref="AD334:AF334"/>
    <mergeCell ref="AA339:AC339"/>
    <mergeCell ref="AD339:AF339"/>
    <mergeCell ref="B331:B336"/>
    <mergeCell ref="X331:Z331"/>
    <mergeCell ref="AA331:AC331"/>
    <mergeCell ref="AD331:AF331"/>
    <mergeCell ref="X335:Z335"/>
    <mergeCell ref="AA335:AC335"/>
    <mergeCell ref="AD335:AF335"/>
    <mergeCell ref="X336:Z336"/>
    <mergeCell ref="B337:B339"/>
    <mergeCell ref="X337:Z337"/>
    <mergeCell ref="AD343:AF343"/>
    <mergeCell ref="AA337:AC337"/>
    <mergeCell ref="AD337:AF337"/>
    <mergeCell ref="AH337:AH339"/>
    <mergeCell ref="AI337:AI339"/>
    <mergeCell ref="X338:Z338"/>
    <mergeCell ref="AA338:AC338"/>
    <mergeCell ref="AD338:AF338"/>
    <mergeCell ref="X339:Z339"/>
    <mergeCell ref="AI326:AI330"/>
    <mergeCell ref="X327:Z327"/>
    <mergeCell ref="AA327:AC327"/>
    <mergeCell ref="AD327:AF327"/>
    <mergeCell ref="X328:Z328"/>
    <mergeCell ref="AA328:AC328"/>
    <mergeCell ref="AD328:AF328"/>
    <mergeCell ref="X329:Z329"/>
    <mergeCell ref="AA329:AC329"/>
    <mergeCell ref="AD329:AF329"/>
    <mergeCell ref="AD336:AF336"/>
    <mergeCell ref="AA336:AC336"/>
    <mergeCell ref="B326:B330"/>
    <mergeCell ref="X326:Z326"/>
    <mergeCell ref="AA326:AC326"/>
    <mergeCell ref="AD326:AF326"/>
    <mergeCell ref="AH326:AH330"/>
    <mergeCell ref="X330:Z330"/>
    <mergeCell ref="AA330:AC330"/>
    <mergeCell ref="AD330:AF330"/>
    <mergeCell ref="AH331:AH336"/>
    <mergeCell ref="X324:Z324"/>
    <mergeCell ref="AA324:AC324"/>
    <mergeCell ref="AD324:AF324"/>
    <mergeCell ref="X325:Z325"/>
    <mergeCell ref="AA325:AC325"/>
    <mergeCell ref="AD325:AF325"/>
    <mergeCell ref="AI320:AI325"/>
    <mergeCell ref="X321:Z321"/>
    <mergeCell ref="AA321:AC321"/>
    <mergeCell ref="AD321:AF321"/>
    <mergeCell ref="X322:Z322"/>
    <mergeCell ref="AA322:AC322"/>
    <mergeCell ref="AD322:AF322"/>
    <mergeCell ref="X323:Z323"/>
    <mergeCell ref="AA323:AC323"/>
    <mergeCell ref="AD323:AF323"/>
    <mergeCell ref="AH315:AH316"/>
    <mergeCell ref="AI315:AI316"/>
    <mergeCell ref="X316:Z316"/>
    <mergeCell ref="AA316:AC316"/>
    <mergeCell ref="AD316:AF316"/>
    <mergeCell ref="B320:B325"/>
    <mergeCell ref="X320:Z320"/>
    <mergeCell ref="AA320:AC320"/>
    <mergeCell ref="AD320:AF320"/>
    <mergeCell ref="AH320:AH325"/>
    <mergeCell ref="AA319:AC319"/>
    <mergeCell ref="AD319:AF319"/>
    <mergeCell ref="B315:B316"/>
    <mergeCell ref="X315:Z315"/>
    <mergeCell ref="AA315:AC315"/>
    <mergeCell ref="AD315:AF315"/>
    <mergeCell ref="B317:B319"/>
    <mergeCell ref="X317:Z317"/>
    <mergeCell ref="AA317:AC317"/>
    <mergeCell ref="AD317:AF317"/>
    <mergeCell ref="AH317:AH319"/>
    <mergeCell ref="AI317:AI319"/>
    <mergeCell ref="X318:Z318"/>
    <mergeCell ref="AA318:AC318"/>
    <mergeCell ref="AD318:AF318"/>
    <mergeCell ref="X319:Z319"/>
    <mergeCell ref="AA312:AC312"/>
    <mergeCell ref="AD312:AF312"/>
    <mergeCell ref="X313:Z313"/>
    <mergeCell ref="AA313:AC313"/>
    <mergeCell ref="AD313:AF313"/>
    <mergeCell ref="X314:Z314"/>
    <mergeCell ref="AA314:AC314"/>
    <mergeCell ref="AD314:AF314"/>
    <mergeCell ref="B310:B314"/>
    <mergeCell ref="X310:Z310"/>
    <mergeCell ref="AA310:AC310"/>
    <mergeCell ref="AD310:AF310"/>
    <mergeCell ref="AH310:AH314"/>
    <mergeCell ref="AI310:AI314"/>
    <mergeCell ref="X311:Z311"/>
    <mergeCell ref="AA311:AC311"/>
    <mergeCell ref="AD311:AF311"/>
    <mergeCell ref="X312:Z312"/>
    <mergeCell ref="AD309:AF309"/>
    <mergeCell ref="B300:B305"/>
    <mergeCell ref="X300:Z300"/>
    <mergeCell ref="AA300:AC300"/>
    <mergeCell ref="AD300:AF300"/>
    <mergeCell ref="AH300:AH305"/>
    <mergeCell ref="X304:Z304"/>
    <mergeCell ref="AA304:AC304"/>
    <mergeCell ref="AD304:AF304"/>
    <mergeCell ref="AH306:AH309"/>
    <mergeCell ref="AI306:AI309"/>
    <mergeCell ref="X307:Z307"/>
    <mergeCell ref="AA307:AC307"/>
    <mergeCell ref="AD307:AF307"/>
    <mergeCell ref="X308:Z308"/>
    <mergeCell ref="AA308:AC308"/>
    <mergeCell ref="AD308:AF308"/>
    <mergeCell ref="X309:Z309"/>
    <mergeCell ref="AA309:AC309"/>
    <mergeCell ref="X305:Z305"/>
    <mergeCell ref="B306:B309"/>
    <mergeCell ref="X299:Z299"/>
    <mergeCell ref="AA299:AC299"/>
    <mergeCell ref="AD299:AF299"/>
    <mergeCell ref="X306:Z306"/>
    <mergeCell ref="AA306:AC306"/>
    <mergeCell ref="AD306:AF306"/>
    <mergeCell ref="AH294:AH299"/>
    <mergeCell ref="AI294:AI299"/>
    <mergeCell ref="X295:Z295"/>
    <mergeCell ref="AA295:AC295"/>
    <mergeCell ref="AD295:AF295"/>
    <mergeCell ref="X296:Z296"/>
    <mergeCell ref="AA296:AC296"/>
    <mergeCell ref="AD296:AF296"/>
    <mergeCell ref="X297:Z297"/>
    <mergeCell ref="AA297:AC297"/>
    <mergeCell ref="AA305:AC305"/>
    <mergeCell ref="AD305:AF305"/>
    <mergeCell ref="AI300:AI305"/>
    <mergeCell ref="X301:Z301"/>
    <mergeCell ref="AA301:AC301"/>
    <mergeCell ref="AD301:AF301"/>
    <mergeCell ref="X302:Z302"/>
    <mergeCell ref="AA302:AC302"/>
    <mergeCell ref="AD302:AF302"/>
    <mergeCell ref="X303:Z303"/>
    <mergeCell ref="AA303:AC303"/>
    <mergeCell ref="AD303:AF303"/>
    <mergeCell ref="AA294:AC294"/>
    <mergeCell ref="AD294:AF294"/>
    <mergeCell ref="AD297:AF297"/>
    <mergeCell ref="X298:Z298"/>
    <mergeCell ref="AA298:AC298"/>
    <mergeCell ref="AD298:AF298"/>
    <mergeCell ref="AI285:AI289"/>
    <mergeCell ref="X286:Z286"/>
    <mergeCell ref="AA286:AC286"/>
    <mergeCell ref="AD286:AF286"/>
    <mergeCell ref="X287:Z287"/>
    <mergeCell ref="AA287:AC287"/>
    <mergeCell ref="AD287:AF287"/>
    <mergeCell ref="X288:Z288"/>
    <mergeCell ref="AA288:AC288"/>
    <mergeCell ref="AD288:AF288"/>
    <mergeCell ref="AD293:AF293"/>
    <mergeCell ref="X285:Z285"/>
    <mergeCell ref="AA285:AC285"/>
    <mergeCell ref="AD285:AF285"/>
    <mergeCell ref="AH285:AH289"/>
    <mergeCell ref="X289:Z289"/>
    <mergeCell ref="AA289:AC289"/>
    <mergeCell ref="AD289:AF289"/>
    <mergeCell ref="AH290:AH293"/>
    <mergeCell ref="AI290:AI293"/>
    <mergeCell ref="X291:Z291"/>
    <mergeCell ref="AA291:AC291"/>
    <mergeCell ref="AD291:AF291"/>
    <mergeCell ref="AA292:AC292"/>
    <mergeCell ref="AD292:AF292"/>
    <mergeCell ref="X293:Z293"/>
    <mergeCell ref="AA293:AC293"/>
    <mergeCell ref="AA283:AC283"/>
    <mergeCell ref="AD283:AF283"/>
    <mergeCell ref="X284:Z284"/>
    <mergeCell ref="AA284:AC284"/>
    <mergeCell ref="AD284:AF284"/>
    <mergeCell ref="X290:Z290"/>
    <mergeCell ref="AA290:AC290"/>
    <mergeCell ref="AD290:AF290"/>
    <mergeCell ref="AH279:AH284"/>
    <mergeCell ref="AI279:AI284"/>
    <mergeCell ref="X280:Z280"/>
    <mergeCell ref="AA280:AC280"/>
    <mergeCell ref="AD280:AF280"/>
    <mergeCell ref="X281:Z281"/>
    <mergeCell ref="AA281:AC281"/>
    <mergeCell ref="AD281:AF281"/>
    <mergeCell ref="X282:Z282"/>
    <mergeCell ref="AA282:AC282"/>
    <mergeCell ref="AA274:AC274"/>
    <mergeCell ref="AD274:AF274"/>
    <mergeCell ref="AH269:AH273"/>
    <mergeCell ref="AI269:AI273"/>
    <mergeCell ref="X270:Z270"/>
    <mergeCell ref="AA270:AC270"/>
    <mergeCell ref="AD270:AF270"/>
    <mergeCell ref="X271:Z271"/>
    <mergeCell ref="AA271:AC271"/>
    <mergeCell ref="AD271:AF271"/>
    <mergeCell ref="X272:Z272"/>
    <mergeCell ref="AA272:AC272"/>
    <mergeCell ref="AD277:AF277"/>
    <mergeCell ref="X278:Z278"/>
    <mergeCell ref="AA278:AC278"/>
    <mergeCell ref="AD278:AF278"/>
    <mergeCell ref="B279:B284"/>
    <mergeCell ref="X279:Z279"/>
    <mergeCell ref="AA279:AC279"/>
    <mergeCell ref="AD279:AF279"/>
    <mergeCell ref="AD282:AF282"/>
    <mergeCell ref="X283:Z283"/>
    <mergeCell ref="AH274:AH278"/>
    <mergeCell ref="AI274:AI278"/>
    <mergeCell ref="X275:Z275"/>
    <mergeCell ref="AA275:AC275"/>
    <mergeCell ref="AD275:AF275"/>
    <mergeCell ref="X276:Z276"/>
    <mergeCell ref="AA276:AC276"/>
    <mergeCell ref="AD276:AF276"/>
    <mergeCell ref="X277:Z277"/>
    <mergeCell ref="AA277:AC277"/>
    <mergeCell ref="AA268:AC268"/>
    <mergeCell ref="AD268:AF268"/>
    <mergeCell ref="X269:Z269"/>
    <mergeCell ref="AA269:AC269"/>
    <mergeCell ref="AD269:AF269"/>
    <mergeCell ref="AA264:AC264"/>
    <mergeCell ref="AD264:AF264"/>
    <mergeCell ref="AH264:AH268"/>
    <mergeCell ref="AI264:AI268"/>
    <mergeCell ref="X265:Z265"/>
    <mergeCell ref="AA265:AC265"/>
    <mergeCell ref="AD265:AF265"/>
    <mergeCell ref="X266:Z266"/>
    <mergeCell ref="AA266:AC266"/>
    <mergeCell ref="AD266:AF266"/>
    <mergeCell ref="AD272:AF272"/>
    <mergeCell ref="X273:Z273"/>
    <mergeCell ref="AA273:AC273"/>
    <mergeCell ref="AD273:AF273"/>
    <mergeCell ref="X268:Z268"/>
    <mergeCell ref="AD263:AF263"/>
    <mergeCell ref="B256:B259"/>
    <mergeCell ref="X256:Z256"/>
    <mergeCell ref="AA256:AC256"/>
    <mergeCell ref="AD256:AF256"/>
    <mergeCell ref="AH256:AH259"/>
    <mergeCell ref="AH260:AH263"/>
    <mergeCell ref="AI260:AI263"/>
    <mergeCell ref="X261:Z261"/>
    <mergeCell ref="AA261:AC261"/>
    <mergeCell ref="AD261:AF261"/>
    <mergeCell ref="X262:Z262"/>
    <mergeCell ref="AA262:AC262"/>
    <mergeCell ref="AD262:AF262"/>
    <mergeCell ref="X263:Z263"/>
    <mergeCell ref="AA263:AC263"/>
    <mergeCell ref="AA267:AC267"/>
    <mergeCell ref="AD267:AF267"/>
    <mergeCell ref="X264:Z264"/>
    <mergeCell ref="X267:Z267"/>
    <mergeCell ref="AA254:AC254"/>
    <mergeCell ref="AD254:AF254"/>
    <mergeCell ref="X255:Z255"/>
    <mergeCell ref="AA255:AC255"/>
    <mergeCell ref="AD255:AF255"/>
    <mergeCell ref="X260:Z260"/>
    <mergeCell ref="AA260:AC260"/>
    <mergeCell ref="AD260:AF260"/>
    <mergeCell ref="AA251:AC251"/>
    <mergeCell ref="AD251:AF251"/>
    <mergeCell ref="AH251:AH255"/>
    <mergeCell ref="AI251:AI255"/>
    <mergeCell ref="X252:Z252"/>
    <mergeCell ref="AA252:AC252"/>
    <mergeCell ref="AD252:AF252"/>
    <mergeCell ref="X253:Z253"/>
    <mergeCell ref="AA253:AC253"/>
    <mergeCell ref="AD253:AF253"/>
    <mergeCell ref="AI256:AI259"/>
    <mergeCell ref="X257:Z257"/>
    <mergeCell ref="AA257:AC257"/>
    <mergeCell ref="AD257:AF257"/>
    <mergeCell ref="X258:Z258"/>
    <mergeCell ref="AA258:AC258"/>
    <mergeCell ref="AD258:AF258"/>
    <mergeCell ref="X259:Z259"/>
    <mergeCell ref="AA259:AC259"/>
    <mergeCell ref="AD259:AF259"/>
    <mergeCell ref="X251:Z251"/>
    <mergeCell ref="X254:Z254"/>
    <mergeCell ref="B126:B131"/>
    <mergeCell ref="B137:B142"/>
    <mergeCell ref="B143:B146"/>
    <mergeCell ref="B260:B263"/>
    <mergeCell ref="P1:P2"/>
    <mergeCell ref="Q1:Q2"/>
    <mergeCell ref="R1:R2"/>
    <mergeCell ref="S1:S2"/>
    <mergeCell ref="H1:H2"/>
    <mergeCell ref="I1:I2"/>
    <mergeCell ref="J1:J2"/>
    <mergeCell ref="K1:K2"/>
    <mergeCell ref="L1:L2"/>
    <mergeCell ref="M1:M2"/>
    <mergeCell ref="X3:Z3"/>
    <mergeCell ref="X29:Z29"/>
    <mergeCell ref="X36:Z36"/>
    <mergeCell ref="X39:Z39"/>
    <mergeCell ref="X63:Z63"/>
    <mergeCell ref="X67:Z67"/>
    <mergeCell ref="B24:B28"/>
    <mergeCell ref="X24:Z24"/>
    <mergeCell ref="B33:B38"/>
    <mergeCell ref="X42:Z42"/>
    <mergeCell ref="X131:Z131"/>
    <mergeCell ref="B159:B164"/>
    <mergeCell ref="X159:Z159"/>
    <mergeCell ref="B153:B158"/>
    <mergeCell ref="X169:Z169"/>
    <mergeCell ref="X274:Z274"/>
    <mergeCell ref="X292:Z292"/>
    <mergeCell ref="B294:B299"/>
    <mergeCell ref="X294:Z294"/>
    <mergeCell ref="B53:B57"/>
    <mergeCell ref="B58:B60"/>
    <mergeCell ref="B61:B66"/>
    <mergeCell ref="B67:B72"/>
    <mergeCell ref="B73:B77"/>
    <mergeCell ref="B78:B79"/>
    <mergeCell ref="B93:B98"/>
    <mergeCell ref="B99:B102"/>
    <mergeCell ref="B112:B115"/>
    <mergeCell ref="B132:B136"/>
    <mergeCell ref="B147:B152"/>
    <mergeCell ref="B241:B246"/>
    <mergeCell ref="B264:B268"/>
    <mergeCell ref="B269:B273"/>
    <mergeCell ref="B274:B278"/>
    <mergeCell ref="B290:B293"/>
    <mergeCell ref="B285:B289"/>
    <mergeCell ref="X77:Z77"/>
    <mergeCell ref="X78:Z78"/>
    <mergeCell ref="X135:Z135"/>
    <mergeCell ref="X132:Z132"/>
    <mergeCell ref="X164:Z164"/>
    <mergeCell ref="X195:Z195"/>
    <mergeCell ref="X215:Z215"/>
    <mergeCell ref="B235:B240"/>
    <mergeCell ref="B231:B234"/>
    <mergeCell ref="B116:B121"/>
    <mergeCell ref="B122:B125"/>
    <mergeCell ref="AA4:AC4"/>
    <mergeCell ref="AD4:AF4"/>
    <mergeCell ref="X5:Z5"/>
    <mergeCell ref="T1:T2"/>
    <mergeCell ref="U1:U2"/>
    <mergeCell ref="V1:V2"/>
    <mergeCell ref="W1:W2"/>
    <mergeCell ref="X1:Z1"/>
    <mergeCell ref="AA1:AC1"/>
    <mergeCell ref="AD1:AF1"/>
    <mergeCell ref="AG1:AG2"/>
    <mergeCell ref="AH1:AH2"/>
    <mergeCell ref="AI1:AI2"/>
    <mergeCell ref="A1:A2"/>
    <mergeCell ref="A3:A250"/>
    <mergeCell ref="B251:B255"/>
    <mergeCell ref="A251:A445"/>
    <mergeCell ref="N1:N2"/>
    <mergeCell ref="O1:O2"/>
    <mergeCell ref="B8:B12"/>
    <mergeCell ref="B13:B17"/>
    <mergeCell ref="B18:B23"/>
    <mergeCell ref="B85:B88"/>
    <mergeCell ref="B1:B2"/>
    <mergeCell ref="C1:C2"/>
    <mergeCell ref="D1:D2"/>
    <mergeCell ref="E1:E2"/>
    <mergeCell ref="F1:F2"/>
    <mergeCell ref="G1:G2"/>
    <mergeCell ref="B3:B7"/>
    <mergeCell ref="B29:B32"/>
    <mergeCell ref="B39:B43"/>
    <mergeCell ref="AJ1:AJ2"/>
    <mergeCell ref="AK1:AK2"/>
    <mergeCell ref="AD11:AF11"/>
    <mergeCell ref="X12:Z12"/>
    <mergeCell ref="AA12:AC12"/>
    <mergeCell ref="AD12:AF12"/>
    <mergeCell ref="X8:Z8"/>
    <mergeCell ref="AA8:AC8"/>
    <mergeCell ref="AD8:AF8"/>
    <mergeCell ref="AA5:AC5"/>
    <mergeCell ref="AD5:AF5"/>
    <mergeCell ref="X6:Z6"/>
    <mergeCell ref="AA6:AC6"/>
    <mergeCell ref="AD6:AF6"/>
    <mergeCell ref="X7:Z7"/>
    <mergeCell ref="AA7:AC7"/>
    <mergeCell ref="AD7:AF7"/>
    <mergeCell ref="AH8:AH12"/>
    <mergeCell ref="AI8:AI12"/>
    <mergeCell ref="X9:Z9"/>
    <mergeCell ref="AA9:AC9"/>
    <mergeCell ref="AD9:AF9"/>
    <mergeCell ref="X10:Z10"/>
    <mergeCell ref="AA10:AC10"/>
    <mergeCell ref="AD10:AF10"/>
    <mergeCell ref="X11:Z11"/>
    <mergeCell ref="AA11:AC11"/>
    <mergeCell ref="AA3:AC3"/>
    <mergeCell ref="AD3:AF3"/>
    <mergeCell ref="AH3:AH7"/>
    <mergeCell ref="AI3:AI7"/>
    <mergeCell ref="X4:Z4"/>
    <mergeCell ref="AD17:AF17"/>
    <mergeCell ref="AA20:AC20"/>
    <mergeCell ref="AD20:AF20"/>
    <mergeCell ref="X21:Z21"/>
    <mergeCell ref="AA21:AC21"/>
    <mergeCell ref="AD21:AF21"/>
    <mergeCell ref="X18:Z18"/>
    <mergeCell ref="AH18:AH23"/>
    <mergeCell ref="AI18:AI23"/>
    <mergeCell ref="X19:Z19"/>
    <mergeCell ref="AA19:AC19"/>
    <mergeCell ref="AD19:AF19"/>
    <mergeCell ref="X20:Z20"/>
    <mergeCell ref="X22:Z22"/>
    <mergeCell ref="AA22:AC22"/>
    <mergeCell ref="AD22:AF22"/>
    <mergeCell ref="AH13:AH17"/>
    <mergeCell ref="AI13:AI17"/>
    <mergeCell ref="X14:Z14"/>
    <mergeCell ref="AA14:AC14"/>
    <mergeCell ref="AD14:AF14"/>
    <mergeCell ref="X15:Z15"/>
    <mergeCell ref="AA15:AC15"/>
    <mergeCell ref="AD15:AF15"/>
    <mergeCell ref="X16:Z16"/>
    <mergeCell ref="AA16:AC16"/>
    <mergeCell ref="X13:Z13"/>
    <mergeCell ref="AA13:AC13"/>
    <mergeCell ref="AD13:AF13"/>
    <mergeCell ref="AD16:AF16"/>
    <mergeCell ref="X17:Z17"/>
    <mergeCell ref="AA17:AC17"/>
    <mergeCell ref="AH33:AH38"/>
    <mergeCell ref="AI33:AI38"/>
    <mergeCell ref="X34:Z34"/>
    <mergeCell ref="AA34:AC34"/>
    <mergeCell ref="AD34:AF34"/>
    <mergeCell ref="X35:Z35"/>
    <mergeCell ref="AI29:AI32"/>
    <mergeCell ref="X30:Z30"/>
    <mergeCell ref="AA30:AC30"/>
    <mergeCell ref="AH29:AH32"/>
    <mergeCell ref="AH24:AH28"/>
    <mergeCell ref="AI24:AI28"/>
    <mergeCell ref="X25:Z25"/>
    <mergeCell ref="AA25:AC25"/>
    <mergeCell ref="AD25:AF25"/>
    <mergeCell ref="X26:Z26"/>
    <mergeCell ref="AA26:AC26"/>
    <mergeCell ref="AA29:AC29"/>
    <mergeCell ref="AD29:AF29"/>
    <mergeCell ref="X37:Z37"/>
    <mergeCell ref="AA37:AC37"/>
    <mergeCell ref="AD37:AF37"/>
    <mergeCell ref="X33:Z33"/>
    <mergeCell ref="AA33:AC33"/>
    <mergeCell ref="AD33:AF33"/>
    <mergeCell ref="X38:Z38"/>
    <mergeCell ref="AA38:AC38"/>
    <mergeCell ref="AD38:AF38"/>
    <mergeCell ref="AA24:AC24"/>
    <mergeCell ref="AD24:AF24"/>
    <mergeCell ref="AD27:AF27"/>
    <mergeCell ref="X28:Z28"/>
    <mergeCell ref="AA36:AC36"/>
    <mergeCell ref="AD36:AF36"/>
    <mergeCell ref="AA18:AC18"/>
    <mergeCell ref="AD18:AF18"/>
    <mergeCell ref="X23:Z23"/>
    <mergeCell ref="AA23:AC23"/>
    <mergeCell ref="AD23:AF23"/>
    <mergeCell ref="AD30:AF30"/>
    <mergeCell ref="X31:Z31"/>
    <mergeCell ref="AA31:AC31"/>
    <mergeCell ref="AD31:AF31"/>
    <mergeCell ref="X32:Z32"/>
    <mergeCell ref="AA32:AC32"/>
    <mergeCell ref="AD32:AF32"/>
    <mergeCell ref="AA27:AC27"/>
    <mergeCell ref="AA46:AC46"/>
    <mergeCell ref="AD46:AF46"/>
    <mergeCell ref="AD43:AF43"/>
    <mergeCell ref="X44:Z44"/>
    <mergeCell ref="AA28:AC28"/>
    <mergeCell ref="AD28:AF28"/>
    <mergeCell ref="AA35:AC35"/>
    <mergeCell ref="AD35:AF35"/>
    <mergeCell ref="AD26:AF26"/>
    <mergeCell ref="X27:Z27"/>
    <mergeCell ref="AH39:AH43"/>
    <mergeCell ref="AI39:AI43"/>
    <mergeCell ref="X40:Z40"/>
    <mergeCell ref="AA40:AC40"/>
    <mergeCell ref="AD40:AF40"/>
    <mergeCell ref="X41:Z41"/>
    <mergeCell ref="AA41:AC41"/>
    <mergeCell ref="AD41:AF41"/>
    <mergeCell ref="AI47:AI52"/>
    <mergeCell ref="X48:Z48"/>
    <mergeCell ref="B44:B46"/>
    <mergeCell ref="B47:B52"/>
    <mergeCell ref="X45:Z45"/>
    <mergeCell ref="X46:Z46"/>
    <mergeCell ref="X47:Z47"/>
    <mergeCell ref="AH47:AH52"/>
    <mergeCell ref="AA39:AC39"/>
    <mergeCell ref="AD39:AF39"/>
    <mergeCell ref="AD42:AF42"/>
    <mergeCell ref="X43:Z43"/>
    <mergeCell ref="AA43:AC43"/>
    <mergeCell ref="AA42:AC42"/>
    <mergeCell ref="AA67:AC67"/>
    <mergeCell ref="AD67:AF67"/>
    <mergeCell ref="AH53:AH57"/>
    <mergeCell ref="AI53:AI57"/>
    <mergeCell ref="AH58:AH60"/>
    <mergeCell ref="AI58:AI60"/>
    <mergeCell ref="AA57:AC57"/>
    <mergeCell ref="AD57:AF57"/>
    <mergeCell ref="AD63:AF63"/>
    <mergeCell ref="X64:Z64"/>
    <mergeCell ref="AA64:AC64"/>
    <mergeCell ref="AA59:AC59"/>
    <mergeCell ref="AD59:AF59"/>
    <mergeCell ref="AA60:AC60"/>
    <mergeCell ref="AD60:AF60"/>
    <mergeCell ref="AA54:AC54"/>
    <mergeCell ref="X49:Z49"/>
    <mergeCell ref="X50:Z50"/>
    <mergeCell ref="AH61:AH66"/>
    <mergeCell ref="AI61:AI66"/>
    <mergeCell ref="X62:Z62"/>
    <mergeCell ref="X58:Z58"/>
    <mergeCell ref="X59:Z59"/>
    <mergeCell ref="X60:Z60"/>
    <mergeCell ref="X56:Z56"/>
    <mergeCell ref="X57:Z57"/>
    <mergeCell ref="X54:Z54"/>
    <mergeCell ref="X55:Z55"/>
    <mergeCell ref="X51:Z51"/>
    <mergeCell ref="AA51:AC51"/>
    <mergeCell ref="AD51:AF51"/>
    <mergeCell ref="X52:Z52"/>
    <mergeCell ref="AD66:AF66"/>
    <mergeCell ref="AA61:AC61"/>
    <mergeCell ref="AD61:AF61"/>
    <mergeCell ref="AA62:AC62"/>
    <mergeCell ref="AD62:AF62"/>
    <mergeCell ref="AA63:AC63"/>
    <mergeCell ref="X66:Z66"/>
    <mergeCell ref="AA55:AC55"/>
    <mergeCell ref="AD55:AF55"/>
    <mergeCell ref="AA56:AC56"/>
    <mergeCell ref="AH44:AH46"/>
    <mergeCell ref="AI44:AI46"/>
    <mergeCell ref="AA52:AC52"/>
    <mergeCell ref="AD52:AF52"/>
    <mergeCell ref="AA53:AC53"/>
    <mergeCell ref="AD53:AF53"/>
    <mergeCell ref="AA48:AC48"/>
    <mergeCell ref="AD48:AF48"/>
    <mergeCell ref="AA49:AC49"/>
    <mergeCell ref="AD49:AF49"/>
    <mergeCell ref="X53:Z53"/>
    <mergeCell ref="X61:Z61"/>
    <mergeCell ref="AD54:AF54"/>
    <mergeCell ref="AA50:AC50"/>
    <mergeCell ref="AD50:AF50"/>
    <mergeCell ref="AA58:AC58"/>
    <mergeCell ref="AD58:AF58"/>
    <mergeCell ref="X65:Z65"/>
    <mergeCell ref="AA45:AC45"/>
    <mergeCell ref="AD45:AF45"/>
    <mergeCell ref="AA78:AC78"/>
    <mergeCell ref="AD78:AF78"/>
    <mergeCell ref="AA79:AC79"/>
    <mergeCell ref="AD79:AF79"/>
    <mergeCell ref="AA76:AC76"/>
    <mergeCell ref="AD76:AF76"/>
    <mergeCell ref="AA77:AC77"/>
    <mergeCell ref="AD77:AF77"/>
    <mergeCell ref="AH78:AH79"/>
    <mergeCell ref="AI78:AI79"/>
    <mergeCell ref="AA44:AC44"/>
    <mergeCell ref="AD44:AF44"/>
    <mergeCell ref="AA47:AC47"/>
    <mergeCell ref="AD47:AF47"/>
    <mergeCell ref="AH67:AH72"/>
    <mergeCell ref="AI67:AI72"/>
    <mergeCell ref="AH73:AH77"/>
    <mergeCell ref="AI73:AI77"/>
    <mergeCell ref="AD64:AF64"/>
    <mergeCell ref="AA75:AC75"/>
    <mergeCell ref="AD75:AF75"/>
    <mergeCell ref="AA71:AC71"/>
    <mergeCell ref="AD71:AF71"/>
    <mergeCell ref="AA72:AC72"/>
    <mergeCell ref="AD72:AF72"/>
    <mergeCell ref="AA68:AC68"/>
    <mergeCell ref="AD68:AF68"/>
    <mergeCell ref="AA69:AC69"/>
    <mergeCell ref="AD56:AF56"/>
    <mergeCell ref="AA65:AC65"/>
    <mergeCell ref="AD65:AF65"/>
    <mergeCell ref="AA66:AC66"/>
    <mergeCell ref="AH85:AH88"/>
    <mergeCell ref="AI85:AI88"/>
    <mergeCell ref="X86:Z86"/>
    <mergeCell ref="AA86:AC86"/>
    <mergeCell ref="AD86:AF86"/>
    <mergeCell ref="X87:Z87"/>
    <mergeCell ref="AA87:AC87"/>
    <mergeCell ref="AD87:AF87"/>
    <mergeCell ref="X88:Z88"/>
    <mergeCell ref="AA88:AC88"/>
    <mergeCell ref="X68:Z68"/>
    <mergeCell ref="X69:Z69"/>
    <mergeCell ref="AD83:AF83"/>
    <mergeCell ref="X84:Z84"/>
    <mergeCell ref="AA84:AC84"/>
    <mergeCell ref="AD84:AF84"/>
    <mergeCell ref="AD69:AF69"/>
    <mergeCell ref="AA70:AC70"/>
    <mergeCell ref="AD70:AF70"/>
    <mergeCell ref="AA82:AC82"/>
    <mergeCell ref="X72:Z72"/>
    <mergeCell ref="X73:Z73"/>
    <mergeCell ref="X74:Z74"/>
    <mergeCell ref="X70:Z70"/>
    <mergeCell ref="X71:Z71"/>
    <mergeCell ref="X75:Z75"/>
    <mergeCell ref="AA73:AC73"/>
    <mergeCell ref="AD73:AF73"/>
    <mergeCell ref="AA74:AC74"/>
    <mergeCell ref="AD74:AF74"/>
    <mergeCell ref="X79:Z79"/>
    <mergeCell ref="X76:Z76"/>
    <mergeCell ref="AH89:AH92"/>
    <mergeCell ref="AI89:AI92"/>
    <mergeCell ref="X90:Z90"/>
    <mergeCell ref="AA90:AC90"/>
    <mergeCell ref="AD90:AF90"/>
    <mergeCell ref="X91:Z91"/>
    <mergeCell ref="AA91:AC91"/>
    <mergeCell ref="AD91:AF91"/>
    <mergeCell ref="X92:Z92"/>
    <mergeCell ref="AA92:AC92"/>
    <mergeCell ref="X85:Z85"/>
    <mergeCell ref="AA85:AC85"/>
    <mergeCell ref="AD85:AF85"/>
    <mergeCell ref="AD88:AF88"/>
    <mergeCell ref="B80:B84"/>
    <mergeCell ref="X80:Z80"/>
    <mergeCell ref="AA80:AC80"/>
    <mergeCell ref="AD80:AF80"/>
    <mergeCell ref="B89:B92"/>
    <mergeCell ref="X89:Z89"/>
    <mergeCell ref="AA89:AC89"/>
    <mergeCell ref="AD89:AF89"/>
    <mergeCell ref="AD92:AF92"/>
    <mergeCell ref="AH80:AH84"/>
    <mergeCell ref="AI80:AI84"/>
    <mergeCell ref="X81:Z81"/>
    <mergeCell ref="AA81:AC81"/>
    <mergeCell ref="AD81:AF81"/>
    <mergeCell ref="X82:Z82"/>
    <mergeCell ref="AD82:AF82"/>
    <mergeCell ref="X83:Z83"/>
    <mergeCell ref="AA83:AC83"/>
    <mergeCell ref="AH93:AH98"/>
    <mergeCell ref="AI93:AI98"/>
    <mergeCell ref="X94:Z94"/>
    <mergeCell ref="AA94:AC94"/>
    <mergeCell ref="AD94:AF94"/>
    <mergeCell ref="X95:Z95"/>
    <mergeCell ref="AA95:AC95"/>
    <mergeCell ref="AD95:AF95"/>
    <mergeCell ref="X96:Z96"/>
    <mergeCell ref="AA96:AC96"/>
    <mergeCell ref="X97:Z97"/>
    <mergeCell ref="AA97:AC97"/>
    <mergeCell ref="AD97:AF97"/>
    <mergeCell ref="X98:Z98"/>
    <mergeCell ref="AA98:AC98"/>
    <mergeCell ref="AD98:AF98"/>
    <mergeCell ref="AH99:AH102"/>
    <mergeCell ref="AI99:AI102"/>
    <mergeCell ref="X100:Z100"/>
    <mergeCell ref="AA100:AC100"/>
    <mergeCell ref="AD100:AF100"/>
    <mergeCell ref="X101:Z101"/>
    <mergeCell ref="AA101:AC101"/>
    <mergeCell ref="AD101:AF101"/>
    <mergeCell ref="X93:Z93"/>
    <mergeCell ref="AA93:AC93"/>
    <mergeCell ref="AD93:AF93"/>
    <mergeCell ref="AD96:AF96"/>
    <mergeCell ref="X99:Z99"/>
    <mergeCell ref="AA99:AC99"/>
    <mergeCell ref="AD99:AF99"/>
    <mergeCell ref="AA104:AC104"/>
    <mergeCell ref="AD104:AF104"/>
    <mergeCell ref="X105:Z105"/>
    <mergeCell ref="AA105:AC105"/>
    <mergeCell ref="AD105:AF105"/>
    <mergeCell ref="AH109:AH111"/>
    <mergeCell ref="AI109:AI111"/>
    <mergeCell ref="X110:Z110"/>
    <mergeCell ref="AA110:AC110"/>
    <mergeCell ref="AD110:AF110"/>
    <mergeCell ref="X111:Z111"/>
    <mergeCell ref="B103:B108"/>
    <mergeCell ref="X103:Z103"/>
    <mergeCell ref="AA103:AC103"/>
    <mergeCell ref="AD103:AF103"/>
    <mergeCell ref="AD106:AF106"/>
    <mergeCell ref="X107:Z107"/>
    <mergeCell ref="B109:B111"/>
    <mergeCell ref="AD114:AF114"/>
    <mergeCell ref="X115:Z115"/>
    <mergeCell ref="AA115:AC115"/>
    <mergeCell ref="X102:Z102"/>
    <mergeCell ref="AA102:AC102"/>
    <mergeCell ref="AD102:AF102"/>
    <mergeCell ref="AA107:AC107"/>
    <mergeCell ref="AD107:AF107"/>
    <mergeCell ref="X108:Z108"/>
    <mergeCell ref="AA108:AC108"/>
    <mergeCell ref="X109:Z109"/>
    <mergeCell ref="AA109:AC109"/>
    <mergeCell ref="AD109:AF109"/>
    <mergeCell ref="AH112:AH115"/>
    <mergeCell ref="AI112:AI115"/>
    <mergeCell ref="X113:Z113"/>
    <mergeCell ref="AA113:AC113"/>
    <mergeCell ref="AD113:AF113"/>
    <mergeCell ref="X114:Z114"/>
    <mergeCell ref="AA114:AC114"/>
    <mergeCell ref="X106:Z106"/>
    <mergeCell ref="AA106:AC106"/>
    <mergeCell ref="AA111:AC111"/>
    <mergeCell ref="AD111:AF111"/>
    <mergeCell ref="X112:Z112"/>
    <mergeCell ref="AA112:AC112"/>
    <mergeCell ref="AD112:AF112"/>
    <mergeCell ref="AD115:AF115"/>
    <mergeCell ref="AD108:AF108"/>
    <mergeCell ref="AH103:AH108"/>
    <mergeCell ref="AI103:AI108"/>
    <mergeCell ref="X104:Z104"/>
    <mergeCell ref="AL116:AL121"/>
    <mergeCell ref="X117:Z117"/>
    <mergeCell ref="AA117:AC117"/>
    <mergeCell ref="AD117:AF117"/>
    <mergeCell ref="AG117:AI117"/>
    <mergeCell ref="X118:Z118"/>
    <mergeCell ref="AA118:AC118"/>
    <mergeCell ref="AD118:AF118"/>
    <mergeCell ref="AG118:AI118"/>
    <mergeCell ref="X119:Z119"/>
    <mergeCell ref="AD120:AF120"/>
    <mergeCell ref="AG120:AI120"/>
    <mergeCell ref="X121:Z121"/>
    <mergeCell ref="AA121:AC121"/>
    <mergeCell ref="AD121:AF121"/>
    <mergeCell ref="AG121:AI121"/>
    <mergeCell ref="X116:Z116"/>
    <mergeCell ref="AA116:AC116"/>
    <mergeCell ref="AD116:AF116"/>
    <mergeCell ref="AG116:AI116"/>
    <mergeCell ref="AK116:AK121"/>
    <mergeCell ref="AA119:AC119"/>
    <mergeCell ref="AD119:AF119"/>
    <mergeCell ref="AG119:AI119"/>
    <mergeCell ref="X120:Z120"/>
    <mergeCell ref="AA120:AC120"/>
    <mergeCell ref="AA131:AC131"/>
    <mergeCell ref="AL122:AL125"/>
    <mergeCell ref="X123:Z123"/>
    <mergeCell ref="AA123:AC123"/>
    <mergeCell ref="AD123:AF123"/>
    <mergeCell ref="AG123:AI123"/>
    <mergeCell ref="X124:Z124"/>
    <mergeCell ref="AA124:AC124"/>
    <mergeCell ref="AD124:AF124"/>
    <mergeCell ref="AG124:AI124"/>
    <mergeCell ref="X125:Z125"/>
    <mergeCell ref="X122:Z122"/>
    <mergeCell ref="AA122:AC122"/>
    <mergeCell ref="AD122:AF122"/>
    <mergeCell ref="AG122:AI122"/>
    <mergeCell ref="AK122:AK125"/>
    <mergeCell ref="AA125:AC125"/>
    <mergeCell ref="AD125:AF125"/>
    <mergeCell ref="AG125:AI125"/>
    <mergeCell ref="X126:Z126"/>
    <mergeCell ref="AA126:AC126"/>
    <mergeCell ref="AD126:AF126"/>
    <mergeCell ref="AG126:AI126"/>
    <mergeCell ref="AD131:AF131"/>
    <mergeCell ref="AG131:AI131"/>
    <mergeCell ref="AA132:AC132"/>
    <mergeCell ref="AD132:AF132"/>
    <mergeCell ref="AG132:AI132"/>
    <mergeCell ref="AK132:AK136"/>
    <mergeCell ref="AA135:AC135"/>
    <mergeCell ref="AD135:AF135"/>
    <mergeCell ref="AG135:AI135"/>
    <mergeCell ref="X136:Z136"/>
    <mergeCell ref="AL126:AL131"/>
    <mergeCell ref="X127:Z127"/>
    <mergeCell ref="AA127:AC127"/>
    <mergeCell ref="AD127:AF127"/>
    <mergeCell ref="AG127:AI127"/>
    <mergeCell ref="X128:Z128"/>
    <mergeCell ref="AA128:AC128"/>
    <mergeCell ref="AD128:AF128"/>
    <mergeCell ref="AG128:AI128"/>
    <mergeCell ref="X129:Z129"/>
    <mergeCell ref="AK126:AK131"/>
    <mergeCell ref="AA129:AC129"/>
    <mergeCell ref="AD129:AF129"/>
    <mergeCell ref="AG129:AI129"/>
    <mergeCell ref="X130:Z130"/>
    <mergeCell ref="AA130:AC130"/>
    <mergeCell ref="AL132:AL136"/>
    <mergeCell ref="X133:Z133"/>
    <mergeCell ref="AA133:AC133"/>
    <mergeCell ref="AD133:AF133"/>
    <mergeCell ref="AG133:AI133"/>
    <mergeCell ref="X134:Z134"/>
    <mergeCell ref="AD130:AF130"/>
    <mergeCell ref="AG130:AI130"/>
    <mergeCell ref="AK137:AK142"/>
    <mergeCell ref="AL137:AL142"/>
    <mergeCell ref="X138:Z138"/>
    <mergeCell ref="AA138:AC138"/>
    <mergeCell ref="AD138:AF138"/>
    <mergeCell ref="AG138:AI138"/>
    <mergeCell ref="X139:Z139"/>
    <mergeCell ref="AA139:AC139"/>
    <mergeCell ref="AD139:AF139"/>
    <mergeCell ref="AG139:AI139"/>
    <mergeCell ref="AD140:AF140"/>
    <mergeCell ref="AG140:AI140"/>
    <mergeCell ref="X141:Z141"/>
    <mergeCell ref="AA141:AC141"/>
    <mergeCell ref="AD141:AF141"/>
    <mergeCell ref="AG141:AI141"/>
    <mergeCell ref="AA134:AC134"/>
    <mergeCell ref="AD134:AF134"/>
    <mergeCell ref="AG134:AI134"/>
    <mergeCell ref="X137:Z137"/>
    <mergeCell ref="AA137:AC137"/>
    <mergeCell ref="AD137:AF137"/>
    <mergeCell ref="AA136:AC136"/>
    <mergeCell ref="AD136:AF136"/>
    <mergeCell ref="AG136:AI136"/>
    <mergeCell ref="AG137:AI137"/>
    <mergeCell ref="X140:Z140"/>
    <mergeCell ref="AA140:AC140"/>
    <mergeCell ref="X142:Z142"/>
    <mergeCell ref="AA142:AC142"/>
    <mergeCell ref="AD142:AF142"/>
    <mergeCell ref="AG142:AI142"/>
    <mergeCell ref="AL143:AL146"/>
    <mergeCell ref="X144:Z144"/>
    <mergeCell ref="AA144:AC144"/>
    <mergeCell ref="AD144:AF144"/>
    <mergeCell ref="AG144:AI144"/>
    <mergeCell ref="X145:Z145"/>
    <mergeCell ref="AA145:AC145"/>
    <mergeCell ref="AD145:AF145"/>
    <mergeCell ref="AG145:AI145"/>
    <mergeCell ref="AA146:AC146"/>
    <mergeCell ref="X143:Z143"/>
    <mergeCell ref="AA143:AC143"/>
    <mergeCell ref="AD143:AF143"/>
    <mergeCell ref="AG143:AI143"/>
    <mergeCell ref="X146:Z146"/>
    <mergeCell ref="AK143:AK146"/>
    <mergeCell ref="AD146:AF146"/>
    <mergeCell ref="AG146:AI146"/>
    <mergeCell ref="AA149:AC149"/>
    <mergeCell ref="AD149:AF149"/>
    <mergeCell ref="AG149:AI149"/>
    <mergeCell ref="X152:Z152"/>
    <mergeCell ref="AA152:AC152"/>
    <mergeCell ref="AD152:AF152"/>
    <mergeCell ref="AG152:AI152"/>
    <mergeCell ref="AA151:AC151"/>
    <mergeCell ref="AD151:AF151"/>
    <mergeCell ref="AG151:AI151"/>
    <mergeCell ref="AK147:AK152"/>
    <mergeCell ref="AL147:AL152"/>
    <mergeCell ref="X148:Z148"/>
    <mergeCell ref="AA148:AC148"/>
    <mergeCell ref="AD148:AF148"/>
    <mergeCell ref="AG148:AI148"/>
    <mergeCell ref="X149:Z149"/>
    <mergeCell ref="X147:Z147"/>
    <mergeCell ref="AA147:AC147"/>
    <mergeCell ref="AD147:AF147"/>
    <mergeCell ref="AG147:AI147"/>
    <mergeCell ref="X150:Z150"/>
    <mergeCell ref="AA150:AC150"/>
    <mergeCell ref="AD150:AF150"/>
    <mergeCell ref="AG150:AI150"/>
    <mergeCell ref="X151:Z151"/>
    <mergeCell ref="AD161:AF161"/>
    <mergeCell ref="AK153:AK158"/>
    <mergeCell ref="AL153:AL158"/>
    <mergeCell ref="X154:Z154"/>
    <mergeCell ref="AA154:AC154"/>
    <mergeCell ref="AD154:AF154"/>
    <mergeCell ref="AG154:AI154"/>
    <mergeCell ref="X155:Z155"/>
    <mergeCell ref="AA155:AC155"/>
    <mergeCell ref="AD155:AF155"/>
    <mergeCell ref="AG155:AI155"/>
    <mergeCell ref="X153:Z153"/>
    <mergeCell ref="AA153:AC153"/>
    <mergeCell ref="AD153:AF153"/>
    <mergeCell ref="AG153:AI153"/>
    <mergeCell ref="X156:Z156"/>
    <mergeCell ref="AG158:AI158"/>
    <mergeCell ref="X158:Z158"/>
    <mergeCell ref="AA158:AC158"/>
    <mergeCell ref="AA169:AC169"/>
    <mergeCell ref="AD169:AF169"/>
    <mergeCell ref="X170:Z170"/>
    <mergeCell ref="AA170:AC170"/>
    <mergeCell ref="AD170:AF170"/>
    <mergeCell ref="X171:Z171"/>
    <mergeCell ref="AA171:AC171"/>
    <mergeCell ref="AA164:AC164"/>
    <mergeCell ref="AD164:AF164"/>
    <mergeCell ref="AH159:AH164"/>
    <mergeCell ref="AI159:AI164"/>
    <mergeCell ref="AA156:AC156"/>
    <mergeCell ref="AD156:AF156"/>
    <mergeCell ref="AG156:AI156"/>
    <mergeCell ref="X157:Z157"/>
    <mergeCell ref="AA157:AC157"/>
    <mergeCell ref="AD157:AF157"/>
    <mergeCell ref="AG157:AI157"/>
    <mergeCell ref="X160:Z160"/>
    <mergeCell ref="AA163:AC163"/>
    <mergeCell ref="AD163:AF163"/>
    <mergeCell ref="AD158:AF158"/>
    <mergeCell ref="AA159:AC159"/>
    <mergeCell ref="AD159:AF159"/>
    <mergeCell ref="AA160:AC160"/>
    <mergeCell ref="AD160:AF160"/>
    <mergeCell ref="X161:Z161"/>
    <mergeCell ref="AA161:AC161"/>
    <mergeCell ref="X162:Z162"/>
    <mergeCell ref="AA162:AC162"/>
    <mergeCell ref="AD162:AF162"/>
    <mergeCell ref="X163:Z163"/>
    <mergeCell ref="AD176:AF176"/>
    <mergeCell ref="X177:Z177"/>
    <mergeCell ref="AA177:AC177"/>
    <mergeCell ref="AD178:AF178"/>
    <mergeCell ref="B165:B167"/>
    <mergeCell ref="X165:Z165"/>
    <mergeCell ref="AA165:AC165"/>
    <mergeCell ref="AD165:AF165"/>
    <mergeCell ref="AD171:AF171"/>
    <mergeCell ref="X172:Z172"/>
    <mergeCell ref="AD174:AF174"/>
    <mergeCell ref="AD177:AF177"/>
    <mergeCell ref="X178:Z178"/>
    <mergeCell ref="AA178:AC178"/>
    <mergeCell ref="AI174:AI178"/>
    <mergeCell ref="X175:Z175"/>
    <mergeCell ref="AA175:AC175"/>
    <mergeCell ref="AD175:AF175"/>
    <mergeCell ref="X176:Z176"/>
    <mergeCell ref="AA176:AC176"/>
    <mergeCell ref="AA172:AC172"/>
    <mergeCell ref="AD172:AF172"/>
    <mergeCell ref="AH165:AH167"/>
    <mergeCell ref="AI165:AI167"/>
    <mergeCell ref="X166:Z166"/>
    <mergeCell ref="AA166:AC166"/>
    <mergeCell ref="AD166:AF166"/>
    <mergeCell ref="X167:Z167"/>
    <mergeCell ref="AA167:AC167"/>
    <mergeCell ref="AD167:AF167"/>
    <mergeCell ref="AH168:AH173"/>
    <mergeCell ref="AI168:AI173"/>
    <mergeCell ref="AD185:AF185"/>
    <mergeCell ref="AD188:AF188"/>
    <mergeCell ref="B168:B173"/>
    <mergeCell ref="X168:Z168"/>
    <mergeCell ref="AA168:AC168"/>
    <mergeCell ref="AD168:AF168"/>
    <mergeCell ref="X173:Z173"/>
    <mergeCell ref="AA173:AC173"/>
    <mergeCell ref="AD173:AF173"/>
    <mergeCell ref="B174:B178"/>
    <mergeCell ref="AH179:AH184"/>
    <mergeCell ref="X183:Z183"/>
    <mergeCell ref="AA183:AC183"/>
    <mergeCell ref="AD183:AF183"/>
    <mergeCell ref="X184:Z184"/>
    <mergeCell ref="AH174:AH178"/>
    <mergeCell ref="AA184:AC184"/>
    <mergeCell ref="AD184:AF184"/>
    <mergeCell ref="X174:Z174"/>
    <mergeCell ref="AA174:AC174"/>
    <mergeCell ref="AD187:AF187"/>
    <mergeCell ref="X188:Z188"/>
    <mergeCell ref="AA188:AC188"/>
    <mergeCell ref="B179:B184"/>
    <mergeCell ref="X179:Z179"/>
    <mergeCell ref="AA179:AC179"/>
    <mergeCell ref="AD179:AF179"/>
    <mergeCell ref="B185:B188"/>
    <mergeCell ref="X185:Z185"/>
    <mergeCell ref="AA185:AC185"/>
    <mergeCell ref="X182:Z182"/>
    <mergeCell ref="AA182:AC182"/>
    <mergeCell ref="AD182:AF182"/>
    <mergeCell ref="AH185:AH188"/>
    <mergeCell ref="AI185:AI188"/>
    <mergeCell ref="X186:Z186"/>
    <mergeCell ref="AA186:AC186"/>
    <mergeCell ref="AD186:AF186"/>
    <mergeCell ref="X187:Z187"/>
    <mergeCell ref="AA187:AC187"/>
    <mergeCell ref="X198:Z198"/>
    <mergeCell ref="AA198:AC198"/>
    <mergeCell ref="AD198:AF198"/>
    <mergeCell ref="AI179:AI184"/>
    <mergeCell ref="X180:Z180"/>
    <mergeCell ref="AA180:AC180"/>
    <mergeCell ref="AD180:AF180"/>
    <mergeCell ref="X181:Z181"/>
    <mergeCell ref="AA181:AC181"/>
    <mergeCell ref="AD181:AF181"/>
    <mergeCell ref="AA192:AC192"/>
    <mergeCell ref="AD192:AF192"/>
    <mergeCell ref="X193:Z193"/>
    <mergeCell ref="AA193:AC193"/>
    <mergeCell ref="AD193:AF193"/>
    <mergeCell ref="AA196:AC196"/>
    <mergeCell ref="AD196:AF196"/>
    <mergeCell ref="AI189:AI193"/>
    <mergeCell ref="X190:Z190"/>
    <mergeCell ref="AA190:AC190"/>
    <mergeCell ref="AD190:AF190"/>
    <mergeCell ref="X191:Z191"/>
    <mergeCell ref="AH194:AH199"/>
    <mergeCell ref="AI194:AI199"/>
    <mergeCell ref="AA195:AC195"/>
    <mergeCell ref="AD195:AF195"/>
    <mergeCell ref="AD205:AF205"/>
    <mergeCell ref="B189:B193"/>
    <mergeCell ref="X189:Z189"/>
    <mergeCell ref="AA189:AC189"/>
    <mergeCell ref="AD189:AF189"/>
    <mergeCell ref="AH189:AH193"/>
    <mergeCell ref="X196:Z196"/>
    <mergeCell ref="AA191:AC191"/>
    <mergeCell ref="AD191:AF191"/>
    <mergeCell ref="X192:Z192"/>
    <mergeCell ref="AH200:AH205"/>
    <mergeCell ref="AI200:AI205"/>
    <mergeCell ref="X201:Z201"/>
    <mergeCell ref="AA201:AC201"/>
    <mergeCell ref="AD201:AF201"/>
    <mergeCell ref="X202:Z202"/>
    <mergeCell ref="AA202:AC202"/>
    <mergeCell ref="AD202:AF202"/>
    <mergeCell ref="X203:Z203"/>
    <mergeCell ref="AA203:AC203"/>
    <mergeCell ref="B200:B205"/>
    <mergeCell ref="X200:Z200"/>
    <mergeCell ref="AA200:AC200"/>
    <mergeCell ref="AD200:AF200"/>
    <mergeCell ref="AD203:AF203"/>
    <mergeCell ref="X204:Z204"/>
    <mergeCell ref="AA204:AC204"/>
    <mergeCell ref="AD204:AF204"/>
    <mergeCell ref="X205:Z205"/>
    <mergeCell ref="AH206:AH209"/>
    <mergeCell ref="AI206:AI209"/>
    <mergeCell ref="X207:Z207"/>
    <mergeCell ref="AA207:AC207"/>
    <mergeCell ref="AD207:AF207"/>
    <mergeCell ref="B206:B209"/>
    <mergeCell ref="X206:Z206"/>
    <mergeCell ref="AA206:AC206"/>
    <mergeCell ref="AD206:AF206"/>
    <mergeCell ref="AD209:AF209"/>
    <mergeCell ref="AH210:AH213"/>
    <mergeCell ref="X208:Z208"/>
    <mergeCell ref="AA208:AC208"/>
    <mergeCell ref="AD208:AF208"/>
    <mergeCell ref="X209:Z209"/>
    <mergeCell ref="AA205:AC205"/>
    <mergeCell ref="B194:B199"/>
    <mergeCell ref="X194:Z194"/>
    <mergeCell ref="AA194:AC194"/>
    <mergeCell ref="AD194:AF194"/>
    <mergeCell ref="X199:Z199"/>
    <mergeCell ref="AA199:AC199"/>
    <mergeCell ref="AD199:AF199"/>
    <mergeCell ref="X197:Z197"/>
    <mergeCell ref="AA197:AC197"/>
    <mergeCell ref="AD197:AF197"/>
    <mergeCell ref="AA209:AC209"/>
    <mergeCell ref="AA212:AC212"/>
    <mergeCell ref="AD212:AF212"/>
    <mergeCell ref="X213:Z213"/>
    <mergeCell ref="AA213:AC213"/>
    <mergeCell ref="AD213:AF213"/>
    <mergeCell ref="AA215:AC215"/>
    <mergeCell ref="AD215:AF215"/>
    <mergeCell ref="X216:Z216"/>
    <mergeCell ref="AA216:AC216"/>
    <mergeCell ref="B210:B213"/>
    <mergeCell ref="X210:Z210"/>
    <mergeCell ref="AA210:AC210"/>
    <mergeCell ref="AD210:AF210"/>
    <mergeCell ref="X218:Z218"/>
    <mergeCell ref="AA218:AC218"/>
    <mergeCell ref="AD218:AF218"/>
    <mergeCell ref="AD216:AF216"/>
    <mergeCell ref="X217:Z217"/>
    <mergeCell ref="AA217:AC217"/>
    <mergeCell ref="AI210:AI213"/>
    <mergeCell ref="X211:Z211"/>
    <mergeCell ref="AA211:AC211"/>
    <mergeCell ref="AD211:AF211"/>
    <mergeCell ref="X212:Z212"/>
    <mergeCell ref="B214:B219"/>
    <mergeCell ref="X214:Z214"/>
    <mergeCell ref="AA214:AC214"/>
    <mergeCell ref="AD214:AF214"/>
    <mergeCell ref="AD217:AF217"/>
    <mergeCell ref="X219:Z219"/>
    <mergeCell ref="AA219:AC219"/>
    <mergeCell ref="AD219:AF219"/>
    <mergeCell ref="AH214:AH219"/>
    <mergeCell ref="AI214:AI219"/>
    <mergeCell ref="AH225:AH230"/>
    <mergeCell ref="AI225:AI230"/>
    <mergeCell ref="X226:Z226"/>
    <mergeCell ref="AA226:AC226"/>
    <mergeCell ref="AD226:AF226"/>
    <mergeCell ref="X227:Z227"/>
    <mergeCell ref="AH220:AH224"/>
    <mergeCell ref="AI220:AI224"/>
    <mergeCell ref="X221:Z221"/>
    <mergeCell ref="AA221:AC221"/>
    <mergeCell ref="AD221:AF221"/>
    <mergeCell ref="X222:Z222"/>
    <mergeCell ref="AA222:AC222"/>
    <mergeCell ref="AD222:AF222"/>
    <mergeCell ref="X223:Z223"/>
    <mergeCell ref="AA223:AC223"/>
    <mergeCell ref="B225:B230"/>
    <mergeCell ref="X225:Z225"/>
    <mergeCell ref="AA225:AC225"/>
    <mergeCell ref="AD225:AF225"/>
    <mergeCell ref="B220:B224"/>
    <mergeCell ref="X220:Z220"/>
    <mergeCell ref="AA244:AC244"/>
    <mergeCell ref="X241:Z241"/>
    <mergeCell ref="AA241:AC241"/>
    <mergeCell ref="AA220:AC220"/>
    <mergeCell ref="AD220:AF220"/>
    <mergeCell ref="AD223:AF223"/>
    <mergeCell ref="X224:Z224"/>
    <mergeCell ref="AA227:AC227"/>
    <mergeCell ref="AD227:AF227"/>
    <mergeCell ref="X228:Z228"/>
    <mergeCell ref="AA228:AC228"/>
    <mergeCell ref="AD228:AF228"/>
    <mergeCell ref="X229:Z229"/>
    <mergeCell ref="AA229:AC229"/>
    <mergeCell ref="AD229:AF229"/>
    <mergeCell ref="AA239:AC239"/>
    <mergeCell ref="AD239:AF239"/>
    <mergeCell ref="X231:Z231"/>
    <mergeCell ref="AA231:AC231"/>
    <mergeCell ref="AD231:AF231"/>
    <mergeCell ref="AD234:AF234"/>
    <mergeCell ref="AA224:AC224"/>
    <mergeCell ref="AD224:AF224"/>
    <mergeCell ref="X230:Z230"/>
    <mergeCell ref="AA230:AC230"/>
    <mergeCell ref="AD230:AF230"/>
    <mergeCell ref="X235:Z235"/>
    <mergeCell ref="AA235:AC235"/>
    <mergeCell ref="AD235:AF235"/>
    <mergeCell ref="X240:Z240"/>
    <mergeCell ref="AA240:AC240"/>
    <mergeCell ref="AD240:AF240"/>
    <mergeCell ref="AA238:AC238"/>
    <mergeCell ref="AD238:AF238"/>
    <mergeCell ref="X239:Z239"/>
    <mergeCell ref="AH231:AH234"/>
    <mergeCell ref="AI231:AI234"/>
    <mergeCell ref="X232:Z232"/>
    <mergeCell ref="AA232:AC232"/>
    <mergeCell ref="AD232:AF232"/>
    <mergeCell ref="X233:Z233"/>
    <mergeCell ref="AA233:AC233"/>
    <mergeCell ref="AD233:AF233"/>
    <mergeCell ref="X234:Z234"/>
    <mergeCell ref="AA234:AC234"/>
    <mergeCell ref="AH235:AH240"/>
    <mergeCell ref="AI235:AI240"/>
    <mergeCell ref="X236:Z236"/>
    <mergeCell ref="AA236:AC236"/>
    <mergeCell ref="AD236:AF236"/>
    <mergeCell ref="X237:Z237"/>
    <mergeCell ref="AA237:AC237"/>
    <mergeCell ref="AD237:AF237"/>
    <mergeCell ref="X238:Z238"/>
    <mergeCell ref="AI247:AI250"/>
    <mergeCell ref="X248:Z248"/>
    <mergeCell ref="AA248:AC248"/>
    <mergeCell ref="AD248:AF248"/>
    <mergeCell ref="X249:Z249"/>
    <mergeCell ref="AA249:AC249"/>
    <mergeCell ref="AD249:AF249"/>
    <mergeCell ref="X250:Z250"/>
    <mergeCell ref="AA250:AC250"/>
    <mergeCell ref="B247:B250"/>
    <mergeCell ref="X247:Z247"/>
    <mergeCell ref="AA247:AC247"/>
    <mergeCell ref="AD247:AF247"/>
    <mergeCell ref="AD250:AF250"/>
    <mergeCell ref="AH247:AH250"/>
    <mergeCell ref="AD241:AF241"/>
    <mergeCell ref="AD244:AF244"/>
    <mergeCell ref="X245:Z245"/>
    <mergeCell ref="AA245:AC245"/>
    <mergeCell ref="AD245:AF245"/>
    <mergeCell ref="X246:Z246"/>
    <mergeCell ref="AA246:AC246"/>
    <mergeCell ref="AD246:AF246"/>
    <mergeCell ref="AH241:AH246"/>
    <mergeCell ref="AI241:AI246"/>
    <mergeCell ref="X242:Z242"/>
    <mergeCell ref="AA242:AC242"/>
    <mergeCell ref="AD242:AF242"/>
    <mergeCell ref="X243:Z243"/>
    <mergeCell ref="AA243:AC243"/>
    <mergeCell ref="AD243:AF243"/>
    <mergeCell ref="X244:Z244"/>
  </mergeCells>
  <conditionalFormatting sqref="AH13:AI13 AH8:AI8 AG3:AI3 AH18:AI18 AH24:AI24 AH29:AI29 AH33:AI33 AG39:AI39 AG4:AG38 AG40:AG43 H3:I43">
    <cfRule type="containsText" dxfId="177" priority="47" operator="containsText" text="NO">
      <formula>NOT(ISERROR(SEARCH("NO",H3)))</formula>
    </cfRule>
  </conditionalFormatting>
  <conditionalFormatting sqref="AG45:AG79 H44:I79">
    <cfRule type="containsText" dxfId="176" priority="44" operator="containsText" text="NO">
      <formula>NOT(ISERROR(SEARCH("NO",H44)))</formula>
    </cfRule>
  </conditionalFormatting>
  <conditionalFormatting sqref="AG44:AI44 AH47:AI47 AH53:AI53 AH58:AI58 AH61:AI61 AH67:AI67 AH73:AI73 AH78">
    <cfRule type="containsText" dxfId="175" priority="43" operator="containsText" text="NO">
      <formula>NOT(ISERROR(SEARCH("NO",AG44)))</formula>
    </cfRule>
  </conditionalFormatting>
  <conditionalFormatting sqref="H80:I115 AG81:AG115">
    <cfRule type="containsText" dxfId="174" priority="42" operator="containsText" text="NO">
      <formula>NOT(ISERROR(SEARCH("NO",H80)))</formula>
    </cfRule>
  </conditionalFormatting>
  <conditionalFormatting sqref="AG80:AI80 AH85:AI85 AH89:AI89 AH93:AI93 AH99:AI99 AH103:AI103 AH109:AI109 AH112:AI112">
    <cfRule type="containsText" dxfId="173" priority="41" operator="containsText" text="NO">
      <formula>NOT(ISERROR(SEARCH("NO",AG80)))</formula>
    </cfRule>
  </conditionalFormatting>
  <conditionalFormatting sqref="H112:I112">
    <cfRule type="containsText" dxfId="172" priority="40" operator="containsText" text="NO">
      <formula>NOT(ISERROR(SEARCH("NO",H112)))</formula>
    </cfRule>
  </conditionalFormatting>
  <conditionalFormatting sqref="AJ117:AJ158 H116:I158">
    <cfRule type="containsText" dxfId="171" priority="39" operator="containsText" text="NO">
      <formula>NOT(ISERROR(SEARCH("NO",H116)))</formula>
    </cfRule>
  </conditionalFormatting>
  <conditionalFormatting sqref="AJ116:AK116 AK122:AL122 AK126:AL126 AK132:AL132 AK137:AL137 AK143:AL143 AK147:AL147 AK153:AL153">
    <cfRule type="containsText" dxfId="170" priority="38" operator="containsText" text="NO">
      <formula>NOT(ISERROR(SEARCH("NO",AJ116)))</formula>
    </cfRule>
  </conditionalFormatting>
  <conditionalFormatting sqref="AG159:AI159 AH165:AI165 AG160:AG188 H159:I199 AH168:AI168 AH174:AI174 AH179:AI179 AH185:AI185 AH189:AI189 AG194:AG199">
    <cfRule type="containsText" dxfId="169" priority="37" operator="containsText" text="NO">
      <formula>NOT(ISERROR(SEARCH("NO",H159)))</formula>
    </cfRule>
  </conditionalFormatting>
  <conditionalFormatting sqref="AH194:AI194">
    <cfRule type="containsText" dxfId="168" priority="36" operator="containsText" text="NO">
      <formula>NOT(ISERROR(SEARCH("NO",AH194)))</formula>
    </cfRule>
  </conditionalFormatting>
  <conditionalFormatting sqref="AG189:AG193">
    <cfRule type="containsText" dxfId="167" priority="35" operator="containsText" text="NO">
      <formula>NOT(ISERROR(SEARCH("NO",AG189)))</formula>
    </cfRule>
  </conditionalFormatting>
  <conditionalFormatting sqref="H200:I240 AG204:AG240">
    <cfRule type="containsText" dxfId="166" priority="34" operator="containsText" text="NO">
      <formula>NOT(ISERROR(SEARCH("NO",H200)))</formula>
    </cfRule>
  </conditionalFormatting>
  <conditionalFormatting sqref="AG200:AI200 AG201:AG202 AG206:AH206 AH214:AI214 AH220 AH225:AI225 AH231:AI231 AH235 AG210:AI210">
    <cfRule type="containsText" dxfId="165" priority="33" operator="containsText" text="NO">
      <formula>NOT(ISERROR(SEARCH("NO",AG200)))</formula>
    </cfRule>
  </conditionalFormatting>
  <conditionalFormatting sqref="AG203">
    <cfRule type="containsText" dxfId="164" priority="32" operator="containsText" text="NO">
      <formula>NOT(ISERROR(SEARCH("NO",AG203)))</formula>
    </cfRule>
  </conditionalFormatting>
  <conditionalFormatting sqref="AG209">
    <cfRule type="containsText" dxfId="163" priority="31" operator="containsText" text="NO">
      <formula>NOT(ISERROR(SEARCH("NO",AG209)))</formula>
    </cfRule>
  </conditionalFormatting>
  <conditionalFormatting sqref="H241:I246 AG241:AG246">
    <cfRule type="containsText" dxfId="162" priority="30" operator="containsText" text="NO">
      <formula>NOT(ISERROR(SEARCH("NO",H241)))</formula>
    </cfRule>
  </conditionalFormatting>
  <conditionalFormatting sqref="AH241:AI241">
    <cfRule type="containsText" dxfId="161" priority="29" operator="containsText" text="NO">
      <formula>NOT(ISERROR(SEARCH("NO",AH241)))</formula>
    </cfRule>
  </conditionalFormatting>
  <conditionalFormatting sqref="H241:H246">
    <cfRule type="containsText" dxfId="160" priority="28" operator="containsText" text="NO">
      <formula>NOT(ISERROR(SEARCH("NO",H241)))</formula>
    </cfRule>
  </conditionalFormatting>
  <conditionalFormatting sqref="H247:I250 AG247:AI247 AG248:AG250">
    <cfRule type="containsText" dxfId="159" priority="27" operator="containsText" text="NO">
      <formula>NOT(ISERROR(SEARCH("NO",H247)))</formula>
    </cfRule>
  </conditionalFormatting>
  <conditionalFormatting sqref="H200:I205">
    <cfRule type="containsText" dxfId="158" priority="26" operator="containsText" text="NO">
      <formula>NOT(ISERROR(SEARCH("NO",H200)))</formula>
    </cfRule>
  </conditionalFormatting>
  <conditionalFormatting sqref="AH200:AI200 AG200:AG205">
    <cfRule type="containsText" dxfId="157" priority="25" operator="containsText" text="NO">
      <formula>NOT(ISERROR(SEARCH("NO",AG200)))</formula>
    </cfRule>
  </conditionalFormatting>
  <conditionalFormatting sqref="H251:I273 AG252:AG273 AG251:AI251 AH260:AI260 AH264:AI264 AH269:AI269 AH256:AI256">
    <cfRule type="containsText" dxfId="156" priority="24" operator="containsText" text="NO">
      <formula>NOT(ISERROR(SEARCH("NO",H251)))</formula>
    </cfRule>
  </conditionalFormatting>
  <conditionalFormatting sqref="H440:H445">
    <cfRule type="containsText" dxfId="155" priority="3" operator="containsText" text="NO">
      <formula>NOT(ISERROR(SEARCH("NO",H440)))</formula>
    </cfRule>
  </conditionalFormatting>
  <conditionalFormatting sqref="H274:I309 AG275:AG309">
    <cfRule type="containsText" dxfId="154" priority="23" operator="containsText" text="NO">
      <formula>NOT(ISERROR(SEARCH("NO",H274)))</formula>
    </cfRule>
  </conditionalFormatting>
  <conditionalFormatting sqref="AG274:AI274 AH279:AI279 AH285:AI285 AH290:AI290 AH294:AI294 AH300:AI300 AH306:AI306">
    <cfRule type="containsText" dxfId="153" priority="22" operator="containsText" text="NO">
      <formula>NOT(ISERROR(SEARCH("NO",AG274)))</formula>
    </cfRule>
  </conditionalFormatting>
  <conditionalFormatting sqref="H310:I330 AG311:AG339 H339:I339">
    <cfRule type="containsText" dxfId="152" priority="21" operator="containsText" text="NO">
      <formula>NOT(ISERROR(SEARCH("NO",H310)))</formula>
    </cfRule>
  </conditionalFormatting>
  <conditionalFormatting sqref="AG310:AI310 AH315:AI315 AH317:AI317 AH320:AI320 AH326:AI326 AH331:AI331 AH337:AI337">
    <cfRule type="containsText" dxfId="151" priority="20" operator="containsText" text="NO">
      <formula>NOT(ISERROR(SEARCH("NO",AG310)))</formula>
    </cfRule>
  </conditionalFormatting>
  <conditionalFormatting sqref="H331:I332">
    <cfRule type="containsText" dxfId="150" priority="19" operator="containsText" text="NO">
      <formula>NOT(ISERROR(SEARCH("NO",H331)))</formula>
    </cfRule>
  </conditionalFormatting>
  <conditionalFormatting sqref="H337:I338">
    <cfRule type="containsText" dxfId="149" priority="16" operator="containsText" text="NO">
      <formula>NOT(ISERROR(SEARCH("NO",H337)))</formula>
    </cfRule>
  </conditionalFormatting>
  <conditionalFormatting sqref="H334:I336">
    <cfRule type="containsText" dxfId="148" priority="18" operator="containsText" text="NO">
      <formula>NOT(ISERROR(SEARCH("NO",H334)))</formula>
    </cfRule>
  </conditionalFormatting>
  <conditionalFormatting sqref="H333:I333">
    <cfRule type="containsText" dxfId="147" priority="17" operator="containsText" text="NO">
      <formula>NOT(ISERROR(SEARCH("NO",H333)))</formula>
    </cfRule>
  </conditionalFormatting>
  <conditionalFormatting sqref="AH340:AI340 H340:I370">
    <cfRule type="containsText" dxfId="146" priority="15" operator="containsText" text="NO">
      <formula>NOT(ISERROR(SEARCH("NO",H340)))</formula>
    </cfRule>
  </conditionalFormatting>
  <conditionalFormatting sqref="AH344:AI344 AH348:AI348 AH352:AI352 AH355:AI355 AH366:AI366 AH361:AI361">
    <cfRule type="containsText" dxfId="145" priority="14" operator="containsText" text="NO">
      <formula>NOT(ISERROR(SEARCH("NO",AH344)))</formula>
    </cfRule>
  </conditionalFormatting>
  <conditionalFormatting sqref="H371:I405 AG372:AG405">
    <cfRule type="containsText" dxfId="144" priority="13" operator="containsText" text="NO">
      <formula>NOT(ISERROR(SEARCH("NO",H371)))</formula>
    </cfRule>
  </conditionalFormatting>
  <conditionalFormatting sqref="AG371:AI371 AH377:AI377 AH383:AI383 AH388:AI388 AH393:AI393 AH397:AI397 AH401:AI401">
    <cfRule type="containsText" dxfId="143" priority="12" operator="containsText" text="NO">
      <formula>NOT(ISERROR(SEARCH("NO",AG371)))</formula>
    </cfRule>
  </conditionalFormatting>
  <conditionalFormatting sqref="H406:I439">
    <cfRule type="containsText" dxfId="142" priority="11" operator="containsText" text="NO">
      <formula>NOT(ISERROR(SEARCH("NO",H406)))</formula>
    </cfRule>
  </conditionalFormatting>
  <conditionalFormatting sqref="AH416:AI416">
    <cfRule type="containsText" dxfId="141" priority="10" operator="containsText" text="NO">
      <formula>NOT(ISERROR(SEARCH("NO",AH416)))</formula>
    </cfRule>
  </conditionalFormatting>
  <conditionalFormatting sqref="AH406:AI406">
    <cfRule type="containsText" dxfId="140" priority="9" operator="containsText" text="NO">
      <formula>NOT(ISERROR(SEARCH("NO",AH406)))</formula>
    </cfRule>
  </conditionalFormatting>
  <conditionalFormatting sqref="AH412:AI412">
    <cfRule type="containsText" dxfId="139" priority="8" operator="containsText" text="NO">
      <formula>NOT(ISERROR(SEARCH("NO",AH412)))</formula>
    </cfRule>
  </conditionalFormatting>
  <conditionalFormatting sqref="AH422:AI422">
    <cfRule type="containsText" dxfId="138" priority="7" operator="containsText" text="NO">
      <formula>NOT(ISERROR(SEARCH("NO",AH422)))</formula>
    </cfRule>
  </conditionalFormatting>
  <conditionalFormatting sqref="AH427:AI427">
    <cfRule type="containsText" dxfId="137" priority="6" operator="containsText" text="NO">
      <formula>NOT(ISERROR(SEARCH("NO",AH427)))</formula>
    </cfRule>
  </conditionalFormatting>
  <conditionalFormatting sqref="AH433:AI433">
    <cfRule type="containsText" dxfId="136" priority="5" operator="containsText" text="NO">
      <formula>NOT(ISERROR(SEARCH("NO",AH433)))</formula>
    </cfRule>
  </conditionalFormatting>
  <conditionalFormatting sqref="AH436:AI436">
    <cfRule type="containsText" dxfId="135" priority="4" operator="containsText" text="NO">
      <formula>NOT(ISERROR(SEARCH("NO",AH436)))</formula>
    </cfRule>
  </conditionalFormatting>
  <conditionalFormatting sqref="I440:I445">
    <cfRule type="containsText" dxfId="134" priority="2" operator="containsText" text="NO">
      <formula>NOT(ISERROR(SEARCH("NO",I440)))</formula>
    </cfRule>
  </conditionalFormatting>
  <conditionalFormatting sqref="AG440:AI440 AG441:AG445">
    <cfRule type="containsText" dxfId="133" priority="1" operator="containsText" text="NO">
      <formula>NOT(ISERROR(SEARCH("NO",AG440)))</formula>
    </cfRule>
  </conditionalFormatting>
  <dataValidations count="3">
    <dataValidation type="list" allowBlank="1" showInputMessage="1" showErrorMessage="1" sqref="X13:Z23 AA200:AF205 X206:Z209 AA247:AG250 AA241:AF246 AG200:AG246 AA206:AA240 AD206:AD240 AB206:AC218 AE220:AF234 AB220:AC234 AE206:AF218 AA168:AG199 H159:I250 AE163:AF167 AG159:AG167 AE159:AF161 AD159:AD167 AA159:AA167 AB159:AC161 X159:X167 Y159:Z161 Y163:Z167 AB163:AC167 H113:I115 AA80:AG115 X80:Z84 AG44:AG79 AA66:AF79 AA44:AF64 X44:Z52 H3:I111 AA3:AG43 X3:Z7 X33:Z38">
      <formula1>$AM$1:$AN$1</formula1>
    </dataValidation>
    <dataValidation type="list" allowBlank="1" showInputMessage="1" showErrorMessage="1" sqref="H112:I112 AA116:AJ158 X146:Z146 H116:I158 X138:Z142 X116:Z136">
      <formula1>$AP$1:$AQ$1</formula1>
    </dataValidation>
    <dataValidation type="list" allowBlank="1" showInputMessage="1" showErrorMessage="1" sqref="X251:Z255 H251:I445 AA251:AG273 AG274:AG309 X288:AF309 AA274:AF285 X274:Z283 X310:Z314 AA310:AG445 X340:Z343 X371:Z376 X406:Z411 X416:Z416 X440:Z445">
      <formula1>$AL$1:$AM$1</formula1>
    </dataValidation>
  </dataValidations>
  <pageMargins left="0.75" right="0.75" top="1" bottom="1" header="0.5" footer="0.5"/>
  <pageSetup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AC366"/>
  <sheetViews>
    <sheetView zoomScale="55" zoomScaleNormal="55" zoomScalePageLayoutView="75" workbookViewId="0">
      <pane xSplit="2" ySplit="2" topLeftCell="C234" activePane="bottomRight" state="frozen"/>
      <selection activeCell="M112" sqref="M112"/>
      <selection pane="topRight" activeCell="M112" sqref="M112"/>
      <selection pane="bottomLeft" activeCell="M112" sqref="M112"/>
      <selection pane="bottomRight" activeCell="M112" sqref="M112"/>
    </sheetView>
  </sheetViews>
  <sheetFormatPr baseColWidth="10" defaultColWidth="10.875" defaultRowHeight="15.75"/>
  <cols>
    <col min="1" max="1" width="12.625" style="66" customWidth="1"/>
    <col min="2" max="2" width="10.875" style="50" bestFit="1" customWidth="1"/>
    <col min="3" max="3" width="8.875" style="50" customWidth="1"/>
    <col min="4" max="4" width="10.75" style="181" customWidth="1"/>
    <col min="5" max="5" width="15.25" style="52" customWidth="1"/>
    <col min="6" max="6" width="17.5" style="52" customWidth="1"/>
    <col min="7" max="7" width="66.125" style="59" customWidth="1"/>
    <col min="8" max="8" width="18.5" style="59" customWidth="1"/>
    <col min="9" max="9" width="23.875" style="59" customWidth="1"/>
    <col min="10" max="11" width="18.875" style="59" customWidth="1"/>
    <col min="12" max="12" width="13.625" style="60" customWidth="1"/>
    <col min="13" max="13" width="10.625" style="61" customWidth="1"/>
    <col min="14" max="14" width="11" style="62" customWidth="1"/>
    <col min="15" max="15" width="11" style="63" customWidth="1"/>
    <col min="16" max="16" width="11" style="29" customWidth="1"/>
    <col min="17" max="17" width="18.5" style="64" customWidth="1"/>
    <col min="18" max="18" width="8.75" style="64" customWidth="1"/>
    <col min="19" max="19" width="9.5" style="29" bestFit="1" customWidth="1"/>
    <col min="20" max="20" width="12.5" style="29" customWidth="1"/>
    <col min="21" max="21" width="9.625" style="29" bestFit="1" customWidth="1"/>
    <col min="22" max="23" width="15.5" style="29" customWidth="1"/>
    <col min="24" max="24" width="18.375" style="42" customWidth="1"/>
    <col min="25" max="25" width="19.5" style="19" customWidth="1"/>
    <col min="26" max="26" width="59.125" style="52" customWidth="1"/>
    <col min="27" max="29" width="10.875" style="66"/>
    <col min="30" max="31" width="15.125" style="66" bestFit="1" customWidth="1"/>
    <col min="32" max="16384" width="10.875" style="66"/>
  </cols>
  <sheetData>
    <row r="1" spans="1:29" s="17" customFormat="1" ht="15" customHeight="1">
      <c r="A1" s="1516" t="s">
        <v>1639</v>
      </c>
      <c r="B1" s="1516" t="s">
        <v>96</v>
      </c>
      <c r="C1" s="1516" t="s">
        <v>97</v>
      </c>
      <c r="D1" s="1617" t="s">
        <v>98</v>
      </c>
      <c r="E1" s="1516" t="s">
        <v>99</v>
      </c>
      <c r="F1" s="1516" t="s">
        <v>100</v>
      </c>
      <c r="G1" s="1516" t="s">
        <v>103</v>
      </c>
      <c r="H1" s="1519" t="s">
        <v>2354</v>
      </c>
      <c r="I1" s="1519" t="s">
        <v>2355</v>
      </c>
      <c r="J1" s="1520" t="s">
        <v>105</v>
      </c>
      <c r="K1" s="1520" t="s">
        <v>681</v>
      </c>
      <c r="L1" s="1521" t="s">
        <v>106</v>
      </c>
      <c r="M1" s="1523" t="s">
        <v>107</v>
      </c>
      <c r="N1" s="1523" t="s">
        <v>1640</v>
      </c>
      <c r="O1" s="1525" t="s">
        <v>109</v>
      </c>
      <c r="P1" s="1516" t="s">
        <v>110</v>
      </c>
      <c r="Q1" s="1516" t="s">
        <v>111</v>
      </c>
      <c r="R1" s="1516" t="s">
        <v>112</v>
      </c>
      <c r="S1" s="1519" t="s">
        <v>113</v>
      </c>
      <c r="T1" s="1519" t="s">
        <v>114</v>
      </c>
      <c r="U1" s="1519" t="s">
        <v>115</v>
      </c>
      <c r="V1" s="1519" t="s">
        <v>116</v>
      </c>
      <c r="W1" s="1516" t="s">
        <v>117</v>
      </c>
      <c r="X1" s="1519" t="s">
        <v>1641</v>
      </c>
      <c r="Y1" s="1533" t="s">
        <v>2356</v>
      </c>
      <c r="Z1" s="1529" t="s">
        <v>128</v>
      </c>
      <c r="AB1" s="18" t="s">
        <v>22</v>
      </c>
      <c r="AC1" s="18" t="s">
        <v>129</v>
      </c>
    </row>
    <row r="2" spans="1:29" s="145" customFormat="1" ht="62.25" customHeight="1" thickBot="1">
      <c r="A2" s="1517"/>
      <c r="B2" s="1517"/>
      <c r="C2" s="1517"/>
      <c r="D2" s="1618"/>
      <c r="E2" s="1517"/>
      <c r="F2" s="1517"/>
      <c r="G2" s="1517"/>
      <c r="H2" s="1520"/>
      <c r="I2" s="1520"/>
      <c r="J2" s="1545"/>
      <c r="K2" s="1545"/>
      <c r="L2" s="1522"/>
      <c r="M2" s="1524"/>
      <c r="N2" s="1524"/>
      <c r="O2" s="1526"/>
      <c r="P2" s="1517"/>
      <c r="Q2" s="1517"/>
      <c r="R2" s="1517"/>
      <c r="S2" s="1520"/>
      <c r="T2" s="1520"/>
      <c r="U2" s="1520"/>
      <c r="V2" s="1520"/>
      <c r="W2" s="1517"/>
      <c r="X2" s="1520"/>
      <c r="Y2" s="1534"/>
      <c r="Z2" s="1530"/>
    </row>
    <row r="3" spans="1:29" s="148" customFormat="1" ht="42.75">
      <c r="A3" s="1611" t="s">
        <v>1645</v>
      </c>
      <c r="B3" s="1509" t="s">
        <v>1646</v>
      </c>
      <c r="C3" s="81" t="s">
        <v>145</v>
      </c>
      <c r="D3" s="82">
        <v>3</v>
      </c>
      <c r="E3" s="83" t="str">
        <f>+IFERROR(INDEX([4]CONSOLIDADO!$D$4:$D$108,MATCH('Concur - Exp. Especifica'!C3,[4]CONSOLIDADO!$C$4:$C$108,0)),"")</f>
        <v>CGR S.A.S.</v>
      </c>
      <c r="F3" s="84" t="s">
        <v>949</v>
      </c>
      <c r="G3" s="85" t="s">
        <v>1651</v>
      </c>
      <c r="H3" s="1393" t="s">
        <v>22</v>
      </c>
      <c r="I3" s="1393" t="s">
        <v>129</v>
      </c>
      <c r="J3" s="1393" t="s">
        <v>22</v>
      </c>
      <c r="K3" s="1393" t="s">
        <v>129</v>
      </c>
      <c r="L3" s="86">
        <v>0.28000000000000003</v>
      </c>
      <c r="M3" s="87">
        <v>40077</v>
      </c>
      <c r="N3" s="87">
        <v>41977</v>
      </c>
      <c r="O3" s="88">
        <f>IF(N3="","",YEAR(N3))</f>
        <v>2014</v>
      </c>
      <c r="P3" s="89">
        <f>+IFERROR(INDEX([4]PARÁMETROS!$B$11:$B$37,MATCH(O3,[4]PARÁMETROS!$A$11:$A$37,0)),"")</f>
        <v>616000</v>
      </c>
      <c r="Q3" s="90">
        <v>8396906456</v>
      </c>
      <c r="R3" s="91" t="s">
        <v>151</v>
      </c>
      <c r="S3" s="81" t="s">
        <v>140</v>
      </c>
      <c r="T3" s="92" t="s">
        <v>140</v>
      </c>
      <c r="U3" s="93">
        <v>1</v>
      </c>
      <c r="V3" s="89">
        <f>IF(U3&lt;&gt;"",Q3*U3,"")</f>
        <v>8396906456</v>
      </c>
      <c r="W3" s="94">
        <f>+IFERROR(V3/P3,"")</f>
        <v>13631.34164935065</v>
      </c>
      <c r="X3" s="94">
        <f>IFERROR(W3*L3,"")</f>
        <v>3816.7756618181825</v>
      </c>
      <c r="Y3" s="1393" t="str">
        <f>+IF(X3="","",IF(X3&gt;=[4]PARÁMETROS!$J$5,"CUMPLE","NO CUMPLE"))</f>
        <v>CUMPLE</v>
      </c>
      <c r="Z3" s="183"/>
    </row>
    <row r="4" spans="1:29" s="33" customFormat="1" ht="71.25">
      <c r="A4" s="1612"/>
      <c r="B4" s="1510"/>
      <c r="C4" s="19" t="s">
        <v>153</v>
      </c>
      <c r="D4" s="20">
        <v>112</v>
      </c>
      <c r="E4" s="21" t="str">
        <f>+IFERROR(INDEX([4]CONSOLIDADO!$D$4:$D$108,MATCH('Concur - Exp. Especifica'!C4,[4]CONSOLIDADO!$C$4:$C$108,0)),"")</f>
        <v>NOGALL S.A.</v>
      </c>
      <c r="F4" s="22" t="s">
        <v>1652</v>
      </c>
      <c r="G4" s="23" t="s">
        <v>2357</v>
      </c>
      <c r="H4" s="1388" t="s">
        <v>22</v>
      </c>
      <c r="I4" s="1388" t="s">
        <v>22</v>
      </c>
      <c r="J4" s="1388" t="s">
        <v>22</v>
      </c>
      <c r="K4" s="1388" t="s">
        <v>129</v>
      </c>
      <c r="L4" s="24">
        <v>0.75</v>
      </c>
      <c r="M4" s="25">
        <v>38718</v>
      </c>
      <c r="N4" s="25"/>
      <c r="O4" s="26">
        <v>2014</v>
      </c>
      <c r="P4" s="27">
        <f>+IFERROR(INDEX([4]PARÁMETROS!$B$11:$B$37,MATCH(O4,[4]PARÁMETROS!$A$11:$A$37,0)),"")</f>
        <v>616000</v>
      </c>
      <c r="Q4" s="28">
        <v>8567960679</v>
      </c>
      <c r="R4" s="29" t="s">
        <v>151</v>
      </c>
      <c r="S4" s="19" t="s">
        <v>140</v>
      </c>
      <c r="T4" s="30" t="s">
        <v>140</v>
      </c>
      <c r="U4" s="31">
        <v>1</v>
      </c>
      <c r="V4" s="27">
        <f>IF(U4&lt;&gt;"",Q4*U4,"")</f>
        <v>8567960679</v>
      </c>
      <c r="W4" s="16">
        <f>+IFERROR(V4/P4,"")</f>
        <v>13909.027076298702</v>
      </c>
      <c r="X4" s="16">
        <f>IFERROR(W4*L4,"")</f>
        <v>10431.770307224026</v>
      </c>
      <c r="Y4" s="1388" t="str">
        <f>+IF(X4="","",IF(X4&gt;=[4]PARÁMETROS!$J$5,"CUMPLE","NO CUMPLE"))</f>
        <v>CUMPLE</v>
      </c>
      <c r="Z4" s="150"/>
    </row>
    <row r="5" spans="1:29" s="33" customFormat="1" ht="71.25">
      <c r="A5" s="1612"/>
      <c r="B5" s="1510"/>
      <c r="C5" s="19" t="s">
        <v>136</v>
      </c>
      <c r="D5" s="20">
        <v>117</v>
      </c>
      <c r="E5" s="21" t="str">
        <f>+IFERROR(INDEX([4]CONSOLIDADO!$D$4:$D$108,MATCH('Concur - Exp. Especifica'!C5,[4]CONSOLIDADO!$C$4:$C$108,0)),"")</f>
        <v>LKS COLOMBIA S.A.S.</v>
      </c>
      <c r="F5" s="22" t="s">
        <v>1649</v>
      </c>
      <c r="G5" s="22" t="s">
        <v>1650</v>
      </c>
      <c r="H5" s="1388" t="s">
        <v>22</v>
      </c>
      <c r="I5" s="1388" t="s">
        <v>129</v>
      </c>
      <c r="J5" s="1388" t="s">
        <v>22</v>
      </c>
      <c r="K5" s="1388" t="s">
        <v>129</v>
      </c>
      <c r="L5" s="34">
        <v>1</v>
      </c>
      <c r="M5" s="25">
        <v>37288</v>
      </c>
      <c r="N5" s="25">
        <v>38904</v>
      </c>
      <c r="O5" s="26">
        <f>IF(N5="","",YEAR(N5))</f>
        <v>2006</v>
      </c>
      <c r="P5" s="27">
        <f>+IFERROR(INDEX([4]PARÁMETROS!$B$11:$B$37,MATCH(O5,[4]PARÁMETROS!$A$11:$A$37,0)),"")</f>
        <v>408000</v>
      </c>
      <c r="Q5" s="35">
        <v>2069370.4</v>
      </c>
      <c r="R5" s="149" t="s">
        <v>2358</v>
      </c>
      <c r="S5" s="19">
        <v>1.2766299999999999</v>
      </c>
      <c r="T5" s="30">
        <f>+Q5*S5</f>
        <v>2641820.3337519998</v>
      </c>
      <c r="U5" s="31">
        <v>2574.7399999999998</v>
      </c>
      <c r="V5" s="27">
        <f>IF(U5&lt;&gt;"",Q5*U5,"")</f>
        <v>5328090743.6959991</v>
      </c>
      <c r="W5" s="16">
        <f>+IFERROR(V5/P5,"")</f>
        <v>13059.04594043137</v>
      </c>
      <c r="X5" s="16">
        <f>IFERROR(W5*L5,"")</f>
        <v>13059.04594043137</v>
      </c>
      <c r="Y5" s="1388" t="str">
        <f>+IF(X5="","",IF(X5&gt;=[4]PARÁMETROS!$J$5,"CUMPLE","NO CUMPLE"))</f>
        <v>CUMPLE</v>
      </c>
      <c r="Z5" s="22"/>
    </row>
    <row r="6" spans="1:29" s="168" customFormat="1" ht="100.5" thickBot="1">
      <c r="A6" s="1612"/>
      <c r="B6" s="1511"/>
      <c r="C6" s="151" t="s">
        <v>136</v>
      </c>
      <c r="D6" s="152">
        <v>122</v>
      </c>
      <c r="E6" s="153" t="str">
        <f>+IFERROR(INDEX([4]CONSOLIDADO!$D$4:$D$108,MATCH('Concur - Exp. Especifica'!C6,[4]CONSOLIDADO!$C$4:$C$108,0)),"")</f>
        <v>LKS COLOMBIA S.A.S.</v>
      </c>
      <c r="F6" s="154" t="s">
        <v>1647</v>
      </c>
      <c r="G6" s="155" t="s">
        <v>1648</v>
      </c>
      <c r="H6" s="1419" t="s">
        <v>22</v>
      </c>
      <c r="I6" s="1419" t="s">
        <v>129</v>
      </c>
      <c r="J6" s="1419" t="s">
        <v>22</v>
      </c>
      <c r="K6" s="1419" t="s">
        <v>129</v>
      </c>
      <c r="L6" s="156">
        <v>0.5</v>
      </c>
      <c r="M6" s="157">
        <v>39173</v>
      </c>
      <c r="N6" s="157">
        <v>40574</v>
      </c>
      <c r="O6" s="158">
        <f>IF(N6="","",YEAR(N6))</f>
        <v>2011</v>
      </c>
      <c r="P6" s="159">
        <f>+IFERROR(INDEX([4]PARÁMETROS!$B$11:$B$37,MATCH(O6,[4]PARÁMETROS!$A$11:$A$37,0)),"")</f>
        <v>535600</v>
      </c>
      <c r="Q6" s="160">
        <v>2664656.9300000002</v>
      </c>
      <c r="R6" s="173" t="s">
        <v>2358</v>
      </c>
      <c r="S6" s="151">
        <v>1.3603400000000001</v>
      </c>
      <c r="T6" s="184">
        <f>+S6*Q6</f>
        <v>3624839.4081562003</v>
      </c>
      <c r="U6" s="163">
        <v>1857.98</v>
      </c>
      <c r="V6" s="159">
        <f>IF(U6&lt;&gt;"",Q6*U6,"")</f>
        <v>4950879282.8014002</v>
      </c>
      <c r="W6" s="164">
        <f>+IFERROR(V6/P6,"")</f>
        <v>9243.6132987330093</v>
      </c>
      <c r="X6" s="164">
        <f>IFERROR(W6*L6,"")</f>
        <v>4621.8066493665046</v>
      </c>
      <c r="Y6" s="1419" t="str">
        <f>+IF(X6="","",IF(X6&gt;=[4]PARÁMETROS!$J$5,"CUMPLE","NO CUMPLE"))</f>
        <v>CUMPLE</v>
      </c>
      <c r="Z6" s="154"/>
    </row>
    <row r="7" spans="1:29" s="148" customFormat="1" ht="99.75">
      <c r="A7" s="1612"/>
      <c r="B7" s="1509" t="s">
        <v>2359</v>
      </c>
      <c r="C7" s="81" t="s">
        <v>159</v>
      </c>
      <c r="D7" s="169">
        <v>6</v>
      </c>
      <c r="E7" s="83" t="str">
        <f>+IFERROR(INDEX([4]CONSOLIDADO!$D$4:$D$108,MATCH('Concur - Exp. Especifica'!C7,[4]CONSOLIDADO!$C$4:$C$108,0)),"")</f>
        <v xml:space="preserve">AFA CONSULTORES Y CONSTRUCTORES S.A  E.S.P. </v>
      </c>
      <c r="F7" s="84" t="s">
        <v>1657</v>
      </c>
      <c r="G7" s="85" t="s">
        <v>1658</v>
      </c>
      <c r="H7" s="1393" t="s">
        <v>22</v>
      </c>
      <c r="I7" s="1393" t="s">
        <v>129</v>
      </c>
      <c r="J7" s="1393" t="s">
        <v>22</v>
      </c>
      <c r="K7" s="1393" t="s">
        <v>129</v>
      </c>
      <c r="L7" s="86">
        <v>0.45</v>
      </c>
      <c r="M7" s="87">
        <v>34338</v>
      </c>
      <c r="N7" s="87">
        <v>36305</v>
      </c>
      <c r="O7" s="88">
        <f t="shared" ref="O7:O34" si="0">IF(N7="","",YEAR(N7))</f>
        <v>1999</v>
      </c>
      <c r="P7" s="89">
        <f>+IFERROR(INDEX([4]PARÁMETROS!$B$11:$B$37,MATCH(O7,[4]PARÁMETROS!$A$11:$A$37,0)),"")</f>
        <v>236460</v>
      </c>
      <c r="Q7" s="90">
        <v>4491569047</v>
      </c>
      <c r="R7" s="91" t="s">
        <v>151</v>
      </c>
      <c r="S7" s="81" t="s">
        <v>140</v>
      </c>
      <c r="T7" s="92" t="s">
        <v>140</v>
      </c>
      <c r="U7" s="93">
        <v>1</v>
      </c>
      <c r="V7" s="89">
        <f t="shared" ref="V7:V34" si="1">IF(U7&lt;&gt;"",Q7*U7,"")</f>
        <v>4491569047</v>
      </c>
      <c r="W7" s="94">
        <f t="shared" ref="W7:W34" si="2">+IFERROR(V7/P7,"")</f>
        <v>18995.04798697454</v>
      </c>
      <c r="X7" s="94">
        <f t="shared" ref="X7:X34" si="3">IFERROR(W7*L7,"")</f>
        <v>8547.7715941385432</v>
      </c>
      <c r="Y7" s="1393" t="str">
        <f>+IF(X7="","",IF(X7&gt;=[4]PARÁMETROS!$D$5,"CUMPLE","NO CUMPLE"))</f>
        <v>CUMPLE</v>
      </c>
      <c r="Z7" s="84"/>
    </row>
    <row r="8" spans="1:29" s="33" customFormat="1" ht="63">
      <c r="A8" s="1612"/>
      <c r="B8" s="1510"/>
      <c r="C8" s="19" t="s">
        <v>159</v>
      </c>
      <c r="D8" s="170">
        <v>9</v>
      </c>
      <c r="E8" s="21" t="str">
        <f>+IFERROR(INDEX([4]CONSOLIDADO!$D$4:$D$108,MATCH('Concur - Exp. Especifica'!C8,[4]CONSOLIDADO!$C$4:$C$108,0)),"")</f>
        <v xml:space="preserve">AFA CONSULTORES Y CONSTRUCTORES S.A  E.S.P. </v>
      </c>
      <c r="F8" s="22" t="s">
        <v>1659</v>
      </c>
      <c r="G8" s="23" t="s">
        <v>1660</v>
      </c>
      <c r="H8" s="1388" t="s">
        <v>22</v>
      </c>
      <c r="I8" s="1388" t="s">
        <v>22</v>
      </c>
      <c r="J8" s="1388" t="s">
        <v>22</v>
      </c>
      <c r="K8" s="1388" t="s">
        <v>129</v>
      </c>
      <c r="L8" s="24">
        <v>1</v>
      </c>
      <c r="M8" s="25">
        <v>39142</v>
      </c>
      <c r="N8" s="25">
        <v>40920</v>
      </c>
      <c r="O8" s="26">
        <f t="shared" si="0"/>
        <v>2012</v>
      </c>
      <c r="P8" s="27">
        <f>+IFERROR(INDEX([4]PARÁMETROS!$B$11:$B$37,MATCH(O8,[4]PARÁMETROS!$A$11:$A$37,0)),"")</f>
        <v>566700</v>
      </c>
      <c r="Q8" s="28">
        <v>3161732843</v>
      </c>
      <c r="R8" s="29" t="s">
        <v>151</v>
      </c>
      <c r="S8" s="19" t="s">
        <v>140</v>
      </c>
      <c r="T8" s="30" t="s">
        <v>140</v>
      </c>
      <c r="U8" s="31">
        <v>1</v>
      </c>
      <c r="V8" s="27">
        <f t="shared" si="1"/>
        <v>3161732843</v>
      </c>
      <c r="W8" s="16">
        <f t="shared" si="2"/>
        <v>5579.2003582142224</v>
      </c>
      <c r="X8" s="16">
        <f t="shared" si="3"/>
        <v>5579.2003582142224</v>
      </c>
      <c r="Y8" s="1388" t="str">
        <f>+IF(X8="","",IF(X8&gt;=[4]PARÁMETROS!$D$5,"CUMPLE","NO CUMPLE"))</f>
        <v>CUMPLE</v>
      </c>
      <c r="Z8" s="22"/>
    </row>
    <row r="9" spans="1:29" s="33" customFormat="1" ht="256.5">
      <c r="A9" s="1612"/>
      <c r="B9" s="1510"/>
      <c r="C9" s="19" t="s">
        <v>159</v>
      </c>
      <c r="D9" s="170">
        <v>23</v>
      </c>
      <c r="E9" s="21" t="str">
        <f>+IFERROR(INDEX([4]CONSOLIDADO!$D$4:$D$108,MATCH('Concur - Exp. Especifica'!C9,[4]CONSOLIDADO!$C$4:$C$108,0)),"")</f>
        <v xml:space="preserve">AFA CONSULTORES Y CONSTRUCTORES S.A  E.S.P. </v>
      </c>
      <c r="F9" s="22" t="s">
        <v>1661</v>
      </c>
      <c r="G9" s="23" t="s">
        <v>1662</v>
      </c>
      <c r="H9" s="1388" t="s">
        <v>22</v>
      </c>
      <c r="I9" s="1388" t="s">
        <v>129</v>
      </c>
      <c r="J9" s="1388" t="s">
        <v>22</v>
      </c>
      <c r="K9" s="1388" t="s">
        <v>129</v>
      </c>
      <c r="L9" s="24">
        <v>0.5</v>
      </c>
      <c r="M9" s="25">
        <v>39125</v>
      </c>
      <c r="N9" s="25">
        <v>42012</v>
      </c>
      <c r="O9" s="26">
        <f t="shared" si="0"/>
        <v>2015</v>
      </c>
      <c r="P9" s="27">
        <f>+IFERROR(INDEX([4]PARÁMETROS!$B$11:$B$37,MATCH(O9,[4]PARÁMETROS!$A$11:$A$37,0)),"")</f>
        <v>644350</v>
      </c>
      <c r="Q9" s="28">
        <v>15319357761</v>
      </c>
      <c r="R9" s="29" t="s">
        <v>151</v>
      </c>
      <c r="S9" s="19" t="s">
        <v>140</v>
      </c>
      <c r="T9" s="30" t="s">
        <v>140</v>
      </c>
      <c r="U9" s="31">
        <v>1</v>
      </c>
      <c r="V9" s="27">
        <f t="shared" si="1"/>
        <v>15319357761</v>
      </c>
      <c r="W9" s="16">
        <f t="shared" si="2"/>
        <v>23774.901468146192</v>
      </c>
      <c r="X9" s="16">
        <f t="shared" si="3"/>
        <v>11887.450734073096</v>
      </c>
      <c r="Y9" s="1388" t="str">
        <f>+IF(X9="","",IF(X9&gt;=[4]PARÁMETROS!$D$5,"CUMPLE","NO CUMPLE"))</f>
        <v>CUMPLE</v>
      </c>
      <c r="Z9" s="22"/>
    </row>
    <row r="10" spans="1:29" s="179" customFormat="1" ht="114.75" thickBot="1">
      <c r="A10" s="1612"/>
      <c r="B10" s="1511"/>
      <c r="C10" s="99" t="s">
        <v>166</v>
      </c>
      <c r="D10" s="178">
        <v>48</v>
      </c>
      <c r="E10" s="101" t="str">
        <f>+IFERROR(INDEX([4]CONSOLIDADO!$D$4:$D$108,MATCH('Concur - Exp. Especifica'!C10,[4]CONSOLIDADO!$C$4:$C$108,0)),"")</f>
        <v xml:space="preserve">INCGROUP S.A.S </v>
      </c>
      <c r="F10" s="102" t="s">
        <v>207</v>
      </c>
      <c r="G10" s="103" t="s">
        <v>1663</v>
      </c>
      <c r="H10" s="1392" t="s">
        <v>22</v>
      </c>
      <c r="I10" s="1392" t="s">
        <v>129</v>
      </c>
      <c r="J10" s="1392" t="s">
        <v>22</v>
      </c>
      <c r="K10" s="1392" t="s">
        <v>129</v>
      </c>
      <c r="L10" s="104">
        <v>0.65</v>
      </c>
      <c r="M10" s="105">
        <v>39615</v>
      </c>
      <c r="N10" s="105">
        <v>41152</v>
      </c>
      <c r="O10" s="106">
        <f t="shared" si="0"/>
        <v>2012</v>
      </c>
      <c r="P10" s="107">
        <f>+IFERROR(INDEX([4]PARÁMETROS!$B$11:$B$37,MATCH(O10,[4]PARÁMETROS!$A$11:$A$37,0)),"")</f>
        <v>566700</v>
      </c>
      <c r="Q10" s="108">
        <v>19146251489</v>
      </c>
      <c r="R10" s="109" t="s">
        <v>151</v>
      </c>
      <c r="S10" s="99" t="s">
        <v>140</v>
      </c>
      <c r="T10" s="110" t="s">
        <v>140</v>
      </c>
      <c r="U10" s="111">
        <v>1</v>
      </c>
      <c r="V10" s="107">
        <f t="shared" si="1"/>
        <v>19146251489</v>
      </c>
      <c r="W10" s="112">
        <f t="shared" si="2"/>
        <v>33785.515244397386</v>
      </c>
      <c r="X10" s="112">
        <f t="shared" si="3"/>
        <v>21960.584908858302</v>
      </c>
      <c r="Y10" s="1392" t="str">
        <f>+IF(X10="","",IF(X10&gt;=[4]PARÁMETROS!$D$5,"CUMPLE","NO CUMPLE"))</f>
        <v>CUMPLE</v>
      </c>
      <c r="Z10" s="102"/>
    </row>
    <row r="11" spans="1:29" s="186" customFormat="1" ht="63">
      <c r="A11" s="1612"/>
      <c r="B11" s="1509" t="s">
        <v>1666</v>
      </c>
      <c r="C11" s="68" t="s">
        <v>171</v>
      </c>
      <c r="D11" s="185">
        <v>5</v>
      </c>
      <c r="E11" s="70" t="str">
        <f>+IFERROR(INDEX([4]CONSOLIDADO!$D$4:$D$108,MATCH('Concur - Exp. Especifica'!C11,[4]CONSOLIDADO!$C$4:$C$108,0)),"")</f>
        <v>INGENIEROS CIVILES ESPECIALISTAS LTDA</v>
      </c>
      <c r="F11" s="71" t="s">
        <v>1667</v>
      </c>
      <c r="G11" s="72" t="s">
        <v>1668</v>
      </c>
      <c r="H11" s="1394" t="s">
        <v>22</v>
      </c>
      <c r="I11" s="1394" t="s">
        <v>22</v>
      </c>
      <c r="J11" s="1394" t="s">
        <v>22</v>
      </c>
      <c r="K11" s="1394" t="s">
        <v>129</v>
      </c>
      <c r="L11" s="73">
        <v>0.5</v>
      </c>
      <c r="M11" s="74">
        <v>37288</v>
      </c>
      <c r="N11" s="74">
        <v>42368</v>
      </c>
      <c r="O11" s="116">
        <f t="shared" si="0"/>
        <v>2015</v>
      </c>
      <c r="P11" s="75">
        <f>+IFERROR(INDEX([4]PARÁMETROS!$B$11:$B$37,MATCH(O11,[4]PARÁMETROS!$A$11:$A$37,0)),"")</f>
        <v>644350</v>
      </c>
      <c r="Q11" s="76"/>
      <c r="R11" s="77" t="s">
        <v>151</v>
      </c>
      <c r="S11" s="68" t="s">
        <v>140</v>
      </c>
      <c r="T11" s="78" t="s">
        <v>140</v>
      </c>
      <c r="U11" s="79">
        <v>1</v>
      </c>
      <c r="V11" s="75">
        <f t="shared" si="1"/>
        <v>0</v>
      </c>
      <c r="W11" s="80">
        <v>16317.48</v>
      </c>
      <c r="X11" s="80">
        <f t="shared" si="3"/>
        <v>8158.74</v>
      </c>
      <c r="Y11" s="1394" t="str">
        <f>+IF(X11="","",IF(X11&gt;=[4]PARÁMETROS!$D$5,"CUMPLE","NO CUMPLE"))</f>
        <v>CUMPLE</v>
      </c>
      <c r="Z11" s="71" t="s">
        <v>1669</v>
      </c>
    </row>
    <row r="12" spans="1:29" s="33" customFormat="1" ht="63">
      <c r="A12" s="1612"/>
      <c r="B12" s="1510"/>
      <c r="C12" s="19" t="s">
        <v>171</v>
      </c>
      <c r="D12" s="170">
        <v>35</v>
      </c>
      <c r="E12" s="21" t="str">
        <f>+IFERROR(INDEX([4]CONSOLIDADO!$D$4:$D$108,MATCH('Concur - Exp. Especifica'!C12,[4]CONSOLIDADO!$C$4:$C$108,0)),"")</f>
        <v>INGENIEROS CIVILES ESPECIALISTAS LTDA</v>
      </c>
      <c r="F12" s="22" t="s">
        <v>1670</v>
      </c>
      <c r="G12" s="22" t="s">
        <v>1671</v>
      </c>
      <c r="H12" s="1388" t="s">
        <v>22</v>
      </c>
      <c r="I12" s="1388" t="s">
        <v>129</v>
      </c>
      <c r="J12" s="1388" t="s">
        <v>22</v>
      </c>
      <c r="K12" s="1388" t="s">
        <v>129</v>
      </c>
      <c r="L12" s="34">
        <v>1</v>
      </c>
      <c r="M12" s="25">
        <v>40778</v>
      </c>
      <c r="N12" s="25">
        <v>41225</v>
      </c>
      <c r="O12" s="26">
        <f t="shared" si="0"/>
        <v>2012</v>
      </c>
      <c r="P12" s="27">
        <f>+IFERROR(INDEX([4]PARÁMETROS!$B$11:$B$37,MATCH(O12,[4]PARÁMETROS!$A$11:$A$37,0)),"")</f>
        <v>566700</v>
      </c>
      <c r="Q12" s="35">
        <v>1568703830</v>
      </c>
      <c r="R12" s="27" t="s">
        <v>151</v>
      </c>
      <c r="S12" s="19" t="s">
        <v>140</v>
      </c>
      <c r="T12" s="30" t="s">
        <v>140</v>
      </c>
      <c r="U12" s="31">
        <v>1</v>
      </c>
      <c r="V12" s="27">
        <f t="shared" si="1"/>
        <v>1568703830</v>
      </c>
      <c r="W12" s="16">
        <f t="shared" si="2"/>
        <v>2768.1380448208929</v>
      </c>
      <c r="X12" s="16">
        <f t="shared" si="3"/>
        <v>2768.1380448208929</v>
      </c>
      <c r="Y12" s="1388" t="str">
        <f>+IF(X12="","",IF(X12&gt;=[4]PARÁMETROS!$D$5,"CUMPLE","NO CUMPLE"))</f>
        <v>CUMPLE</v>
      </c>
      <c r="Z12" s="22"/>
    </row>
    <row r="13" spans="1:29" s="33" customFormat="1" ht="71.25">
      <c r="A13" s="1612"/>
      <c r="B13" s="1510"/>
      <c r="C13" s="19" t="s">
        <v>180</v>
      </c>
      <c r="D13" s="170">
        <v>57</v>
      </c>
      <c r="E13" s="21" t="str">
        <f>+IFERROR(INDEX([4]CONSOLIDADO!$D$4:$D$108,MATCH('Concur - Exp. Especifica'!C13,[4]CONSOLIDADO!$C$4:$C$108,0)),"")</f>
        <v>INGENIERIA DE PROYECTOS S.A.S.</v>
      </c>
      <c r="F13" s="22" t="s">
        <v>1122</v>
      </c>
      <c r="G13" s="23" t="s">
        <v>1672</v>
      </c>
      <c r="H13" s="1388" t="s">
        <v>22</v>
      </c>
      <c r="I13" s="1388" t="s">
        <v>129</v>
      </c>
      <c r="J13" s="1388" t="s">
        <v>22</v>
      </c>
      <c r="K13" s="1388" t="s">
        <v>129</v>
      </c>
      <c r="L13" s="24">
        <v>0.5</v>
      </c>
      <c r="M13" s="25">
        <v>38338</v>
      </c>
      <c r="N13" s="25">
        <v>40296</v>
      </c>
      <c r="O13" s="26">
        <f t="shared" si="0"/>
        <v>2010</v>
      </c>
      <c r="P13" s="27">
        <f>+IFERROR(INDEX([4]PARÁMETROS!$B$11:$B$37,MATCH(O13,[4]PARÁMETROS!$A$11:$A$37,0)),"")</f>
        <v>515000</v>
      </c>
      <c r="Q13" s="28">
        <v>5611007439</v>
      </c>
      <c r="R13" s="29" t="s">
        <v>151</v>
      </c>
      <c r="S13" s="19" t="s">
        <v>140</v>
      </c>
      <c r="T13" s="30" t="s">
        <v>140</v>
      </c>
      <c r="U13" s="31">
        <v>1</v>
      </c>
      <c r="V13" s="27">
        <f t="shared" si="1"/>
        <v>5611007439</v>
      </c>
      <c r="W13" s="16">
        <f t="shared" si="2"/>
        <v>10895.160075728156</v>
      </c>
      <c r="X13" s="16">
        <f t="shared" si="3"/>
        <v>5447.5800378640779</v>
      </c>
      <c r="Y13" s="1388" t="str">
        <f>+IF(X13="","",IF(X13&gt;=[4]PARÁMETROS!$D$5,"CUMPLE","NO CUMPLE"))</f>
        <v>CUMPLE</v>
      </c>
      <c r="Z13" s="22"/>
    </row>
    <row r="14" spans="1:29" s="168" customFormat="1" ht="72" thickBot="1">
      <c r="A14" s="1612"/>
      <c r="B14" s="1511"/>
      <c r="C14" s="151" t="s">
        <v>180</v>
      </c>
      <c r="D14" s="172">
        <v>85</v>
      </c>
      <c r="E14" s="153" t="str">
        <f>+IFERROR(INDEX([4]CONSOLIDADO!$D$4:$D$108,MATCH('Concur - Exp. Especifica'!C14,[4]CONSOLIDADO!$C$4:$C$108,0)),"")</f>
        <v>INGENIERIA DE PROYECTOS S.A.S.</v>
      </c>
      <c r="F14" s="154" t="s">
        <v>207</v>
      </c>
      <c r="G14" s="155" t="s">
        <v>1673</v>
      </c>
      <c r="H14" s="1419" t="s">
        <v>22</v>
      </c>
      <c r="I14" s="1419" t="s">
        <v>129</v>
      </c>
      <c r="J14" s="1419" t="s">
        <v>22</v>
      </c>
      <c r="K14" s="1419" t="s">
        <v>129</v>
      </c>
      <c r="L14" s="156">
        <v>1</v>
      </c>
      <c r="M14" s="157">
        <v>39181</v>
      </c>
      <c r="N14" s="157">
        <v>39950</v>
      </c>
      <c r="O14" s="158">
        <f t="shared" si="0"/>
        <v>2009</v>
      </c>
      <c r="P14" s="159">
        <f>+IFERROR(INDEX([4]PARÁMETROS!$B$11:$B$37,MATCH(O14,[4]PARÁMETROS!$A$11:$A$37,0)),"")</f>
        <v>496900</v>
      </c>
      <c r="Q14" s="160">
        <v>1219868640</v>
      </c>
      <c r="R14" s="161" t="s">
        <v>151</v>
      </c>
      <c r="S14" s="151" t="s">
        <v>140</v>
      </c>
      <c r="T14" s="162" t="s">
        <v>140</v>
      </c>
      <c r="U14" s="163">
        <v>1</v>
      </c>
      <c r="V14" s="159">
        <f t="shared" si="1"/>
        <v>1219868640</v>
      </c>
      <c r="W14" s="164">
        <f t="shared" si="2"/>
        <v>2454.9580197222781</v>
      </c>
      <c r="X14" s="164">
        <f t="shared" si="3"/>
        <v>2454.9580197222781</v>
      </c>
      <c r="Y14" s="1419" t="str">
        <f>+IF(X14="","",IF(X14&gt;=[4]PARÁMETROS!$D$5,"CUMPLE","NO CUMPLE"))</f>
        <v>CUMPLE</v>
      </c>
      <c r="Z14" s="154"/>
    </row>
    <row r="15" spans="1:29" s="148" customFormat="1" ht="47.25">
      <c r="A15" s="1612"/>
      <c r="B15" s="1509" t="s">
        <v>1676</v>
      </c>
      <c r="C15" s="81" t="s">
        <v>190</v>
      </c>
      <c r="D15" s="169">
        <v>4</v>
      </c>
      <c r="E15" s="83" t="str">
        <f>+IFERROR(INDEX([4]CONSOLIDADO!$D$4:$D$108,MATCH('Concur - Exp. Especifica'!C15,[4]CONSOLIDADO!$C$4:$C$108,0)),"")</f>
        <v>GOMEZ CAJIAO Y ASOCIADOS S.A.</v>
      </c>
      <c r="F15" s="84" t="s">
        <v>1122</v>
      </c>
      <c r="G15" s="85" t="s">
        <v>1679</v>
      </c>
      <c r="H15" s="1393" t="s">
        <v>22</v>
      </c>
      <c r="I15" s="1393" t="s">
        <v>129</v>
      </c>
      <c r="J15" s="1393" t="s">
        <v>22</v>
      </c>
      <c r="K15" s="1393" t="s">
        <v>129</v>
      </c>
      <c r="L15" s="86">
        <v>1</v>
      </c>
      <c r="M15" s="87">
        <v>38366</v>
      </c>
      <c r="N15" s="87">
        <v>39071</v>
      </c>
      <c r="O15" s="88">
        <f t="shared" si="0"/>
        <v>2006</v>
      </c>
      <c r="P15" s="89">
        <f>+IFERROR(INDEX([4]PARÁMETROS!$B$11:$B$37,MATCH(O15,[4]PARÁMETROS!$A$11:$A$37,0)),"")</f>
        <v>408000</v>
      </c>
      <c r="Q15" s="90">
        <v>1534302721</v>
      </c>
      <c r="R15" s="91" t="s">
        <v>151</v>
      </c>
      <c r="S15" s="81" t="s">
        <v>140</v>
      </c>
      <c r="T15" s="92" t="s">
        <v>140</v>
      </c>
      <c r="U15" s="93">
        <v>1</v>
      </c>
      <c r="V15" s="89">
        <f t="shared" si="1"/>
        <v>1534302721</v>
      </c>
      <c r="W15" s="94">
        <f t="shared" si="2"/>
        <v>3760.5458848039216</v>
      </c>
      <c r="X15" s="94">
        <f t="shared" si="3"/>
        <v>3760.5458848039216</v>
      </c>
      <c r="Y15" s="1393" t="str">
        <f>+IF(X15="","",IF(X15&gt;=[4]PARÁMETROS!$D$5,"CUMPLE","NO CUMPLE"))</f>
        <v>CUMPLE</v>
      </c>
      <c r="Z15" s="84"/>
    </row>
    <row r="16" spans="1:29" s="33" customFormat="1" ht="114">
      <c r="A16" s="1612"/>
      <c r="B16" s="1510"/>
      <c r="C16" s="19" t="s">
        <v>190</v>
      </c>
      <c r="D16" s="170">
        <v>9</v>
      </c>
      <c r="E16" s="21" t="str">
        <f>+IFERROR(INDEX([4]CONSOLIDADO!$D$4:$D$108,MATCH('Concur - Exp. Especifica'!C16,[4]CONSOLIDADO!$C$4:$C$108,0)),"")</f>
        <v>GOMEZ CAJIAO Y ASOCIADOS S.A.</v>
      </c>
      <c r="F16" s="22" t="s">
        <v>207</v>
      </c>
      <c r="G16" s="23" t="s">
        <v>1681</v>
      </c>
      <c r="H16" s="1388" t="s">
        <v>22</v>
      </c>
      <c r="I16" s="1388" t="s">
        <v>22</v>
      </c>
      <c r="J16" s="1388" t="s">
        <v>22</v>
      </c>
      <c r="K16" s="1388" t="s">
        <v>129</v>
      </c>
      <c r="L16" s="24">
        <v>0.5</v>
      </c>
      <c r="M16" s="25">
        <v>38034</v>
      </c>
      <c r="N16" s="25">
        <v>40770</v>
      </c>
      <c r="O16" s="26">
        <f t="shared" si="0"/>
        <v>2011</v>
      </c>
      <c r="P16" s="27">
        <f>+IFERROR(INDEX([4]PARÁMETROS!$B$11:$B$37,MATCH(O16,[4]PARÁMETROS!$A$11:$A$37,0)),"")</f>
        <v>535600</v>
      </c>
      <c r="Q16" s="28">
        <v>9131630030</v>
      </c>
      <c r="R16" s="29" t="s">
        <v>151</v>
      </c>
      <c r="S16" s="19" t="s">
        <v>140</v>
      </c>
      <c r="T16" s="30" t="s">
        <v>140</v>
      </c>
      <c r="U16" s="31">
        <v>1</v>
      </c>
      <c r="V16" s="27">
        <f t="shared" si="1"/>
        <v>9131630030</v>
      </c>
      <c r="W16" s="16">
        <f t="shared" si="2"/>
        <v>17049.346583271097</v>
      </c>
      <c r="X16" s="16">
        <f t="shared" si="3"/>
        <v>8524.6732916355486</v>
      </c>
      <c r="Y16" s="1388" t="str">
        <f>+IF(X16="","",IF(X16&gt;=[4]PARÁMETROS!$D$5,"CUMPLE","NO CUMPLE"))</f>
        <v>CUMPLE</v>
      </c>
      <c r="Z16" s="22"/>
    </row>
    <row r="17" spans="1:27" s="33" customFormat="1" ht="78.75">
      <c r="A17" s="1612"/>
      <c r="B17" s="1510"/>
      <c r="C17" s="19" t="s">
        <v>200</v>
      </c>
      <c r="D17" s="170">
        <v>24</v>
      </c>
      <c r="E17" s="21" t="str">
        <f>+IFERROR(INDEX([4]CONSOLIDADO!$D$4:$D$108,MATCH('Concur - Exp. Especifica'!C17,[4]CONSOLIDADO!$C$4:$C$108,0)),"")</f>
        <v>CONSULTORIA INTOK DE COLOMBIA Y ASOCIADOS S.A.S.</v>
      </c>
      <c r="F17" s="22" t="s">
        <v>1682</v>
      </c>
      <c r="G17" s="23" t="s">
        <v>1683</v>
      </c>
      <c r="H17" s="1388" t="s">
        <v>22</v>
      </c>
      <c r="I17" s="1388" t="s">
        <v>129</v>
      </c>
      <c r="J17" s="1388" t="s">
        <v>22</v>
      </c>
      <c r="K17" s="1388" t="s">
        <v>129</v>
      </c>
      <c r="L17" s="24">
        <v>1</v>
      </c>
      <c r="M17" s="25">
        <v>38562</v>
      </c>
      <c r="N17" s="25">
        <v>39521</v>
      </c>
      <c r="O17" s="26">
        <f t="shared" si="0"/>
        <v>2008</v>
      </c>
      <c r="P17" s="27">
        <f>+IFERROR(INDEX([4]PARÁMETROS!$B$11:$B$37,MATCH(O17,[4]PARÁMETROS!$A$11:$A$37,0)),"")</f>
        <v>461500</v>
      </c>
      <c r="Q17" s="28">
        <v>2838229.9999999995</v>
      </c>
      <c r="R17" s="29" t="s">
        <v>2358</v>
      </c>
      <c r="S17" s="19">
        <v>1.5567</v>
      </c>
      <c r="T17" s="30">
        <v>4418272.6409999989</v>
      </c>
      <c r="U17" s="31">
        <v>1856.01</v>
      </c>
      <c r="V17" s="27">
        <f t="shared" si="1"/>
        <v>5267783262.2999992</v>
      </c>
      <c r="W17" s="16">
        <f t="shared" si="2"/>
        <v>11414.481608450702</v>
      </c>
      <c r="X17" s="16">
        <f t="shared" si="3"/>
        <v>11414.481608450702</v>
      </c>
      <c r="Y17" s="1388" t="str">
        <f>+IF(X17="","",IF(X17&gt;=[4]PARÁMETROS!$D$5,"CUMPLE","NO CUMPLE"))</f>
        <v>CUMPLE</v>
      </c>
      <c r="Z17" s="22"/>
    </row>
    <row r="18" spans="1:27" s="168" customFormat="1" ht="79.5" thickBot="1">
      <c r="A18" s="1612"/>
      <c r="B18" s="1511"/>
      <c r="C18" s="151" t="s">
        <v>200</v>
      </c>
      <c r="D18" s="172">
        <v>33</v>
      </c>
      <c r="E18" s="153" t="str">
        <f>+IFERROR(INDEX([4]CONSOLIDADO!$D$4:$D$108,MATCH('Concur - Exp. Especifica'!C18,[4]CONSOLIDADO!$C$4:$C$108,0)),"")</f>
        <v>CONSULTORIA INTOK DE COLOMBIA Y ASOCIADOS S.A.S.</v>
      </c>
      <c r="F18" s="154" t="s">
        <v>1684</v>
      </c>
      <c r="G18" s="155" t="s">
        <v>1685</v>
      </c>
      <c r="H18" s="1419" t="s">
        <v>22</v>
      </c>
      <c r="I18" s="1419" t="s">
        <v>129</v>
      </c>
      <c r="J18" s="1419" t="s">
        <v>22</v>
      </c>
      <c r="K18" s="1419" t="s">
        <v>129</v>
      </c>
      <c r="L18" s="156">
        <v>1</v>
      </c>
      <c r="M18" s="157">
        <v>38701</v>
      </c>
      <c r="N18" s="157">
        <v>40085</v>
      </c>
      <c r="O18" s="158">
        <f t="shared" si="0"/>
        <v>2009</v>
      </c>
      <c r="P18" s="159">
        <f>+IFERROR(INDEX([4]PARÁMETROS!$B$11:$B$37,MATCH(O18,[4]PARÁMETROS!$A$11:$A$37,0)),"")</f>
        <v>496900</v>
      </c>
      <c r="Q18" s="160">
        <v>1020058.28</v>
      </c>
      <c r="R18" s="161" t="s">
        <v>2358</v>
      </c>
      <c r="S18" s="151">
        <v>1.46326</v>
      </c>
      <c r="T18" s="162">
        <v>1492610.4787928001</v>
      </c>
      <c r="U18" s="163">
        <v>1921.64</v>
      </c>
      <c r="V18" s="159">
        <f t="shared" si="1"/>
        <v>1960184793.1792002</v>
      </c>
      <c r="W18" s="164">
        <f t="shared" si="2"/>
        <v>3944.8275169635745</v>
      </c>
      <c r="X18" s="164">
        <f t="shared" si="3"/>
        <v>3944.8275169635745</v>
      </c>
      <c r="Y18" s="1419" t="str">
        <f>+IF(X18="","",IF(X18&gt;=[4]PARÁMETROS!$D$5,"CUMPLE","NO CUMPLE"))</f>
        <v>CUMPLE</v>
      </c>
      <c r="Z18" s="154"/>
    </row>
    <row r="19" spans="1:27" s="190" customFormat="1" ht="71.25">
      <c r="A19" s="1612"/>
      <c r="B19" s="1509" t="s">
        <v>1686</v>
      </c>
      <c r="C19" s="81" t="s">
        <v>205</v>
      </c>
      <c r="D19" s="169">
        <v>5</v>
      </c>
      <c r="E19" s="83" t="str">
        <f>+IFERROR(INDEX([4]CONSOLIDADO!$D$4:$D$108,MATCH('Concur - Exp. Especifica'!C19,[4]CONSOLIDADO!$C$4:$C$108,0)),"")</f>
        <v>ICEACSA CONSULTORES SUCURSAL COLOMBIA</v>
      </c>
      <c r="F19" s="84" t="s">
        <v>924</v>
      </c>
      <c r="G19" s="85" t="s">
        <v>1691</v>
      </c>
      <c r="H19" s="1393" t="s">
        <v>22</v>
      </c>
      <c r="I19" s="1393" t="s">
        <v>129</v>
      </c>
      <c r="J19" s="1393" t="s">
        <v>22</v>
      </c>
      <c r="K19" s="1393" t="s">
        <v>129</v>
      </c>
      <c r="L19" s="187">
        <v>1</v>
      </c>
      <c r="M19" s="188">
        <v>37839</v>
      </c>
      <c r="N19" s="189">
        <v>38869</v>
      </c>
      <c r="O19" s="88">
        <f>IF(N19="","",YEAR(N19))</f>
        <v>2006</v>
      </c>
      <c r="P19" s="89">
        <f>+IFERROR(INDEX([4]PARÁMETROS!$B$11:$B$37,MATCH(O19,[4]PARÁMETROS!$A$11:$A$37,0)),"")</f>
        <v>408000</v>
      </c>
      <c r="Q19" s="91">
        <v>1115922.3700000001</v>
      </c>
      <c r="R19" s="91" t="s">
        <v>2358</v>
      </c>
      <c r="S19" s="81">
        <v>1.2858799999999999</v>
      </c>
      <c r="T19" s="92">
        <f>+Q19*S19</f>
        <v>1434942.2571356001</v>
      </c>
      <c r="U19" s="93">
        <v>2486.0700000000002</v>
      </c>
      <c r="V19" s="89">
        <f>IF(U19&lt;&gt;"",Q19*U19,"")</f>
        <v>2774261126.3859005</v>
      </c>
      <c r="W19" s="94">
        <f>+IFERROR(V19/P19,"")</f>
        <v>6799.6596234948538</v>
      </c>
      <c r="X19" s="94">
        <f>IFERROR(W19*L19,"")</f>
        <v>6799.6596234948538</v>
      </c>
      <c r="Y19" s="1393" t="str">
        <f>+IF(X19="","",IF(X19&gt;=[4]PARÁMETROS!$D$5,"CUMPLE","NO CUMPLE"))</f>
        <v>CUMPLE</v>
      </c>
      <c r="Z19" s="84"/>
    </row>
    <row r="20" spans="1:27" s="33" customFormat="1" ht="47.25">
      <c r="A20" s="1612"/>
      <c r="B20" s="1510"/>
      <c r="C20" s="19" t="s">
        <v>212</v>
      </c>
      <c r="D20" s="170">
        <v>21</v>
      </c>
      <c r="E20" s="21" t="str">
        <f>+IFERROR(INDEX([4]CONSOLIDADO!$D$4:$D$108,MATCH('Concur - Exp. Especifica'!C20,[4]CONSOLIDADO!$C$4:$C$108,0)),"")</f>
        <v>GEOTECNIA Y CIMIENTOS INGEOCIM S.A.S.</v>
      </c>
      <c r="F20" s="22" t="s">
        <v>930</v>
      </c>
      <c r="G20" s="23" t="s">
        <v>1687</v>
      </c>
      <c r="H20" s="1388" t="s">
        <v>22</v>
      </c>
      <c r="I20" s="1388" t="s">
        <v>129</v>
      </c>
      <c r="J20" s="1388" t="s">
        <v>22</v>
      </c>
      <c r="K20" s="1388" t="s">
        <v>129</v>
      </c>
      <c r="L20" s="24">
        <v>0.9</v>
      </c>
      <c r="M20" s="25">
        <v>35730</v>
      </c>
      <c r="N20" s="25">
        <v>36459</v>
      </c>
      <c r="O20" s="26">
        <f t="shared" si="0"/>
        <v>1999</v>
      </c>
      <c r="P20" s="27">
        <f>+IFERROR(INDEX([4]PARÁMETROS!$B$11:$B$37,MATCH(O20,[4]PARÁMETROS!$A$11:$A$37,0)),"")</f>
        <v>236460</v>
      </c>
      <c r="Q20" s="28">
        <f>1343799332.5</f>
        <v>1343799332.5</v>
      </c>
      <c r="R20" s="29" t="s">
        <v>151</v>
      </c>
      <c r="S20" s="19" t="s">
        <v>140</v>
      </c>
      <c r="T20" s="30" t="s">
        <v>140</v>
      </c>
      <c r="U20" s="31">
        <v>1</v>
      </c>
      <c r="V20" s="27">
        <f t="shared" si="1"/>
        <v>1343799332.5</v>
      </c>
      <c r="W20" s="16">
        <f t="shared" si="2"/>
        <v>5682.9879577941301</v>
      </c>
      <c r="X20" s="16">
        <f t="shared" si="3"/>
        <v>5114.6891620147171</v>
      </c>
      <c r="Y20" s="1388" t="str">
        <f>+IF(X20="","",IF(X20&gt;=[4]PARÁMETROS!$D$5,"CUMPLE","NO CUMPLE"))</f>
        <v>CUMPLE</v>
      </c>
      <c r="Z20" s="22"/>
    </row>
    <row r="21" spans="1:27" s="33" customFormat="1" ht="185.25">
      <c r="A21" s="1612"/>
      <c r="B21" s="1510"/>
      <c r="C21" s="19" t="s">
        <v>212</v>
      </c>
      <c r="D21" s="170">
        <v>27</v>
      </c>
      <c r="E21" s="21" t="str">
        <f>+IFERROR(INDEX([4]CONSOLIDADO!$D$4:$D$108,MATCH('Concur - Exp. Especifica'!C21,[4]CONSOLIDADO!$C$4:$C$108,0)),"")</f>
        <v>GEOTECNIA Y CIMIENTOS INGEOCIM S.A.S.</v>
      </c>
      <c r="F21" s="22" t="s">
        <v>442</v>
      </c>
      <c r="G21" s="23" t="s">
        <v>1688</v>
      </c>
      <c r="H21" s="1388" t="s">
        <v>22</v>
      </c>
      <c r="I21" s="1388" t="s">
        <v>22</v>
      </c>
      <c r="J21" s="1388" t="s">
        <v>22</v>
      </c>
      <c r="K21" s="1388" t="s">
        <v>129</v>
      </c>
      <c r="L21" s="24">
        <v>0.5</v>
      </c>
      <c r="M21" s="25">
        <v>38772</v>
      </c>
      <c r="N21" s="25">
        <v>40656</v>
      </c>
      <c r="O21" s="26">
        <f t="shared" si="0"/>
        <v>2011</v>
      </c>
      <c r="P21" s="27">
        <f>+IFERROR(INDEX([4]PARÁMETROS!$B$11:$B$37,MATCH(O21,[4]PARÁMETROS!$A$11:$A$37,0)),"")</f>
        <v>535600</v>
      </c>
      <c r="Q21" s="28">
        <f>4960831409</f>
        <v>4960831409</v>
      </c>
      <c r="R21" s="29" t="s">
        <v>151</v>
      </c>
      <c r="S21" s="19" t="s">
        <v>140</v>
      </c>
      <c r="T21" s="30" t="s">
        <v>140</v>
      </c>
      <c r="U21" s="31">
        <v>1</v>
      </c>
      <c r="V21" s="27">
        <f t="shared" si="1"/>
        <v>4960831409</v>
      </c>
      <c r="W21" s="16">
        <f t="shared" si="2"/>
        <v>9262.1945649738609</v>
      </c>
      <c r="X21" s="16">
        <f t="shared" si="3"/>
        <v>4631.0972824869305</v>
      </c>
      <c r="Y21" s="1388" t="str">
        <f>+IF(X21="","",IF(X21&gt;=[4]PARÁMETROS!$D$5,"CUMPLE","NO CUMPLE"))</f>
        <v>CUMPLE</v>
      </c>
      <c r="Z21" s="22"/>
    </row>
    <row r="22" spans="1:27" s="179" customFormat="1" ht="79.5" thickBot="1">
      <c r="A22" s="1612"/>
      <c r="B22" s="1511"/>
      <c r="C22" s="99" t="s">
        <v>212</v>
      </c>
      <c r="D22" s="178">
        <v>32</v>
      </c>
      <c r="E22" s="101" t="str">
        <f>+IFERROR(INDEX([4]CONSOLIDADO!$D$4:$D$108,MATCH('Concur - Exp. Especifica'!C22,[4]CONSOLIDADO!$C$4:$C$108,0)),"")</f>
        <v>GEOTECNIA Y CIMIENTOS INGEOCIM S.A.S.</v>
      </c>
      <c r="F22" s="191" t="s">
        <v>1689</v>
      </c>
      <c r="G22" s="191" t="s">
        <v>1690</v>
      </c>
      <c r="H22" s="1392" t="s">
        <v>22</v>
      </c>
      <c r="I22" s="1392" t="s">
        <v>22</v>
      </c>
      <c r="J22" s="1392" t="s">
        <v>22</v>
      </c>
      <c r="K22" s="1392" t="s">
        <v>129</v>
      </c>
      <c r="L22" s="192">
        <v>0.6</v>
      </c>
      <c r="M22" s="105">
        <v>41568</v>
      </c>
      <c r="N22" s="105">
        <v>42312</v>
      </c>
      <c r="O22" s="106">
        <f t="shared" si="0"/>
        <v>2015</v>
      </c>
      <c r="P22" s="107">
        <f>+IFERROR(INDEX([4]PARÁMETROS!$B$11:$B$37,MATCH(O22,[4]PARÁMETROS!$A$11:$A$37,0)),"")</f>
        <v>644350</v>
      </c>
      <c r="Q22" s="108">
        <f>2992430016</f>
        <v>2992430016</v>
      </c>
      <c r="R22" s="109" t="s">
        <v>151</v>
      </c>
      <c r="S22" s="99" t="s">
        <v>140</v>
      </c>
      <c r="T22" s="110" t="s">
        <v>140</v>
      </c>
      <c r="U22" s="111">
        <v>1</v>
      </c>
      <c r="V22" s="107">
        <f t="shared" si="1"/>
        <v>2992430016</v>
      </c>
      <c r="W22" s="112">
        <f t="shared" si="2"/>
        <v>4644.1064887095527</v>
      </c>
      <c r="X22" s="112">
        <f t="shared" si="3"/>
        <v>2786.4638932257317</v>
      </c>
      <c r="Y22" s="1392" t="str">
        <f>+IF(X22="","",IF(X22&gt;=[4]PARÁMETROS!$D$5,"CUMPLE","NO CUMPLE"))</f>
        <v>CUMPLE</v>
      </c>
      <c r="Z22" s="193"/>
    </row>
    <row r="23" spans="1:27" s="186" customFormat="1" ht="57">
      <c r="A23" s="1612"/>
      <c r="B23" s="1509" t="s">
        <v>1693</v>
      </c>
      <c r="C23" s="68" t="s">
        <v>217</v>
      </c>
      <c r="D23" s="185">
        <v>3</v>
      </c>
      <c r="E23" s="70" t="str">
        <f>+IFERROR(INDEX([4]CONSOLIDADO!$D$4:$D$108,MATCH('Concur - Exp. Especifica'!C23,[4]CONSOLIDADO!$C$4:$C$108,0)),"")</f>
        <v>VELNEC S.A.</v>
      </c>
      <c r="F23" s="71" t="s">
        <v>207</v>
      </c>
      <c r="G23" s="72" t="s">
        <v>1694</v>
      </c>
      <c r="H23" s="1394" t="s">
        <v>22</v>
      </c>
      <c r="I23" s="1394" t="s">
        <v>129</v>
      </c>
      <c r="J23" s="1394" t="s">
        <v>22</v>
      </c>
      <c r="K23" s="1394" t="s">
        <v>129</v>
      </c>
      <c r="L23" s="73">
        <v>1</v>
      </c>
      <c r="M23" s="74">
        <v>39062</v>
      </c>
      <c r="N23" s="74">
        <v>40476</v>
      </c>
      <c r="O23" s="116">
        <f t="shared" si="0"/>
        <v>2010</v>
      </c>
      <c r="P23" s="75">
        <f>+IFERROR(INDEX([4]PARÁMETROS!$B$11:$B$37,MATCH(O23,[4]PARÁMETROS!$A$11:$A$37,0)),"")</f>
        <v>515000</v>
      </c>
      <c r="Q23" s="76">
        <v>2398644428</v>
      </c>
      <c r="R23" s="77" t="s">
        <v>151</v>
      </c>
      <c r="S23" s="68" t="s">
        <v>140</v>
      </c>
      <c r="T23" s="78" t="s">
        <v>140</v>
      </c>
      <c r="U23" s="79">
        <v>1</v>
      </c>
      <c r="V23" s="75">
        <f t="shared" si="1"/>
        <v>2398644428</v>
      </c>
      <c r="W23" s="80">
        <f t="shared" si="2"/>
        <v>4657.5619961165048</v>
      </c>
      <c r="X23" s="80">
        <f t="shared" si="3"/>
        <v>4657.5619961165048</v>
      </c>
      <c r="Y23" s="1401" t="str">
        <f>+IF(X23="","",IF(X23&gt;=[4]PARÁMETROS!$D$5,"CUMPLE","NO CUMPLE"))</f>
        <v>CUMPLE</v>
      </c>
      <c r="Z23" s="122"/>
      <c r="AA23" s="194"/>
    </row>
    <row r="24" spans="1:27" s="33" customFormat="1" ht="114">
      <c r="A24" s="1612"/>
      <c r="B24" s="1510"/>
      <c r="C24" s="19" t="s">
        <v>217</v>
      </c>
      <c r="D24" s="170">
        <v>18</v>
      </c>
      <c r="E24" s="21" t="str">
        <f>+IFERROR(INDEX([4]CONSOLIDADO!$D$4:$D$108,MATCH('Concur - Exp. Especifica'!C24,[4]CONSOLIDADO!$C$4:$C$108,0)),"")</f>
        <v>VELNEC S.A.</v>
      </c>
      <c r="F24" s="22" t="s">
        <v>147</v>
      </c>
      <c r="G24" s="23" t="s">
        <v>1695</v>
      </c>
      <c r="H24" s="1388" t="s">
        <v>22</v>
      </c>
      <c r="I24" s="1388" t="s">
        <v>22</v>
      </c>
      <c r="J24" s="1388" t="s">
        <v>22</v>
      </c>
      <c r="K24" s="1388" t="s">
        <v>129</v>
      </c>
      <c r="L24" s="24">
        <v>0.2</v>
      </c>
      <c r="M24" s="25">
        <v>40567</v>
      </c>
      <c r="N24" s="25">
        <v>42226</v>
      </c>
      <c r="O24" s="26">
        <f t="shared" si="0"/>
        <v>2015</v>
      </c>
      <c r="P24" s="27">
        <f>+IFERROR(INDEX([4]PARÁMETROS!$B$11:$B$37,MATCH(O24,[4]PARÁMETROS!$A$11:$A$37,0)),"")</f>
        <v>644350</v>
      </c>
      <c r="Q24" s="28">
        <v>34817301515</v>
      </c>
      <c r="R24" s="29" t="s">
        <v>151</v>
      </c>
      <c r="S24" s="19" t="s">
        <v>140</v>
      </c>
      <c r="T24" s="30" t="s">
        <v>140</v>
      </c>
      <c r="U24" s="31">
        <v>1</v>
      </c>
      <c r="V24" s="27">
        <f t="shared" si="1"/>
        <v>34817301515</v>
      </c>
      <c r="W24" s="16">
        <f t="shared" si="2"/>
        <v>54034.766066578726</v>
      </c>
      <c r="X24" s="16">
        <f t="shared" si="3"/>
        <v>10806.953213315746</v>
      </c>
      <c r="Y24" s="1388" t="str">
        <f>+IF(X24="","",IF(X24&gt;=[4]PARÁMETROS!$D$5,"CUMPLE","NO CUMPLE"))</f>
        <v>CUMPLE</v>
      </c>
      <c r="Z24" s="97"/>
      <c r="AA24" s="67"/>
    </row>
    <row r="25" spans="1:27" s="33" customFormat="1" ht="78.75">
      <c r="A25" s="1612"/>
      <c r="B25" s="1510"/>
      <c r="C25" s="19" t="s">
        <v>224</v>
      </c>
      <c r="D25" s="170">
        <v>32</v>
      </c>
      <c r="E25" s="21" t="str">
        <f>+IFERROR(INDEX([4]CONSOLIDADO!$D$4:$D$108,MATCH('Concur - Exp. Especifica'!C25,[4]CONSOLIDADO!$C$4:$C$108,0)),"")</f>
        <v>CONSULTORES INTERVENTORES COLOMBIANOS S.A.S.  - CONCIC S.A.S.</v>
      </c>
      <c r="F25" s="22" t="s">
        <v>1122</v>
      </c>
      <c r="G25" s="23" t="s">
        <v>1696</v>
      </c>
      <c r="H25" s="1388" t="s">
        <v>22</v>
      </c>
      <c r="I25" s="1388" t="s">
        <v>129</v>
      </c>
      <c r="J25" s="1388" t="s">
        <v>22</v>
      </c>
      <c r="K25" s="1388" t="s">
        <v>129</v>
      </c>
      <c r="L25" s="24">
        <v>0.6</v>
      </c>
      <c r="M25" s="25">
        <v>41121</v>
      </c>
      <c r="N25" s="25">
        <v>41882</v>
      </c>
      <c r="O25" s="26">
        <f t="shared" si="0"/>
        <v>2014</v>
      </c>
      <c r="P25" s="27">
        <f>+IFERROR(INDEX([4]PARÁMETROS!$B$11:$B$37,MATCH(O25,[4]PARÁMETROS!$A$11:$A$37,0)),"")</f>
        <v>616000</v>
      </c>
      <c r="Q25" s="28">
        <v>3121715915</v>
      </c>
      <c r="R25" s="29" t="s">
        <v>151</v>
      </c>
      <c r="S25" s="19" t="s">
        <v>140</v>
      </c>
      <c r="T25" s="30" t="s">
        <v>140</v>
      </c>
      <c r="U25" s="31">
        <v>1</v>
      </c>
      <c r="V25" s="27">
        <f t="shared" si="1"/>
        <v>3121715915</v>
      </c>
      <c r="W25" s="16">
        <f t="shared" si="2"/>
        <v>5067.7206412337664</v>
      </c>
      <c r="X25" s="16">
        <f t="shared" si="3"/>
        <v>3040.6323847402596</v>
      </c>
      <c r="Y25" s="1388" t="str">
        <f>+IF(X25="","",IF(X25&gt;=[4]PARÁMETROS!$D$5,"CUMPLE","NO CUMPLE"))</f>
        <v>CUMPLE</v>
      </c>
      <c r="Z25" s="97"/>
      <c r="AA25" s="67"/>
    </row>
    <row r="26" spans="1:27" s="168" customFormat="1" ht="79.5" thickBot="1">
      <c r="A26" s="1612"/>
      <c r="B26" s="1510"/>
      <c r="C26" s="151" t="s">
        <v>224</v>
      </c>
      <c r="D26" s="172">
        <v>41</v>
      </c>
      <c r="E26" s="153" t="str">
        <f>+IFERROR(INDEX([4]CONSOLIDADO!$D$4:$D$108,MATCH('Concur - Exp. Especifica'!C26,[4]CONSOLIDADO!$C$4:$C$108,0)),"")</f>
        <v>CONSULTORES INTERVENTORES COLOMBIANOS S.A.S.  - CONCIC S.A.S.</v>
      </c>
      <c r="F26" s="154" t="s">
        <v>1122</v>
      </c>
      <c r="G26" s="155" t="s">
        <v>1697</v>
      </c>
      <c r="H26" s="1419" t="s">
        <v>22</v>
      </c>
      <c r="I26" s="1419" t="s">
        <v>129</v>
      </c>
      <c r="J26" s="1419" t="s">
        <v>22</v>
      </c>
      <c r="K26" s="1419" t="s">
        <v>129</v>
      </c>
      <c r="L26" s="156">
        <v>0.6</v>
      </c>
      <c r="M26" s="157">
        <v>41123</v>
      </c>
      <c r="N26" s="157">
        <v>42139</v>
      </c>
      <c r="O26" s="158">
        <f t="shared" si="0"/>
        <v>2015</v>
      </c>
      <c r="P26" s="159">
        <f>+IFERROR(INDEX([4]PARÁMETROS!$B$11:$B$37,MATCH(O26,[4]PARÁMETROS!$A$11:$A$37,0)),"")</f>
        <v>644350</v>
      </c>
      <c r="Q26" s="160">
        <v>5897603327</v>
      </c>
      <c r="R26" s="161" t="s">
        <v>151</v>
      </c>
      <c r="S26" s="151" t="s">
        <v>140</v>
      </c>
      <c r="T26" s="162" t="s">
        <v>140</v>
      </c>
      <c r="U26" s="163">
        <v>1</v>
      </c>
      <c r="V26" s="159">
        <f t="shared" si="1"/>
        <v>5897603327</v>
      </c>
      <c r="W26" s="164">
        <f t="shared" si="2"/>
        <v>9152.7947963063561</v>
      </c>
      <c r="X26" s="164">
        <f t="shared" si="3"/>
        <v>5491.6768777838133</v>
      </c>
      <c r="Y26" s="1419" t="str">
        <f>+IF(X26="","",IF(X26&gt;=[4]PARÁMETROS!$D$5,"CUMPLE","NO CUMPLE"))</f>
        <v>CUMPLE</v>
      </c>
      <c r="Z26" s="195"/>
      <c r="AA26" s="182"/>
    </row>
    <row r="27" spans="1:27" s="148" customFormat="1" ht="94.5">
      <c r="A27" s="1612"/>
      <c r="B27" s="1509" t="s">
        <v>1698</v>
      </c>
      <c r="C27" s="81" t="s">
        <v>1699</v>
      </c>
      <c r="D27" s="169">
        <v>7</v>
      </c>
      <c r="E27" s="83" t="str">
        <f>+IFERROR(INDEX([4]CONSOLIDADO!$D$4:$D$108,MATCH('Concur - Exp. Especifica'!C27,[4]CONSOLIDADO!$C$4:$C$108,0)),"")</f>
        <v>CPS INGENIEROS OBRA CIVIL Y MEDIO AMBIENTE SUCURSAL COLOMBIA SL</v>
      </c>
      <c r="F27" s="84" t="s">
        <v>1664</v>
      </c>
      <c r="G27" s="85" t="s">
        <v>1702</v>
      </c>
      <c r="H27" s="1393" t="s">
        <v>22</v>
      </c>
      <c r="I27" s="1393" t="s">
        <v>129</v>
      </c>
      <c r="J27" s="1393" t="s">
        <v>22</v>
      </c>
      <c r="K27" s="1393" t="s">
        <v>129</v>
      </c>
      <c r="L27" s="86">
        <v>1</v>
      </c>
      <c r="M27" s="87">
        <v>39070</v>
      </c>
      <c r="N27" s="87">
        <v>40359</v>
      </c>
      <c r="O27" s="88">
        <f t="shared" si="0"/>
        <v>2010</v>
      </c>
      <c r="P27" s="89">
        <f>+IFERROR(INDEX([4]PARÁMETROS!$B$11:$B$37,MATCH(O27,[4]PARÁMETROS!$A$11:$A$37,0)),"")</f>
        <v>515000</v>
      </c>
      <c r="Q27" s="176">
        <v>977604.33</v>
      </c>
      <c r="R27" s="91" t="s">
        <v>2358</v>
      </c>
      <c r="S27" s="81">
        <v>1.22055</v>
      </c>
      <c r="T27" s="92">
        <f>+Q27*S27</f>
        <v>1193214.9649815001</v>
      </c>
      <c r="U27" s="93">
        <v>1916.46</v>
      </c>
      <c r="V27" s="89">
        <f>+U27*T27</f>
        <v>2286748751.7884455</v>
      </c>
      <c r="W27" s="94">
        <f t="shared" si="2"/>
        <v>4440.288838424166</v>
      </c>
      <c r="X27" s="94">
        <f t="shared" si="3"/>
        <v>4440.288838424166</v>
      </c>
      <c r="Y27" s="1393" t="str">
        <f>+IF(X27="","",IF(X27&gt;=[4]PARÁMETROS!$D$5,"CUMPLE","NO CUMPLE"))</f>
        <v>CUMPLE</v>
      </c>
      <c r="Z27" s="84"/>
    </row>
    <row r="28" spans="1:27" s="33" customFormat="1" ht="94.5">
      <c r="A28" s="1612"/>
      <c r="B28" s="1510"/>
      <c r="C28" s="19" t="s">
        <v>1699</v>
      </c>
      <c r="D28" s="170">
        <v>13</v>
      </c>
      <c r="E28" s="21" t="str">
        <f>+IFERROR(INDEX([4]CONSOLIDADO!$D$4:$D$108,MATCH('Concur - Exp. Especifica'!C28,[4]CONSOLIDADO!$C$4:$C$108,0)),"")</f>
        <v>CPS INGENIEROS OBRA CIVIL Y MEDIO AMBIENTE SUCURSAL COLOMBIA SL</v>
      </c>
      <c r="F28" s="22" t="s">
        <v>1700</v>
      </c>
      <c r="G28" s="23" t="s">
        <v>1703</v>
      </c>
      <c r="H28" s="1388" t="s">
        <v>22</v>
      </c>
      <c r="I28" s="1388" t="s">
        <v>129</v>
      </c>
      <c r="J28" s="1388" t="s">
        <v>22</v>
      </c>
      <c r="K28" s="1388" t="s">
        <v>129</v>
      </c>
      <c r="L28" s="24">
        <v>1</v>
      </c>
      <c r="M28" s="25">
        <v>39024</v>
      </c>
      <c r="N28" s="25">
        <v>40189</v>
      </c>
      <c r="O28" s="26">
        <f t="shared" si="0"/>
        <v>2010</v>
      </c>
      <c r="P28" s="27">
        <f>+IFERROR(INDEX([4]PARÁMETROS!$B$11:$B$37,MATCH(O28,[4]PARÁMETROS!$A$11:$A$37,0)),"")</f>
        <v>515000</v>
      </c>
      <c r="Q28" s="28">
        <v>741925.82</v>
      </c>
      <c r="R28" s="29" t="s">
        <v>2358</v>
      </c>
      <c r="S28" s="19">
        <v>1.44072</v>
      </c>
      <c r="T28" s="30">
        <f>+Q28*S28</f>
        <v>1068907.3673904</v>
      </c>
      <c r="U28" s="31">
        <v>1968.24</v>
      </c>
      <c r="V28" s="27">
        <f>+U28*T28</f>
        <v>2103866236.7924809</v>
      </c>
      <c r="W28" s="16">
        <f t="shared" si="2"/>
        <v>4085.1771588203515</v>
      </c>
      <c r="X28" s="16">
        <f t="shared" si="3"/>
        <v>4085.1771588203515</v>
      </c>
      <c r="Y28" s="1388" t="str">
        <f>+IF(X28="","",IF(X28&gt;=[4]PARÁMETROS!$D$5,"CUMPLE","NO CUMPLE"))</f>
        <v>CUMPLE</v>
      </c>
      <c r="Z28" s="22"/>
    </row>
    <row r="29" spans="1:27" s="33" customFormat="1" ht="94.5">
      <c r="A29" s="1612"/>
      <c r="B29" s="1510"/>
      <c r="C29" s="19" t="s">
        <v>1699</v>
      </c>
      <c r="D29" s="170">
        <v>22</v>
      </c>
      <c r="E29" s="21" t="str">
        <f>+IFERROR(INDEX([4]CONSOLIDADO!$D$4:$D$108,MATCH('Concur - Exp. Especifica'!C29,[4]CONSOLIDADO!$C$4:$C$108,0)),"")</f>
        <v>CPS INGENIEROS OBRA CIVIL Y MEDIO AMBIENTE SUCURSAL COLOMBIA SL</v>
      </c>
      <c r="F29" s="22" t="s">
        <v>1704</v>
      </c>
      <c r="G29" s="23" t="s">
        <v>1705</v>
      </c>
      <c r="H29" s="1388" t="s">
        <v>22</v>
      </c>
      <c r="I29" s="1388" t="s">
        <v>129</v>
      </c>
      <c r="J29" s="1388" t="s">
        <v>22</v>
      </c>
      <c r="K29" s="1388" t="s">
        <v>129</v>
      </c>
      <c r="L29" s="24">
        <v>1</v>
      </c>
      <c r="M29" s="25">
        <v>38107</v>
      </c>
      <c r="N29" s="25">
        <v>40747</v>
      </c>
      <c r="O29" s="26">
        <f t="shared" si="0"/>
        <v>2011</v>
      </c>
      <c r="P29" s="27">
        <f>+IFERROR(INDEX([4]PARÁMETROS!$B$11:$B$37,MATCH(O29,[4]PARÁMETROS!$A$11:$A$37,0)),"")</f>
        <v>535600</v>
      </c>
      <c r="Q29" s="48">
        <v>1048263.23</v>
      </c>
      <c r="R29" s="29" t="s">
        <v>2358</v>
      </c>
      <c r="S29" s="19">
        <v>1.43862</v>
      </c>
      <c r="T29" s="30">
        <f>+Q29*S29</f>
        <v>1508052.4479425999</v>
      </c>
      <c r="U29" s="31">
        <v>1757.35</v>
      </c>
      <c r="V29" s="27">
        <f>+U29*T29</f>
        <v>2650175969.3919277</v>
      </c>
      <c r="W29" s="16">
        <f t="shared" si="2"/>
        <v>4948.0507270200296</v>
      </c>
      <c r="X29" s="16">
        <f t="shared" si="3"/>
        <v>4948.0507270200296</v>
      </c>
      <c r="Y29" s="1388" t="str">
        <f>+IF(X29="","",IF(X29&gt;=[4]PARÁMETROS!$D$5,"CUMPLE","NO CUMPLE"))</f>
        <v>CUMPLE</v>
      </c>
      <c r="Z29" s="22"/>
    </row>
    <row r="30" spans="1:27" s="168" customFormat="1" ht="214.5" thickBot="1">
      <c r="A30" s="1612"/>
      <c r="B30" s="1511"/>
      <c r="C30" s="151" t="s">
        <v>239</v>
      </c>
      <c r="D30" s="172">
        <v>29</v>
      </c>
      <c r="E30" s="153" t="str">
        <f>+IFERROR(INDEX([4]CONSOLIDADO!$D$4:$D$108,MATCH('Concur - Exp. Especifica'!C30,[4]CONSOLIDADO!$C$4:$C$108,0)),"")</f>
        <v>SERTIC S.A.S.</v>
      </c>
      <c r="F30" s="196" t="s">
        <v>147</v>
      </c>
      <c r="G30" s="197" t="s">
        <v>1706</v>
      </c>
      <c r="H30" s="1419" t="s">
        <v>129</v>
      </c>
      <c r="I30" s="1419" t="s">
        <v>22</v>
      </c>
      <c r="J30" s="1419" t="s">
        <v>22</v>
      </c>
      <c r="K30" s="1419" t="s">
        <v>129</v>
      </c>
      <c r="L30" s="198">
        <v>0.25</v>
      </c>
      <c r="M30" s="199">
        <v>40954</v>
      </c>
      <c r="N30" s="199">
        <v>42219</v>
      </c>
      <c r="O30" s="158">
        <f t="shared" si="0"/>
        <v>2015</v>
      </c>
      <c r="P30" s="159">
        <f>+IFERROR(INDEX([4]PARÁMETROS!$B$11:$B$37,MATCH(O30,[4]PARÁMETROS!$A$11:$A$37,0)),"")</f>
        <v>644350</v>
      </c>
      <c r="Q30" s="160">
        <v>6977164103</v>
      </c>
      <c r="R30" s="161" t="s">
        <v>151</v>
      </c>
      <c r="S30" s="151" t="s">
        <v>140</v>
      </c>
      <c r="T30" s="162" t="s">
        <v>140</v>
      </c>
      <c r="U30" s="163">
        <v>1</v>
      </c>
      <c r="V30" s="159">
        <f>IF(U30&lt;&gt;"",Q30*U30,"")</f>
        <v>6977164103</v>
      </c>
      <c r="W30" s="164">
        <f t="shared" si="2"/>
        <v>10828.220847365563</v>
      </c>
      <c r="X30" s="164">
        <f t="shared" si="3"/>
        <v>2707.0552118413907</v>
      </c>
      <c r="Y30" s="1419" t="str">
        <f>+IF(X30="","",IF(X30&gt;=[4]PARÁMETROS!$D$5,"CUMPLE","NO CUMPLE"))</f>
        <v>CUMPLE</v>
      </c>
      <c r="Z30" s="200" t="s">
        <v>1707</v>
      </c>
    </row>
    <row r="31" spans="1:27" s="148" customFormat="1" ht="71.25">
      <c r="A31" s="1612"/>
      <c r="B31" s="1509" t="s">
        <v>1709</v>
      </c>
      <c r="C31" s="81" t="s">
        <v>1710</v>
      </c>
      <c r="D31" s="169">
        <v>3</v>
      </c>
      <c r="E31" s="83" t="str">
        <f>+IFERROR(INDEX([4]CONSOLIDADO!$D$4:$D$108,MATCH('Concur - Exp. Especifica'!C31,[4]CONSOLIDADO!$C$4:$C$108,0)),"")</f>
        <v>JOSE MANUEL GUARDO POLO</v>
      </c>
      <c r="F31" s="84" t="s">
        <v>1711</v>
      </c>
      <c r="G31" s="85" t="s">
        <v>1712</v>
      </c>
      <c r="H31" s="1393" t="s">
        <v>22</v>
      </c>
      <c r="I31" s="1393" t="s">
        <v>129</v>
      </c>
      <c r="J31" s="1393" t="s">
        <v>22</v>
      </c>
      <c r="K31" s="1393" t="s">
        <v>129</v>
      </c>
      <c r="L31" s="86">
        <v>1</v>
      </c>
      <c r="M31" s="87">
        <v>34085</v>
      </c>
      <c r="N31" s="87">
        <v>34352</v>
      </c>
      <c r="O31" s="88">
        <f t="shared" si="0"/>
        <v>1994</v>
      </c>
      <c r="P31" s="89">
        <f>+IFERROR(INDEX([4]PARÁMETROS!$B$11:$B$37,MATCH(O31,[4]PARÁMETROS!$A$11:$A$37,0)),"")</f>
        <v>98700</v>
      </c>
      <c r="Q31" s="90">
        <v>265817625</v>
      </c>
      <c r="R31" s="91" t="s">
        <v>151</v>
      </c>
      <c r="S31" s="81" t="s">
        <v>140</v>
      </c>
      <c r="T31" s="92" t="s">
        <v>140</v>
      </c>
      <c r="U31" s="93">
        <v>1</v>
      </c>
      <c r="V31" s="89">
        <f t="shared" si="1"/>
        <v>265817625</v>
      </c>
      <c r="W31" s="94">
        <f t="shared" si="2"/>
        <v>2693.1876899696049</v>
      </c>
      <c r="X31" s="94">
        <f t="shared" si="3"/>
        <v>2693.1876899696049</v>
      </c>
      <c r="Y31" s="1393" t="str">
        <f>+IF(X31="","",IF(X31&gt;=[4]PARÁMETROS!$D$5,"CUMPLE","NO CUMPLE"))</f>
        <v>CUMPLE</v>
      </c>
      <c r="Z31" s="84"/>
    </row>
    <row r="32" spans="1:27" s="33" customFormat="1" ht="57">
      <c r="A32" s="1612"/>
      <c r="B32" s="1510"/>
      <c r="C32" s="19" t="s">
        <v>1710</v>
      </c>
      <c r="D32" s="170">
        <v>11</v>
      </c>
      <c r="E32" s="21" t="str">
        <f>+IFERROR(INDEX([4]CONSOLIDADO!$D$4:$D$108,MATCH('Concur - Exp. Especifica'!C32,[4]CONSOLIDADO!$C$4:$C$108,0)),"")</f>
        <v>JOSE MANUEL GUARDO POLO</v>
      </c>
      <c r="F32" s="22" t="s">
        <v>1035</v>
      </c>
      <c r="G32" s="23" t="s">
        <v>1713</v>
      </c>
      <c r="H32" s="1388" t="s">
        <v>22</v>
      </c>
      <c r="I32" s="1388" t="s">
        <v>129</v>
      </c>
      <c r="J32" s="1388" t="s">
        <v>22</v>
      </c>
      <c r="K32" s="1388" t="s">
        <v>129</v>
      </c>
      <c r="L32" s="24">
        <v>1</v>
      </c>
      <c r="M32" s="25">
        <v>34355</v>
      </c>
      <c r="N32" s="25">
        <v>34610</v>
      </c>
      <c r="O32" s="26">
        <f t="shared" si="0"/>
        <v>1994</v>
      </c>
      <c r="P32" s="27">
        <f>+IFERROR(INDEX([4]PARÁMETROS!$B$11:$B$37,MATCH(O32,[4]PARÁMETROS!$A$11:$A$37,0)),"")</f>
        <v>98700</v>
      </c>
      <c r="Q32" s="28">
        <v>320063303</v>
      </c>
      <c r="R32" s="29" t="s">
        <v>151</v>
      </c>
      <c r="S32" s="19" t="s">
        <v>140</v>
      </c>
      <c r="T32" s="30" t="s">
        <v>140</v>
      </c>
      <c r="U32" s="31">
        <v>1</v>
      </c>
      <c r="V32" s="27">
        <f t="shared" si="1"/>
        <v>320063303</v>
      </c>
      <c r="W32" s="16">
        <f t="shared" si="2"/>
        <v>3242.789290780142</v>
      </c>
      <c r="X32" s="16">
        <f t="shared" si="3"/>
        <v>3242.789290780142</v>
      </c>
      <c r="Y32" s="1388" t="str">
        <f>+IF(X32="","",IF(X32&gt;=[4]PARÁMETROS!$D$5,"CUMPLE","NO CUMPLE"))</f>
        <v>CUMPLE</v>
      </c>
      <c r="Z32" s="22"/>
    </row>
    <row r="33" spans="1:26" s="33" customFormat="1" ht="42.75">
      <c r="A33" s="1612"/>
      <c r="B33" s="1510"/>
      <c r="C33" s="19" t="s">
        <v>1710</v>
      </c>
      <c r="D33" s="170">
        <v>17</v>
      </c>
      <c r="E33" s="21" t="str">
        <f>+IFERROR(INDEX([4]CONSOLIDADO!$D$4:$D$108,MATCH('Concur - Exp. Especifica'!C33,[4]CONSOLIDADO!$C$4:$C$108,0)),"")</f>
        <v>JOSE MANUEL GUARDO POLO</v>
      </c>
      <c r="F33" s="22" t="s">
        <v>2360</v>
      </c>
      <c r="G33" s="23" t="s">
        <v>2361</v>
      </c>
      <c r="H33" s="1388" t="s">
        <v>22</v>
      </c>
      <c r="I33" s="1388" t="s">
        <v>22</v>
      </c>
      <c r="J33" s="1388" t="s">
        <v>22</v>
      </c>
      <c r="K33" s="1388" t="s">
        <v>129</v>
      </c>
      <c r="L33" s="24">
        <v>0.5</v>
      </c>
      <c r="M33" s="25">
        <v>36752</v>
      </c>
      <c r="N33" s="25">
        <v>41789</v>
      </c>
      <c r="O33" s="26">
        <f t="shared" si="0"/>
        <v>2014</v>
      </c>
      <c r="P33" s="27">
        <f>+IFERROR(INDEX([4]PARÁMETROS!$B$11:$B$37,MATCH(O33,[4]PARÁMETROS!$A$11:$A$37,0)),"")</f>
        <v>616000</v>
      </c>
      <c r="Q33" s="28">
        <v>4766569521</v>
      </c>
      <c r="R33" s="29" t="s">
        <v>151</v>
      </c>
      <c r="S33" s="19" t="s">
        <v>140</v>
      </c>
      <c r="T33" s="30" t="s">
        <v>140</v>
      </c>
      <c r="U33" s="31">
        <v>1</v>
      </c>
      <c r="V33" s="27">
        <f t="shared" si="1"/>
        <v>4766569521</v>
      </c>
      <c r="W33" s="16">
        <f t="shared" si="2"/>
        <v>7737.9375340909091</v>
      </c>
      <c r="X33" s="16">
        <f t="shared" si="3"/>
        <v>3868.9687670454546</v>
      </c>
      <c r="Y33" s="1388" t="str">
        <f>+IF(X33="","",IF(X33&gt;=[4]PARÁMETROS!$D$5,"CUMPLE","NO CUMPLE"))</f>
        <v>CUMPLE</v>
      </c>
      <c r="Z33" s="22"/>
    </row>
    <row r="34" spans="1:26" s="179" customFormat="1" ht="111" thickBot="1">
      <c r="A34" s="1612"/>
      <c r="B34" s="1511"/>
      <c r="C34" s="99" t="s">
        <v>252</v>
      </c>
      <c r="D34" s="178">
        <v>30</v>
      </c>
      <c r="E34" s="101" t="str">
        <f>+IFERROR(INDEX([4]CONSOLIDADO!$D$4:$D$108,MATCH('Concur - Exp. Especifica'!C34,[4]CONSOLIDADO!$C$4:$C$108,0)),"")</f>
        <v>INGENOBRAS CONSTRUCCIONES Y CONSULTORIA S.A.S. - INGENOBRAS S.A.S.</v>
      </c>
      <c r="F34" s="102" t="s">
        <v>1716</v>
      </c>
      <c r="G34" s="103" t="s">
        <v>1717</v>
      </c>
      <c r="H34" s="1392" t="s">
        <v>22</v>
      </c>
      <c r="I34" s="1392" t="s">
        <v>129</v>
      </c>
      <c r="J34" s="1392" t="s">
        <v>22</v>
      </c>
      <c r="K34" s="1392" t="s">
        <v>129</v>
      </c>
      <c r="L34" s="119">
        <v>0.45</v>
      </c>
      <c r="M34" s="105">
        <v>40805</v>
      </c>
      <c r="N34" s="105">
        <v>41730</v>
      </c>
      <c r="O34" s="106">
        <f t="shared" si="0"/>
        <v>2014</v>
      </c>
      <c r="P34" s="107">
        <f>+IFERROR(INDEX([4]PARÁMETROS!$B$11:$B$37,MATCH(O34,[4]PARÁMETROS!$A$11:$A$37,0)),"")</f>
        <v>616000</v>
      </c>
      <c r="Q34" s="120">
        <v>5922134662</v>
      </c>
      <c r="R34" s="109" t="s">
        <v>151</v>
      </c>
      <c r="S34" s="99" t="s">
        <v>140</v>
      </c>
      <c r="T34" s="110" t="s">
        <v>140</v>
      </c>
      <c r="U34" s="111">
        <v>1</v>
      </c>
      <c r="V34" s="107">
        <f t="shared" si="1"/>
        <v>5922134662</v>
      </c>
      <c r="W34" s="112">
        <f t="shared" si="2"/>
        <v>9613.8549707792208</v>
      </c>
      <c r="X34" s="112">
        <f t="shared" si="3"/>
        <v>4326.2347368506498</v>
      </c>
      <c r="Y34" s="1392" t="str">
        <f>+IF(X34="","",IF(X34&gt;=[4]PARÁMETROS!$D$5,"CUMPLE","NO CUMPLE"))</f>
        <v>CUMPLE</v>
      </c>
      <c r="Z34" s="102"/>
    </row>
    <row r="35" spans="1:26" s="148" customFormat="1" ht="79.5" thickBot="1">
      <c r="A35" s="1612"/>
      <c r="B35" s="1509" t="s">
        <v>1718</v>
      </c>
      <c r="C35" s="81" t="s">
        <v>270</v>
      </c>
      <c r="D35" s="82">
        <v>6</v>
      </c>
      <c r="E35" s="101" t="str">
        <f>+IFERROR(INDEX([4]CONSOLIDADO!$D$4:$D$108,MATCH('Concur - Exp. Especifica'!C35,[4]CONSOLIDADO!$C$4:$C$108,0)),"")</f>
        <v>ARREDONDO MADRID INGENIEROS CIVILES (AIM ) LIMITADA</v>
      </c>
      <c r="F35" s="84" t="s">
        <v>1719</v>
      </c>
      <c r="G35" s="85" t="s">
        <v>1720</v>
      </c>
      <c r="H35" s="1393" t="s">
        <v>22</v>
      </c>
      <c r="I35" s="1393" t="s">
        <v>129</v>
      </c>
      <c r="J35" s="1393" t="s">
        <v>22</v>
      </c>
      <c r="K35" s="1393" t="s">
        <v>129</v>
      </c>
      <c r="L35" s="86">
        <v>1</v>
      </c>
      <c r="M35" s="87">
        <v>35006</v>
      </c>
      <c r="N35" s="87">
        <v>35828</v>
      </c>
      <c r="O35" s="88">
        <f>IF(N35="","",YEAR(N35))</f>
        <v>1998</v>
      </c>
      <c r="P35" s="89">
        <f>+IFERROR(INDEX([5]PARÁMETROS!$B$11:$B$37,MATCH(O35,[5]PARÁMETROS!$A$11:$A$37,0)),"")</f>
        <v>203826</v>
      </c>
      <c r="Q35" s="90">
        <v>943132057</v>
      </c>
      <c r="R35" s="91" t="s">
        <v>151</v>
      </c>
      <c r="S35" s="81" t="s">
        <v>140</v>
      </c>
      <c r="T35" s="92" t="s">
        <v>140</v>
      </c>
      <c r="U35" s="93">
        <v>1</v>
      </c>
      <c r="V35" s="89">
        <f>IF(U35&lt;&gt;"",Q35*U35,"")</f>
        <v>943132057</v>
      </c>
      <c r="W35" s="94">
        <f>+IFERROR(V35/P35,"")</f>
        <v>4627.1430386702386</v>
      </c>
      <c r="X35" s="94">
        <f>IFERROR(W35*L35,"")</f>
        <v>4627.1430386702386</v>
      </c>
      <c r="Y35" s="1400" t="str">
        <f>+IF(X35="","",IF(X35&gt;=[5]PARÁMETROS!$J$5,"CUMPLE","NO CUMPLE"))</f>
        <v>CUMPLE</v>
      </c>
      <c r="Z35" s="96"/>
    </row>
    <row r="36" spans="1:26" s="33" customFormat="1" ht="79.5" thickBot="1">
      <c r="A36" s="1612"/>
      <c r="B36" s="1510"/>
      <c r="C36" s="19" t="s">
        <v>270</v>
      </c>
      <c r="D36" s="20">
        <v>10</v>
      </c>
      <c r="E36" s="101" t="str">
        <f>+IFERROR(INDEX([4]CONSOLIDADO!$D$4:$D$108,MATCH('Concur - Exp. Especifica'!C36,[4]CONSOLIDADO!$C$4:$C$108,0)),"")</f>
        <v>ARREDONDO MADRID INGENIEROS CIVILES (AIM ) LIMITADA</v>
      </c>
      <c r="F36" s="22" t="s">
        <v>517</v>
      </c>
      <c r="G36" s="23" t="s">
        <v>2362</v>
      </c>
      <c r="H36" s="1388" t="s">
        <v>22</v>
      </c>
      <c r="I36" s="1388" t="s">
        <v>22</v>
      </c>
      <c r="J36" s="1388" t="s">
        <v>22</v>
      </c>
      <c r="K36" s="1388" t="s">
        <v>129</v>
      </c>
      <c r="L36" s="34">
        <v>1</v>
      </c>
      <c r="M36" s="25">
        <v>37186</v>
      </c>
      <c r="N36" s="25">
        <v>38373</v>
      </c>
      <c r="O36" s="26">
        <f t="shared" ref="O36:O66" si="4">IF(N36="","",YEAR(N36))</f>
        <v>2005</v>
      </c>
      <c r="P36" s="27">
        <f>+IFERROR(INDEX([5]PARÁMETROS!$B$11:$B$37,MATCH(O36,[5]PARÁMETROS!$A$11:$A$37,0)),"")</f>
        <v>381500</v>
      </c>
      <c r="Q36" s="28">
        <v>1557666575</v>
      </c>
      <c r="R36" s="27" t="s">
        <v>151</v>
      </c>
      <c r="S36" s="19" t="s">
        <v>140</v>
      </c>
      <c r="T36" s="30" t="s">
        <v>140</v>
      </c>
      <c r="U36" s="31">
        <v>1</v>
      </c>
      <c r="V36" s="27">
        <f t="shared" ref="V36:V66" si="5">IF(U36&lt;&gt;"",Q36*U36,"")</f>
        <v>1557666575</v>
      </c>
      <c r="W36" s="16">
        <f t="shared" ref="W36:W66" si="6">+IFERROR(V36/P36,"")</f>
        <v>4083.0054390563564</v>
      </c>
      <c r="X36" s="16">
        <f t="shared" ref="X36:X66" si="7">IFERROR(W36*L36,"")</f>
        <v>4083.0054390563564</v>
      </c>
      <c r="Y36" s="1388" t="str">
        <f>+IF(X36="","",IF(X36&gt;=[5]PARÁMETROS!$J$5,"CUMPLE","NO CUMPLE"))</f>
        <v>CUMPLE</v>
      </c>
      <c r="Z36" s="97"/>
    </row>
    <row r="37" spans="1:26" s="33" customFormat="1" ht="79.5" thickBot="1">
      <c r="A37" s="1612"/>
      <c r="B37" s="1510"/>
      <c r="C37" s="19" t="s">
        <v>270</v>
      </c>
      <c r="D37" s="20">
        <v>14</v>
      </c>
      <c r="E37" s="101" t="str">
        <f>+IFERROR(INDEX([4]CONSOLIDADO!$D$4:$D$108,MATCH('Concur - Exp. Especifica'!C37,[4]CONSOLIDADO!$C$4:$C$108,0)),"")</f>
        <v>ARREDONDO MADRID INGENIEROS CIVILES (AIM ) LIMITADA</v>
      </c>
      <c r="F37" s="22" t="s">
        <v>517</v>
      </c>
      <c r="G37" s="23" t="s">
        <v>2363</v>
      </c>
      <c r="H37" s="1388" t="s">
        <v>22</v>
      </c>
      <c r="I37" s="1388" t="s">
        <v>129</v>
      </c>
      <c r="J37" s="1388" t="s">
        <v>22</v>
      </c>
      <c r="K37" s="1388" t="s">
        <v>129</v>
      </c>
      <c r="L37" s="24">
        <v>1</v>
      </c>
      <c r="M37" s="25">
        <v>38385</v>
      </c>
      <c r="N37" s="25">
        <v>39814</v>
      </c>
      <c r="O37" s="26">
        <f t="shared" si="4"/>
        <v>2009</v>
      </c>
      <c r="P37" s="27">
        <f>+IFERROR(INDEX([5]PARÁMETROS!$B$11:$B$37,MATCH(O37,[5]PARÁMETROS!$A$11:$A$37,0)),"")</f>
        <v>496900</v>
      </c>
      <c r="Q37" s="28">
        <v>2250917484</v>
      </c>
      <c r="R37" s="29" t="s">
        <v>151</v>
      </c>
      <c r="S37" s="19" t="s">
        <v>140</v>
      </c>
      <c r="T37" s="30" t="s">
        <v>140</v>
      </c>
      <c r="U37" s="31">
        <v>1</v>
      </c>
      <c r="V37" s="27">
        <f t="shared" si="5"/>
        <v>2250917484</v>
      </c>
      <c r="W37" s="16">
        <f t="shared" si="6"/>
        <v>4529.9204749446571</v>
      </c>
      <c r="X37" s="16">
        <f t="shared" si="7"/>
        <v>4529.9204749446571</v>
      </c>
      <c r="Y37" s="1388" t="str">
        <f>+IF(X37="","",IF(X37&gt;=[5]PARÁMETROS!$J$5,"CUMPLE","NO CUMPLE"))</f>
        <v>CUMPLE</v>
      </c>
      <c r="Z37" s="98"/>
    </row>
    <row r="38" spans="1:26" s="179" customFormat="1" ht="79.5" thickBot="1">
      <c r="A38" s="1612"/>
      <c r="B38" s="1511"/>
      <c r="C38" s="99" t="s">
        <v>278</v>
      </c>
      <c r="D38" s="123">
        <v>19</v>
      </c>
      <c r="E38" s="101" t="str">
        <f>+IFERROR(INDEX([4]CONSOLIDADO!$D$4:$D$108,MATCH('Concur - Exp. Especifica'!C38,[4]CONSOLIDADO!$C$4:$C$108,0)),"")</f>
        <v>INGENIERIA INTEGRAL DE OBRAS INGEOBRAS S.A.S.</v>
      </c>
      <c r="F38" s="102" t="s">
        <v>1722</v>
      </c>
      <c r="G38" s="103" t="s">
        <v>1723</v>
      </c>
      <c r="H38" s="1392" t="s">
        <v>22</v>
      </c>
      <c r="I38" s="1392" t="s">
        <v>129</v>
      </c>
      <c r="J38" s="1392" t="s">
        <v>22</v>
      </c>
      <c r="K38" s="1392" t="s">
        <v>129</v>
      </c>
      <c r="L38" s="104">
        <v>1</v>
      </c>
      <c r="M38" s="105">
        <v>41295</v>
      </c>
      <c r="N38" s="105">
        <v>41841</v>
      </c>
      <c r="O38" s="106">
        <f t="shared" si="4"/>
        <v>2014</v>
      </c>
      <c r="P38" s="107">
        <f>+IFERROR(INDEX([5]PARÁMETROS!$B$11:$B$37,MATCH(O38,[5]PARÁMETROS!$A$11:$A$37,0)),"")</f>
        <v>616000</v>
      </c>
      <c r="Q38" s="108">
        <v>3203004883</v>
      </c>
      <c r="R38" s="109" t="s">
        <v>151</v>
      </c>
      <c r="S38" s="99" t="s">
        <v>140</v>
      </c>
      <c r="T38" s="110" t="s">
        <v>140</v>
      </c>
      <c r="U38" s="111">
        <v>1</v>
      </c>
      <c r="V38" s="107">
        <f t="shared" si="5"/>
        <v>3203004883</v>
      </c>
      <c r="W38" s="112">
        <f t="shared" si="6"/>
        <v>5199.6832516233762</v>
      </c>
      <c r="X38" s="112">
        <f t="shared" si="7"/>
        <v>5199.6832516233762</v>
      </c>
      <c r="Y38" s="1392" t="str">
        <f>+IF(X38="","",IF(X38&gt;=[5]PARÁMETROS!$D$5,"CUMPLE","NO CUMPLE"))</f>
        <v>CUMPLE</v>
      </c>
      <c r="Z38" s="124"/>
    </row>
    <row r="39" spans="1:26" ht="48" thickBot="1">
      <c r="A39" s="1612"/>
      <c r="B39" s="1605" t="s">
        <v>1724</v>
      </c>
      <c r="C39" s="68" t="s">
        <v>305</v>
      </c>
      <c r="D39" s="185">
        <v>5</v>
      </c>
      <c r="E39" s="101" t="str">
        <f>+IFERROR(INDEX([4]CONSOLIDADO!$D$4:$D$108,MATCH('Concur - Exp. Especifica'!C39,[4]CONSOLIDADO!$C$4:$C$108,0)),"")</f>
        <v xml:space="preserve">EUROESTUDIOS INGENIEROS DE CONSULTA S.A.S. </v>
      </c>
      <c r="F39" s="22" t="s">
        <v>147</v>
      </c>
      <c r="G39" s="23" t="s">
        <v>2364</v>
      </c>
      <c r="H39" s="1394" t="s">
        <v>2365</v>
      </c>
      <c r="I39" s="1394" t="s">
        <v>22</v>
      </c>
      <c r="J39" s="1394" t="s">
        <v>22</v>
      </c>
      <c r="K39" s="1394" t="s">
        <v>129</v>
      </c>
      <c r="L39" s="73">
        <v>0.75</v>
      </c>
      <c r="M39" s="25">
        <v>39521</v>
      </c>
      <c r="N39" s="25">
        <v>40999</v>
      </c>
      <c r="O39" s="116">
        <f t="shared" si="4"/>
        <v>2012</v>
      </c>
      <c r="P39" s="75">
        <f>+IFERROR(INDEX([5]PARÁMETROS!$B$11:$B$37,MATCH(O39,[5]PARÁMETROS!$A$11:$A$37,0)),"")</f>
        <v>566700</v>
      </c>
      <c r="Q39" s="28">
        <v>7072964150</v>
      </c>
      <c r="R39" s="29" t="s">
        <v>151</v>
      </c>
      <c r="S39" s="19" t="s">
        <v>140</v>
      </c>
      <c r="T39" s="30" t="s">
        <v>140</v>
      </c>
      <c r="U39" s="31">
        <v>1</v>
      </c>
      <c r="V39" s="75">
        <f t="shared" si="5"/>
        <v>7072964150</v>
      </c>
      <c r="W39" s="80">
        <f>+IFERROR(V39/P39,"")</f>
        <v>12480.967266631375</v>
      </c>
      <c r="X39" s="80">
        <f>IFERROR(W39*L39,"")</f>
        <v>9360.7254499735318</v>
      </c>
      <c r="Y39" s="1401" t="str">
        <f>+IF(X39="","",IF(X39&gt;=[5]PARÁMETROS!$D$5,"CUMPLE","NO CUMPLE"))</f>
        <v>CUMPLE</v>
      </c>
      <c r="Z39" s="122"/>
    </row>
    <row r="40" spans="1:26" ht="48" thickBot="1">
      <c r="A40" s="1612"/>
      <c r="B40" s="1510"/>
      <c r="C40" s="19" t="s">
        <v>305</v>
      </c>
      <c r="D40" s="170">
        <v>24</v>
      </c>
      <c r="E40" s="101" t="str">
        <f>+IFERROR(INDEX([4]CONSOLIDADO!$D$4:$D$108,MATCH('Concur - Exp. Especifica'!C40,[4]CONSOLIDADO!$C$4:$C$108,0)),"")</f>
        <v xml:space="preserve">EUROESTUDIOS INGENIEROS DE CONSULTA S.A.S. </v>
      </c>
      <c r="F40" s="22" t="s">
        <v>1725</v>
      </c>
      <c r="G40" s="23" t="s">
        <v>2366</v>
      </c>
      <c r="H40" s="1388" t="s">
        <v>22</v>
      </c>
      <c r="I40" s="1388" t="s">
        <v>129</v>
      </c>
      <c r="J40" s="1388" t="s">
        <v>22</v>
      </c>
      <c r="K40" s="1388" t="s">
        <v>129</v>
      </c>
      <c r="L40" s="24">
        <v>1</v>
      </c>
      <c r="M40" s="25">
        <v>38834</v>
      </c>
      <c r="N40" s="25">
        <v>39805</v>
      </c>
      <c r="O40" s="26">
        <f t="shared" si="4"/>
        <v>2008</v>
      </c>
      <c r="P40" s="27">
        <f>+IFERROR(INDEX([5]PARÁMETROS!$B$11:$B$37,MATCH(O40,[5]PARÁMETROS!$A$11:$A$37,0)),"")</f>
        <v>461500</v>
      </c>
      <c r="Q40" s="204">
        <v>1240314.52</v>
      </c>
      <c r="R40" s="29" t="s">
        <v>1727</v>
      </c>
      <c r="S40" s="19">
        <v>1.39802</v>
      </c>
      <c r="T40" s="30">
        <f>+Q40*S40</f>
        <v>1733984.5052504002</v>
      </c>
      <c r="U40" s="31">
        <v>2169.83</v>
      </c>
      <c r="V40" s="27">
        <f>IF(U40&lt;&gt;"",T40*U40,"")</f>
        <v>3762451599.0274758</v>
      </c>
      <c r="W40" s="16">
        <f t="shared" si="6"/>
        <v>8152.6578527139236</v>
      </c>
      <c r="X40" s="16">
        <f t="shared" si="7"/>
        <v>8152.6578527139236</v>
      </c>
      <c r="Y40" s="1388" t="str">
        <f>+IF(X40="","",IF(X40&gt;=[5]PARÁMETROS!$D$5,"CUMPLE","NO CUMPLE"))</f>
        <v>CUMPLE</v>
      </c>
      <c r="Z40" s="97"/>
    </row>
    <row r="41" spans="1:26" ht="63.75" thickBot="1">
      <c r="A41" s="1612"/>
      <c r="B41" s="1510"/>
      <c r="C41" s="19" t="s">
        <v>289</v>
      </c>
      <c r="D41" s="170">
        <v>29</v>
      </c>
      <c r="E41" s="101" t="str">
        <f>+IFERROR(INDEX([4]CONSOLIDADO!$D$4:$D$108,MATCH('Concur - Exp. Especifica'!C41,[4]CONSOLIDADO!$C$4:$C$108,0)),"")</f>
        <v xml:space="preserve">GETINSA INGENIERIA SL SUCURSAL COLOMBIA </v>
      </c>
      <c r="F41" s="22" t="s">
        <v>1725</v>
      </c>
      <c r="G41" s="23" t="s">
        <v>1730</v>
      </c>
      <c r="H41" s="1388" t="s">
        <v>22</v>
      </c>
      <c r="I41" s="1388" t="s">
        <v>129</v>
      </c>
      <c r="J41" s="1388" t="s">
        <v>22</v>
      </c>
      <c r="K41" s="1388" t="s">
        <v>129</v>
      </c>
      <c r="L41" s="24">
        <v>1</v>
      </c>
      <c r="M41" s="25">
        <v>38681</v>
      </c>
      <c r="N41" s="25">
        <v>39777</v>
      </c>
      <c r="O41" s="26">
        <f t="shared" si="4"/>
        <v>2008</v>
      </c>
      <c r="P41" s="27">
        <f>+IFERROR(INDEX([5]PARÁMETROS!$B$11:$B$37,MATCH(O41,[5]PARÁMETROS!$A$11:$A$37,0)),"")</f>
        <v>461500</v>
      </c>
      <c r="Q41" s="204">
        <v>763582.06</v>
      </c>
      <c r="R41" s="29" t="s">
        <v>1727</v>
      </c>
      <c r="S41" s="19">
        <v>1.2687600000000001</v>
      </c>
      <c r="T41" s="30">
        <f>+Q41*S41</f>
        <v>968802.3744456002</v>
      </c>
      <c r="U41" s="31">
        <v>2314.7199999999998</v>
      </c>
      <c r="V41" s="27">
        <f>IF(U41&lt;&gt;"",T41*U41,"")</f>
        <v>2242506232.1767197</v>
      </c>
      <c r="W41" s="16">
        <f t="shared" si="6"/>
        <v>4859.168433752372</v>
      </c>
      <c r="X41" s="16">
        <f t="shared" si="7"/>
        <v>4859.168433752372</v>
      </c>
      <c r="Y41" s="1388" t="str">
        <f>+IF(X41="","",IF(X41&gt;=[5]PARÁMETROS!$D$5,"CUMPLE","NO CUMPLE"))</f>
        <v>CUMPLE</v>
      </c>
      <c r="Z41" s="97"/>
    </row>
    <row r="42" spans="1:26" ht="63.75" thickBot="1">
      <c r="A42" s="1612"/>
      <c r="B42" s="1553"/>
      <c r="C42" s="151" t="s">
        <v>289</v>
      </c>
      <c r="D42" s="172">
        <v>36</v>
      </c>
      <c r="E42" s="101" t="str">
        <f>+IFERROR(INDEX([4]CONSOLIDADO!$D$4:$D$108,MATCH('Concur - Exp. Especifica'!C42,[4]CONSOLIDADO!$C$4:$C$108,0)),"")</f>
        <v xml:space="preserve">GETINSA INGENIERIA SL SUCURSAL COLOMBIA </v>
      </c>
      <c r="F42" s="154" t="s">
        <v>1725</v>
      </c>
      <c r="G42" s="155" t="s">
        <v>1728</v>
      </c>
      <c r="H42" s="1419" t="s">
        <v>22</v>
      </c>
      <c r="I42" s="1419" t="s">
        <v>129</v>
      </c>
      <c r="J42" s="1419" t="s">
        <v>22</v>
      </c>
      <c r="K42" s="1419" t="s">
        <v>129</v>
      </c>
      <c r="L42" s="156">
        <v>1</v>
      </c>
      <c r="M42" s="157">
        <v>39087</v>
      </c>
      <c r="N42" s="157">
        <v>40334</v>
      </c>
      <c r="O42" s="158">
        <f t="shared" si="4"/>
        <v>2010</v>
      </c>
      <c r="P42" s="159">
        <f>+IFERROR(INDEX([5]PARÁMETROS!$B$11:$B$37,MATCH(O42,[5]PARÁMETROS!$A$11:$A$37,0)),"")</f>
        <v>515000</v>
      </c>
      <c r="Q42" s="216">
        <v>1306037.8500000001</v>
      </c>
      <c r="R42" s="161" t="s">
        <v>1727</v>
      </c>
      <c r="S42" s="151">
        <v>1.2085600000000001</v>
      </c>
      <c r="T42" s="163">
        <f>+Q42*S42</f>
        <v>1578425.1039960003</v>
      </c>
      <c r="U42" s="163">
        <v>1965.83</v>
      </c>
      <c r="V42" s="159">
        <f>IF(U42&lt;&gt;"",T42*U42,"")</f>
        <v>3102915422.188457</v>
      </c>
      <c r="W42" s="164">
        <f t="shared" si="6"/>
        <v>6025.0784896863242</v>
      </c>
      <c r="X42" s="164">
        <f t="shared" si="7"/>
        <v>6025.0784896863242</v>
      </c>
      <c r="Y42" s="1419" t="str">
        <f>+IF(X42="","",IF(X42&gt;=[5]PARÁMETROS!$D$5,"CUMPLE","NO CUMPLE"))</f>
        <v>CUMPLE</v>
      </c>
      <c r="Z42" s="195"/>
    </row>
    <row r="43" spans="1:26" ht="48" thickBot="1">
      <c r="A43" s="1612"/>
      <c r="B43" s="1509" t="s">
        <v>1734</v>
      </c>
      <c r="C43" s="81" t="s">
        <v>310</v>
      </c>
      <c r="D43" s="169">
        <v>5</v>
      </c>
      <c r="E43" s="101" t="str">
        <f>+IFERROR(INDEX([4]CONSOLIDADO!$D$4:$D$108,MATCH('Concur - Exp. Especifica'!C43,[4]CONSOLIDADO!$C$4:$C$108,0)),"")</f>
        <v>INGENIERIA Y CONSULTORIA INGECON S.A.S.</v>
      </c>
      <c r="F43" s="84" t="s">
        <v>2367</v>
      </c>
      <c r="G43" s="85" t="s">
        <v>2368</v>
      </c>
      <c r="H43" s="1393" t="s">
        <v>22</v>
      </c>
      <c r="I43" s="1393" t="s">
        <v>129</v>
      </c>
      <c r="J43" s="1393" t="s">
        <v>22</v>
      </c>
      <c r="K43" s="1393" t="s">
        <v>129</v>
      </c>
      <c r="L43" s="86">
        <v>1</v>
      </c>
      <c r="M43" s="87">
        <v>39083</v>
      </c>
      <c r="N43" s="87">
        <v>40086</v>
      </c>
      <c r="O43" s="88">
        <f t="shared" si="4"/>
        <v>2009</v>
      </c>
      <c r="P43" s="89">
        <f>+IFERROR(INDEX([5]PARÁMETROS!$B$11:$B$37,MATCH(O43,[5]PARÁMETROS!$A$11:$A$37,0)),"")</f>
        <v>496900</v>
      </c>
      <c r="Q43" s="176">
        <v>2052203069.46</v>
      </c>
      <c r="R43" s="91" t="s">
        <v>151</v>
      </c>
      <c r="S43" s="81" t="s">
        <v>140</v>
      </c>
      <c r="T43" s="92" t="s">
        <v>140</v>
      </c>
      <c r="U43" s="93">
        <v>1</v>
      </c>
      <c r="V43" s="89">
        <f t="shared" si="5"/>
        <v>2052203069.46</v>
      </c>
      <c r="W43" s="94">
        <f t="shared" si="6"/>
        <v>4130.0122146508356</v>
      </c>
      <c r="X43" s="94">
        <f t="shared" si="7"/>
        <v>4130.0122146508356</v>
      </c>
      <c r="Y43" s="1393" t="str">
        <f>+IF(X43="","",IF(X43&gt;=[5]PARÁMETROS!$D$5,"CUMPLE","NO CUMPLE"))</f>
        <v>CUMPLE</v>
      </c>
      <c r="Z43" s="96"/>
    </row>
    <row r="44" spans="1:26" ht="48" thickBot="1">
      <c r="A44" s="1612"/>
      <c r="B44" s="1510"/>
      <c r="C44" s="19" t="s">
        <v>310</v>
      </c>
      <c r="D44" s="170">
        <v>29</v>
      </c>
      <c r="E44" s="101" t="str">
        <f>+IFERROR(INDEX([4]CONSOLIDADO!$D$4:$D$108,MATCH('Concur - Exp. Especifica'!C44,[4]CONSOLIDADO!$C$4:$C$108,0)),"")</f>
        <v>INGENIERIA Y CONSULTORIA INGECON S.A.S.</v>
      </c>
      <c r="F44" s="22" t="s">
        <v>554</v>
      </c>
      <c r="G44" s="22" t="s">
        <v>2369</v>
      </c>
      <c r="H44" s="1388" t="s">
        <v>22</v>
      </c>
      <c r="I44" s="1388" t="s">
        <v>22</v>
      </c>
      <c r="J44" s="1388" t="s">
        <v>22</v>
      </c>
      <c r="K44" s="1388" t="s">
        <v>129</v>
      </c>
      <c r="L44" s="34">
        <v>0.65</v>
      </c>
      <c r="M44" s="25">
        <v>37838</v>
      </c>
      <c r="N44" s="25">
        <v>38612</v>
      </c>
      <c r="O44" s="26">
        <f t="shared" si="4"/>
        <v>2005</v>
      </c>
      <c r="P44" s="27">
        <f>+IFERROR(INDEX([5]PARÁMETROS!$B$11:$B$37,MATCH(O44,[5]PARÁMETROS!$A$11:$A$37,0)),"")</f>
        <v>381500</v>
      </c>
      <c r="Q44" s="205">
        <v>6190975758</v>
      </c>
      <c r="R44" s="27" t="s">
        <v>151</v>
      </c>
      <c r="S44" s="19" t="s">
        <v>140</v>
      </c>
      <c r="T44" s="30" t="s">
        <v>140</v>
      </c>
      <c r="U44" s="31">
        <v>1</v>
      </c>
      <c r="V44" s="27">
        <f t="shared" si="5"/>
        <v>6190975758</v>
      </c>
      <c r="W44" s="16">
        <f t="shared" si="6"/>
        <v>16227.983638269987</v>
      </c>
      <c r="X44" s="16">
        <f t="shared" si="7"/>
        <v>10548.189364875492</v>
      </c>
      <c r="Y44" s="1388" t="str">
        <f>+IF(X44="","",IF(X44&gt;=[5]PARÁMETROS!$D$5,"CUMPLE","NO CUMPLE"))</f>
        <v>CUMPLE</v>
      </c>
      <c r="Z44" s="97"/>
    </row>
    <row r="45" spans="1:26" ht="63.75" thickBot="1">
      <c r="A45" s="1612"/>
      <c r="B45" s="1510"/>
      <c r="C45" s="19" t="s">
        <v>314</v>
      </c>
      <c r="D45" s="170">
        <v>77</v>
      </c>
      <c r="E45" s="101" t="str">
        <f>+IFERROR(INDEX([4]CONSOLIDADO!$D$4:$D$108,MATCH('Concur - Exp. Especifica'!C45,[4]CONSOLIDADO!$C$4:$C$108,0)),"")</f>
        <v>CONSULTORIA INTEGRAL EN INGENIERIA S.A. DE CV</v>
      </c>
      <c r="F45" s="22" t="s">
        <v>1735</v>
      </c>
      <c r="G45" s="23" t="s">
        <v>2370</v>
      </c>
      <c r="H45" s="1388" t="s">
        <v>22</v>
      </c>
      <c r="I45" s="1388" t="s">
        <v>129</v>
      </c>
      <c r="J45" s="1388" t="s">
        <v>22</v>
      </c>
      <c r="K45" s="1388" t="s">
        <v>129</v>
      </c>
      <c r="L45" s="24">
        <v>1</v>
      </c>
      <c r="M45" s="25">
        <v>38974</v>
      </c>
      <c r="N45" s="25">
        <v>39478</v>
      </c>
      <c r="O45" s="26">
        <f t="shared" si="4"/>
        <v>2008</v>
      </c>
      <c r="P45" s="27">
        <f>+IFERROR(INDEX([5]PARÁMETROS!$B$11:$B$37,MATCH(O45,[5]PARÁMETROS!$A$11:$A$37,0)),"")</f>
        <v>461500</v>
      </c>
      <c r="Q45" s="177">
        <v>12952658.279999999</v>
      </c>
      <c r="R45" s="27" t="s">
        <v>1737</v>
      </c>
      <c r="S45" s="19">
        <v>9.2179999999999998E-2</v>
      </c>
      <c r="T45" s="30">
        <f>+Q45*S45</f>
        <v>1193976.0402503998</v>
      </c>
      <c r="U45" s="31">
        <v>1939.6</v>
      </c>
      <c r="V45" s="27">
        <f>IF(U45&lt;&gt;"",T45*U45,"")</f>
        <v>2315835927.6696754</v>
      </c>
      <c r="W45" s="16">
        <f t="shared" si="6"/>
        <v>5018.0626818411165</v>
      </c>
      <c r="X45" s="16">
        <f t="shared" si="7"/>
        <v>5018.0626818411165</v>
      </c>
      <c r="Y45" s="1388" t="str">
        <f>+IF(X45="","",IF(X45&gt;=[5]PARÁMETROS!$D$5,"CUMPLE","NO CUMPLE"))</f>
        <v>CUMPLE</v>
      </c>
      <c r="Z45" s="97"/>
    </row>
    <row r="46" spans="1:26" ht="63.75" thickBot="1">
      <c r="A46" s="1612"/>
      <c r="B46" s="1553"/>
      <c r="C46" s="151" t="s">
        <v>314</v>
      </c>
      <c r="D46" s="172">
        <v>105</v>
      </c>
      <c r="E46" s="101" t="str">
        <f>+IFERROR(INDEX([4]CONSOLIDADO!$D$4:$D$108,MATCH('Concur - Exp. Especifica'!C46,[4]CONSOLIDADO!$C$4:$C$108,0)),"")</f>
        <v>CONSULTORIA INTEGRAL EN INGENIERIA S.A. DE CV</v>
      </c>
      <c r="F46" s="154" t="s">
        <v>1735</v>
      </c>
      <c r="G46" s="217" t="s">
        <v>2371</v>
      </c>
      <c r="H46" s="1419" t="s">
        <v>22</v>
      </c>
      <c r="I46" s="1419" t="s">
        <v>129</v>
      </c>
      <c r="J46" s="1419" t="s">
        <v>22</v>
      </c>
      <c r="K46" s="1419" t="s">
        <v>129</v>
      </c>
      <c r="L46" s="156">
        <v>1</v>
      </c>
      <c r="M46" s="157">
        <v>37495</v>
      </c>
      <c r="N46" s="157">
        <v>37863</v>
      </c>
      <c r="O46" s="158">
        <f t="shared" si="4"/>
        <v>2003</v>
      </c>
      <c r="P46" s="159">
        <f>+IFERROR(INDEX([5]PARÁMETROS!$B$11:$B$37,MATCH(O46,[5]PARÁMETROS!$A$11:$A$37,0)),"")</f>
        <v>332000</v>
      </c>
      <c r="Q46" s="218">
        <v>23799200.760000002</v>
      </c>
      <c r="R46" s="159" t="s">
        <v>1737</v>
      </c>
      <c r="S46" s="151">
        <v>9.0289999999999995E-2</v>
      </c>
      <c r="T46" s="162">
        <f>+Q46*S46</f>
        <v>2148829.8366204002</v>
      </c>
      <c r="U46" s="163">
        <v>2832.94</v>
      </c>
      <c r="V46" s="159">
        <f>IF(U46&lt;&gt;"",T46*U46,"")</f>
        <v>6087505997.3553963</v>
      </c>
      <c r="W46" s="164">
        <f t="shared" si="6"/>
        <v>18335.861437817457</v>
      </c>
      <c r="X46" s="164">
        <f>IFERROR(W46*L46,"")</f>
        <v>18335.861437817457</v>
      </c>
      <c r="Y46" s="1419" t="str">
        <f>+IF(X46="","",IF(X46&gt;=[5]PARÁMETROS!$D$5,"CUMPLE","NO CUMPLE"))</f>
        <v>CUMPLE</v>
      </c>
      <c r="Z46" s="195"/>
    </row>
    <row r="47" spans="1:26" ht="57.75" thickBot="1">
      <c r="A47" s="1612"/>
      <c r="B47" s="1509" t="s">
        <v>1740</v>
      </c>
      <c r="C47" s="81" t="s">
        <v>318</v>
      </c>
      <c r="D47" s="169">
        <v>3</v>
      </c>
      <c r="E47" s="101" t="str">
        <f>+IFERROR(INDEX([4]CONSOLIDADO!$D$4:$D$108,MATCH('Concur - Exp. Especifica'!C47,[4]CONSOLIDADO!$C$4:$C$108,0)),"")</f>
        <v>PROYECTOS E INTERVENTORIAS LIMITADA</v>
      </c>
      <c r="F47" s="84" t="s">
        <v>1742</v>
      </c>
      <c r="G47" s="85" t="s">
        <v>1743</v>
      </c>
      <c r="H47" s="1393" t="s">
        <v>22</v>
      </c>
      <c r="I47" s="1393" t="s">
        <v>129</v>
      </c>
      <c r="J47" s="1393" t="s">
        <v>22</v>
      </c>
      <c r="K47" s="1393" t="s">
        <v>129</v>
      </c>
      <c r="L47" s="86">
        <v>1</v>
      </c>
      <c r="M47" s="87">
        <v>39804</v>
      </c>
      <c r="N47" s="87">
        <v>40390</v>
      </c>
      <c r="O47" s="88">
        <f t="shared" si="4"/>
        <v>2010</v>
      </c>
      <c r="P47" s="89">
        <f>+IFERROR(INDEX([5]PARÁMETROS!$B$11:$B$37,MATCH(O47,[5]PARÁMETROS!$A$11:$A$37,0)),"")</f>
        <v>515000</v>
      </c>
      <c r="Q47" s="176">
        <v>2584495082</v>
      </c>
      <c r="R47" s="89" t="s">
        <v>151</v>
      </c>
      <c r="S47" s="81" t="s">
        <v>140</v>
      </c>
      <c r="T47" s="92" t="s">
        <v>140</v>
      </c>
      <c r="U47" s="93">
        <v>1</v>
      </c>
      <c r="V47" s="89">
        <f t="shared" si="5"/>
        <v>2584495082</v>
      </c>
      <c r="W47" s="94">
        <f t="shared" si="6"/>
        <v>5018.4370524271844</v>
      </c>
      <c r="X47" s="94">
        <f t="shared" si="7"/>
        <v>5018.4370524271844</v>
      </c>
      <c r="Y47" s="1393" t="str">
        <f>+IF(X47="","",IF(X47&gt;=[5]PARÁMETROS!$D$5,"CUMPLE","NO CUMPLE"))</f>
        <v>CUMPLE</v>
      </c>
      <c r="Z47" s="96"/>
    </row>
    <row r="48" spans="1:26" ht="57.75" thickBot="1">
      <c r="A48" s="1612"/>
      <c r="B48" s="1510"/>
      <c r="C48" s="19" t="s">
        <v>318</v>
      </c>
      <c r="D48" s="170">
        <v>35</v>
      </c>
      <c r="E48" s="101" t="str">
        <f>+IFERROR(INDEX([4]CONSOLIDADO!$D$4:$D$108,MATCH('Concur - Exp. Especifica'!C48,[4]CONSOLIDADO!$C$4:$C$108,0)),"")</f>
        <v>PROYECTOS E INTERVENTORIAS LIMITADA</v>
      </c>
      <c r="F48" s="22" t="s">
        <v>517</v>
      </c>
      <c r="G48" s="23" t="s">
        <v>2372</v>
      </c>
      <c r="H48" s="1388" t="s">
        <v>22</v>
      </c>
      <c r="I48" s="1388" t="s">
        <v>22</v>
      </c>
      <c r="J48" s="1388" t="s">
        <v>22</v>
      </c>
      <c r="K48" s="1388" t="s">
        <v>129</v>
      </c>
      <c r="L48" s="24">
        <v>0.25</v>
      </c>
      <c r="M48" s="25">
        <v>39521</v>
      </c>
      <c r="N48" s="25">
        <v>40999</v>
      </c>
      <c r="O48" s="26">
        <f t="shared" si="4"/>
        <v>2012</v>
      </c>
      <c r="P48" s="27">
        <f>+IFERROR(INDEX([5]PARÁMETROS!$B$11:$B$37,MATCH(O48,[5]PARÁMETROS!$A$11:$A$37,0)),"")</f>
        <v>566700</v>
      </c>
      <c r="Q48" s="177">
        <v>7072964150</v>
      </c>
      <c r="R48" s="29" t="s">
        <v>151</v>
      </c>
      <c r="S48" s="19" t="s">
        <v>140</v>
      </c>
      <c r="T48" s="30" t="s">
        <v>140</v>
      </c>
      <c r="U48" s="31">
        <v>1</v>
      </c>
      <c r="V48" s="27">
        <f t="shared" si="5"/>
        <v>7072964150</v>
      </c>
      <c r="W48" s="16">
        <f t="shared" si="6"/>
        <v>12480.967266631375</v>
      </c>
      <c r="X48" s="16">
        <f t="shared" si="7"/>
        <v>3120.2418166578436</v>
      </c>
      <c r="Y48" s="1388" t="str">
        <f>+IF(X48="","",IF(X48&gt;=[5]PARÁMETROS!$D$5,"CUMPLE","NO CUMPLE"))</f>
        <v>CUMPLE</v>
      </c>
      <c r="Z48" s="97"/>
    </row>
    <row r="49" spans="1:26" ht="57.75" thickBot="1">
      <c r="A49" s="1612"/>
      <c r="B49" s="1510"/>
      <c r="C49" s="19" t="s">
        <v>318</v>
      </c>
      <c r="D49" s="170">
        <v>82</v>
      </c>
      <c r="E49" s="101" t="str">
        <f>+IFERROR(INDEX([4]CONSOLIDADO!$D$4:$D$108,MATCH('Concur - Exp. Especifica'!C49,[4]CONSOLIDADO!$C$4:$C$108,0)),"")</f>
        <v>PROYECTOS E INTERVENTORIAS LIMITADA</v>
      </c>
      <c r="F49" s="22" t="s">
        <v>554</v>
      </c>
      <c r="G49" s="23" t="s">
        <v>1741</v>
      </c>
      <c r="H49" s="1388" t="s">
        <v>22</v>
      </c>
      <c r="I49" s="1388" t="s">
        <v>129</v>
      </c>
      <c r="J49" s="1388" t="s">
        <v>22</v>
      </c>
      <c r="K49" s="1388" t="s">
        <v>129</v>
      </c>
      <c r="L49" s="24">
        <v>0.7</v>
      </c>
      <c r="M49" s="25">
        <v>39860</v>
      </c>
      <c r="N49" s="25">
        <v>41337</v>
      </c>
      <c r="O49" s="26">
        <f t="shared" si="4"/>
        <v>2013</v>
      </c>
      <c r="P49" s="27">
        <f>+IFERROR(INDEX([5]PARÁMETROS!$B$11:$B$37,MATCH(O49,[5]PARÁMETROS!$A$11:$A$37,0)),"")</f>
        <v>589500</v>
      </c>
      <c r="Q49" s="177">
        <v>13157956981</v>
      </c>
      <c r="R49" s="27" t="s">
        <v>151</v>
      </c>
      <c r="S49" s="19" t="s">
        <v>140</v>
      </c>
      <c r="T49" s="30" t="s">
        <v>140</v>
      </c>
      <c r="U49" s="31">
        <v>1</v>
      </c>
      <c r="V49" s="27">
        <f t="shared" si="5"/>
        <v>13157956981</v>
      </c>
      <c r="W49" s="16">
        <f t="shared" si="6"/>
        <v>22320.537711620018</v>
      </c>
      <c r="X49" s="16">
        <f t="shared" si="7"/>
        <v>15624.376398134011</v>
      </c>
      <c r="Y49" s="1388" t="str">
        <f>+IF(X49="","",IF(X49&gt;=[5]PARÁMETROS!$D$5,"CUMPLE","NO CUMPLE"))</f>
        <v>CUMPLE</v>
      </c>
      <c r="Z49" s="97"/>
    </row>
    <row r="50" spans="1:26" ht="63.75" thickBot="1">
      <c r="A50" s="1612"/>
      <c r="B50" s="1553"/>
      <c r="C50" s="151" t="s">
        <v>327</v>
      </c>
      <c r="D50" s="172">
        <v>157</v>
      </c>
      <c r="E50" s="101" t="str">
        <f>+IFERROR(INDEX([4]CONSOLIDADO!$D$4:$D$108,MATCH('Concur - Exp. Especifica'!C50,[4]CONSOLIDADO!$C$4:$C$108,0)),"")</f>
        <v>INENIERA DE ESTUDIOS Y ASESORIAS S.A.S. INESAS</v>
      </c>
      <c r="F50" s="154" t="s">
        <v>1744</v>
      </c>
      <c r="G50" s="155" t="s">
        <v>1745</v>
      </c>
      <c r="H50" s="1419" t="s">
        <v>22</v>
      </c>
      <c r="I50" s="1419" t="s">
        <v>129</v>
      </c>
      <c r="J50" s="1419" t="s">
        <v>22</v>
      </c>
      <c r="K50" s="1419" t="s">
        <v>129</v>
      </c>
      <c r="L50" s="156">
        <v>0.75</v>
      </c>
      <c r="M50" s="157">
        <v>38343</v>
      </c>
      <c r="N50" s="157">
        <v>40512</v>
      </c>
      <c r="O50" s="158">
        <f t="shared" si="4"/>
        <v>2010</v>
      </c>
      <c r="P50" s="159">
        <f>+IFERROR(INDEX([5]PARÁMETROS!$B$11:$B$37,MATCH(O50,[5]PARÁMETROS!$A$11:$A$37,0)),"")</f>
        <v>515000</v>
      </c>
      <c r="Q50" s="218">
        <v>5720807974</v>
      </c>
      <c r="R50" s="159" t="s">
        <v>151</v>
      </c>
      <c r="S50" s="151" t="s">
        <v>140</v>
      </c>
      <c r="T50" s="162" t="s">
        <v>140</v>
      </c>
      <c r="U50" s="163">
        <v>1</v>
      </c>
      <c r="V50" s="159">
        <f t="shared" si="5"/>
        <v>5720807974</v>
      </c>
      <c r="W50" s="164">
        <f t="shared" si="6"/>
        <v>11108.364998058252</v>
      </c>
      <c r="X50" s="164">
        <f t="shared" si="7"/>
        <v>8331.2737485436883</v>
      </c>
      <c r="Y50" s="1419" t="str">
        <f>+IF(X50="","",IF(X50&gt;=[5]PARÁMETROS!$D$5,"CUMPLE","NO CUMPLE"))</f>
        <v>CUMPLE</v>
      </c>
      <c r="Z50" s="195"/>
    </row>
    <row r="51" spans="1:26" ht="79.5" thickBot="1">
      <c r="A51" s="1612"/>
      <c r="B51" s="1509" t="s">
        <v>1746</v>
      </c>
      <c r="C51" s="81" t="s">
        <v>329</v>
      </c>
      <c r="D51" s="169">
        <v>264</v>
      </c>
      <c r="E51" s="101" t="str">
        <f>+IFERROR(INDEX([4]CONSOLIDADO!$D$4:$D$108,MATCH('Concur - Exp. Especifica'!C51,[4]CONSOLIDADO!$C$4:$C$108,0)),"")</f>
        <v>COMPAÑÍA COLOMBIANA DE CONSULTORES S.A.S. (CCC)</v>
      </c>
      <c r="F51" s="84" t="s">
        <v>1719</v>
      </c>
      <c r="G51" s="85" t="s">
        <v>1747</v>
      </c>
      <c r="H51" s="1393" t="s">
        <v>22</v>
      </c>
      <c r="I51" s="1393" t="s">
        <v>129</v>
      </c>
      <c r="J51" s="1393" t="s">
        <v>22</v>
      </c>
      <c r="K51" s="1393" t="s">
        <v>129</v>
      </c>
      <c r="L51" s="86">
        <v>1</v>
      </c>
      <c r="M51" s="87">
        <v>34991</v>
      </c>
      <c r="N51" s="87">
        <v>35919</v>
      </c>
      <c r="O51" s="88">
        <f t="shared" si="4"/>
        <v>1998</v>
      </c>
      <c r="P51" s="89">
        <f>+IFERROR(INDEX([5]PARÁMETROS!$B$11:$B$37,MATCH(O51,[5]PARÁMETROS!$A$11:$A$37,0)),"")</f>
        <v>203826</v>
      </c>
      <c r="Q51" s="176">
        <v>2786155923</v>
      </c>
      <c r="R51" s="89" t="s">
        <v>151</v>
      </c>
      <c r="S51" s="81" t="s">
        <v>140</v>
      </c>
      <c r="T51" s="92" t="s">
        <v>140</v>
      </c>
      <c r="U51" s="93">
        <v>1</v>
      </c>
      <c r="V51" s="89">
        <f t="shared" si="5"/>
        <v>2786155923</v>
      </c>
      <c r="W51" s="94">
        <f t="shared" si="6"/>
        <v>13669.28617055724</v>
      </c>
      <c r="X51" s="94">
        <f t="shared" si="7"/>
        <v>13669.28617055724</v>
      </c>
      <c r="Y51" s="1393" t="str">
        <f>+IF(X51="","",IF(X51&gt;=[5]PARÁMETROS!$D$5,"CUMPLE","NO CUMPLE"))</f>
        <v>CUMPLE</v>
      </c>
      <c r="Z51" s="96"/>
    </row>
    <row r="52" spans="1:26" ht="48" thickBot="1">
      <c r="A52" s="1612"/>
      <c r="B52" s="1510"/>
      <c r="C52" s="19" t="s">
        <v>338</v>
      </c>
      <c r="D52" s="170">
        <v>268</v>
      </c>
      <c r="E52" s="101" t="str">
        <f>+IFERROR(INDEX([4]CONSOLIDADO!$D$4:$D$108,MATCH('Concur - Exp. Especifica'!C52,[4]CONSOLIDADO!$C$4:$C$108,0)),"")</f>
        <v>CONSULTORES EN INGENIERIA S.A.S.</v>
      </c>
      <c r="F52" s="22" t="s">
        <v>1744</v>
      </c>
      <c r="G52" s="23" t="s">
        <v>1750</v>
      </c>
      <c r="H52" s="1388" t="s">
        <v>22</v>
      </c>
      <c r="I52" s="1388" t="s">
        <v>22</v>
      </c>
      <c r="J52" s="1388" t="s">
        <v>22</v>
      </c>
      <c r="K52" s="1388" t="s">
        <v>129</v>
      </c>
      <c r="L52" s="39">
        <v>1</v>
      </c>
      <c r="M52" s="40">
        <v>35019</v>
      </c>
      <c r="N52" s="41">
        <v>36114</v>
      </c>
      <c r="O52" s="26">
        <f t="shared" si="4"/>
        <v>1998</v>
      </c>
      <c r="P52" s="27">
        <f>+IFERROR(INDEX([5]PARÁMETROS!$B$11:$B$37,MATCH(O52,[5]PARÁMETROS!$A$11:$A$37,0)),"")</f>
        <v>203826</v>
      </c>
      <c r="Q52" s="209">
        <v>1910421539</v>
      </c>
      <c r="R52" s="27" t="s">
        <v>151</v>
      </c>
      <c r="S52" s="19" t="s">
        <v>140</v>
      </c>
      <c r="T52" s="30" t="s">
        <v>140</v>
      </c>
      <c r="U52" s="31">
        <v>1</v>
      </c>
      <c r="V52" s="27">
        <f t="shared" si="5"/>
        <v>1910421539</v>
      </c>
      <c r="W52" s="16">
        <f t="shared" si="6"/>
        <v>9372.805917792628</v>
      </c>
      <c r="X52" s="16">
        <f t="shared" si="7"/>
        <v>9372.805917792628</v>
      </c>
      <c r="Y52" s="1388" t="str">
        <f>+IF(X52="","",IF(X52&gt;=[5]PARÁMETROS!$D$5,"CUMPLE","NO CUMPLE"))</f>
        <v>CUMPLE</v>
      </c>
      <c r="Z52" s="97" t="s">
        <v>1751</v>
      </c>
    </row>
    <row r="53" spans="1:26" ht="48" thickBot="1">
      <c r="A53" s="1612"/>
      <c r="B53" s="1510"/>
      <c r="C53" s="19" t="s">
        <v>338</v>
      </c>
      <c r="D53" s="170">
        <v>272</v>
      </c>
      <c r="E53" s="101" t="str">
        <f>+IFERROR(INDEX([4]CONSOLIDADO!$D$4:$D$108,MATCH('Concur - Exp. Especifica'!C53,[4]CONSOLIDADO!$C$4:$C$108,0)),"")</f>
        <v>CONSULTORES EN INGENIERIA S.A.S.</v>
      </c>
      <c r="F53" s="22" t="s">
        <v>1744</v>
      </c>
      <c r="G53" s="23" t="s">
        <v>1755</v>
      </c>
      <c r="H53" s="1388" t="s">
        <v>22</v>
      </c>
      <c r="I53" s="1388" t="s">
        <v>129</v>
      </c>
      <c r="J53" s="1388" t="s">
        <v>22</v>
      </c>
      <c r="K53" s="1388" t="s">
        <v>129</v>
      </c>
      <c r="L53" s="39">
        <v>0.81799999999999995</v>
      </c>
      <c r="M53" s="40">
        <v>35507</v>
      </c>
      <c r="N53" s="41">
        <v>36543</v>
      </c>
      <c r="O53" s="26">
        <f>IF(N53="","",YEAR(N53))</f>
        <v>2000</v>
      </c>
      <c r="P53" s="27">
        <f>+IFERROR(INDEX([5]PARÁMETROS!$B$11:$B$37,MATCH(O53,[5]PARÁMETROS!$A$11:$A$37,0)),"")</f>
        <v>260100</v>
      </c>
      <c r="Q53" s="209">
        <v>4449058497.6599998</v>
      </c>
      <c r="R53" s="27" t="s">
        <v>151</v>
      </c>
      <c r="S53" s="19" t="s">
        <v>140</v>
      </c>
      <c r="T53" s="30" t="s">
        <v>140</v>
      </c>
      <c r="U53" s="31">
        <v>1</v>
      </c>
      <c r="V53" s="27">
        <f t="shared" si="5"/>
        <v>4449058497.6599998</v>
      </c>
      <c r="W53" s="16">
        <f t="shared" si="6"/>
        <v>17105.184535409458</v>
      </c>
      <c r="X53" s="16">
        <f t="shared" si="7"/>
        <v>13992.040949964936</v>
      </c>
      <c r="Y53" s="1388" t="str">
        <f>+IF(X53="","",IF(X53&gt;=[5]PARÁMETROS!$D$5,"CUMPLE","NO CUMPLE"))</f>
        <v>CUMPLE</v>
      </c>
      <c r="Z53" s="121" t="s">
        <v>1751</v>
      </c>
    </row>
    <row r="54" spans="1:26" ht="48" thickBot="1">
      <c r="A54" s="1612"/>
      <c r="B54" s="1553"/>
      <c r="C54" s="151" t="s">
        <v>338</v>
      </c>
      <c r="D54" s="172">
        <v>275</v>
      </c>
      <c r="E54" s="101" t="str">
        <f>+IFERROR(INDEX([4]CONSOLIDADO!$D$4:$D$108,MATCH('Concur - Exp. Especifica'!C54,[4]CONSOLIDADO!$C$4:$C$108,0)),"")</f>
        <v>CONSULTORES EN INGENIERIA S.A.S.</v>
      </c>
      <c r="F54" s="154" t="s">
        <v>1731</v>
      </c>
      <c r="G54" s="155" t="s">
        <v>1752</v>
      </c>
      <c r="H54" s="1419" t="s">
        <v>22</v>
      </c>
      <c r="I54" s="1419" t="s">
        <v>22</v>
      </c>
      <c r="J54" s="1419" t="s">
        <v>22</v>
      </c>
      <c r="K54" s="1419" t="s">
        <v>129</v>
      </c>
      <c r="L54" s="156">
        <v>0.4</v>
      </c>
      <c r="M54" s="157">
        <v>41012</v>
      </c>
      <c r="N54" s="157" t="s">
        <v>1753</v>
      </c>
      <c r="O54" s="158">
        <v>2015</v>
      </c>
      <c r="P54" s="159">
        <f>+IFERROR(INDEX([5]PARÁMETROS!$B$11:$B$37,MATCH(O54,[5]PARÁMETROS!$A$11:$A$37,0)),"")</f>
        <v>644350</v>
      </c>
      <c r="Q54" s="218">
        <v>24067899117</v>
      </c>
      <c r="R54" s="159" t="s">
        <v>151</v>
      </c>
      <c r="S54" s="151" t="s">
        <v>140</v>
      </c>
      <c r="T54" s="162" t="s">
        <v>140</v>
      </c>
      <c r="U54" s="163">
        <v>1</v>
      </c>
      <c r="V54" s="159">
        <f t="shared" si="5"/>
        <v>24067899117</v>
      </c>
      <c r="W54" s="164">
        <f t="shared" si="6"/>
        <v>37352.214040505933</v>
      </c>
      <c r="X54" s="164">
        <f t="shared" si="7"/>
        <v>14940.885616202373</v>
      </c>
      <c r="Y54" s="1419" t="str">
        <f>+IF(X54="","",IF(X54&gt;=[5]PARÁMETROS!$D$5,"CUMPLE","NO CUMPLE"))</f>
        <v>CUMPLE</v>
      </c>
      <c r="Z54" s="195" t="s">
        <v>1751</v>
      </c>
    </row>
    <row r="55" spans="1:26" ht="43.5" thickBot="1">
      <c r="A55" s="1612"/>
      <c r="B55" s="1509" t="s">
        <v>1756</v>
      </c>
      <c r="C55" s="81" t="s">
        <v>347</v>
      </c>
      <c r="D55" s="169">
        <v>5</v>
      </c>
      <c r="E55" s="101" t="str">
        <f>+IFERROR(INDEX([4]CONSOLIDADO!$D$4:$D$108,MATCH('Concur - Exp. Especifica'!C55,[4]CONSOLIDADO!$C$4:$C$108,0)),"")</f>
        <v>CB INGENIEROS</v>
      </c>
      <c r="F55" s="84" t="s">
        <v>1744</v>
      </c>
      <c r="G55" s="85" t="s">
        <v>1762</v>
      </c>
      <c r="H55" s="1393" t="s">
        <v>22</v>
      </c>
      <c r="I55" s="1393" t="s">
        <v>129</v>
      </c>
      <c r="J55" s="1393" t="s">
        <v>22</v>
      </c>
      <c r="K55" s="1393" t="s">
        <v>129</v>
      </c>
      <c r="L55" s="86">
        <v>0.2</v>
      </c>
      <c r="M55" s="87">
        <v>40079</v>
      </c>
      <c r="N55" s="87">
        <v>42094</v>
      </c>
      <c r="O55" s="88">
        <f t="shared" ref="O55:O61" si="8">IF(N55="","",YEAR(N55))</f>
        <v>2015</v>
      </c>
      <c r="P55" s="89">
        <f>+IFERROR(INDEX([5]PARÁMETROS!$B$11:$B$37,MATCH(O55,[5]PARÁMETROS!$A$11:$A$37,0)),"")</f>
        <v>644350</v>
      </c>
      <c r="Q55" s="176">
        <v>14008976863</v>
      </c>
      <c r="R55" s="91" t="s">
        <v>151</v>
      </c>
      <c r="S55" s="81" t="s">
        <v>140</v>
      </c>
      <c r="T55" s="92" t="s">
        <v>140</v>
      </c>
      <c r="U55" s="93">
        <v>1</v>
      </c>
      <c r="V55" s="89">
        <f t="shared" si="5"/>
        <v>14008976863</v>
      </c>
      <c r="W55" s="94">
        <f t="shared" si="6"/>
        <v>21741.253764258556</v>
      </c>
      <c r="X55" s="94">
        <f t="shared" si="7"/>
        <v>4348.2507528517117</v>
      </c>
      <c r="Y55" s="1393" t="str">
        <f>+IF(X55="","",IF(X55&gt;=[5]PARÁMETROS!$D$5,"CUMPLE","NO CUMPLE"))</f>
        <v>CUMPLE</v>
      </c>
      <c r="Z55" s="96"/>
    </row>
    <row r="56" spans="1:26" ht="43.5" thickBot="1">
      <c r="A56" s="1612"/>
      <c r="B56" s="1510"/>
      <c r="C56" s="19" t="s">
        <v>340</v>
      </c>
      <c r="D56" s="170">
        <v>9</v>
      </c>
      <c r="E56" s="101" t="str">
        <f>+IFERROR(INDEX([4]CONSOLIDADO!$D$4:$D$108,MATCH('Concur - Exp. Especifica'!C56,[4]CONSOLIDADO!$C$4:$C$108,0)),"")</f>
        <v>SEDIC</v>
      </c>
      <c r="F56" s="22" t="s">
        <v>1758</v>
      </c>
      <c r="G56" s="23" t="s">
        <v>1759</v>
      </c>
      <c r="H56" s="1388" t="s">
        <v>22</v>
      </c>
      <c r="I56" s="1388" t="s">
        <v>22</v>
      </c>
      <c r="J56" s="1388" t="s">
        <v>22</v>
      </c>
      <c r="K56" s="1388" t="s">
        <v>129</v>
      </c>
      <c r="L56" s="24">
        <v>1</v>
      </c>
      <c r="M56" s="25">
        <v>36298</v>
      </c>
      <c r="N56" s="25">
        <v>37425</v>
      </c>
      <c r="O56" s="26">
        <f t="shared" si="8"/>
        <v>2002</v>
      </c>
      <c r="P56" s="27">
        <f>+IFERROR(INDEX([5]PARÁMETROS!$B$11:$B$37,MATCH(O56,[5]PARÁMETROS!$A$11:$A$37,0)),"")</f>
        <v>309000</v>
      </c>
      <c r="Q56" s="177">
        <v>3800380053</v>
      </c>
      <c r="R56" s="29" t="s">
        <v>151</v>
      </c>
      <c r="S56" s="19" t="s">
        <v>140</v>
      </c>
      <c r="T56" s="30" t="s">
        <v>140</v>
      </c>
      <c r="U56" s="31">
        <v>1</v>
      </c>
      <c r="V56" s="27">
        <f t="shared" si="5"/>
        <v>3800380053</v>
      </c>
      <c r="W56" s="16">
        <f t="shared" si="6"/>
        <v>12298.964572815534</v>
      </c>
      <c r="X56" s="16">
        <f t="shared" si="7"/>
        <v>12298.964572815534</v>
      </c>
      <c r="Y56" s="1388" t="str">
        <f>+IF(X56="","",IF(X56&gt;=[5]PARÁMETROS!$D$5,"CUMPLE","NO CUMPLE"))</f>
        <v>CUMPLE</v>
      </c>
      <c r="Z56" s="97"/>
    </row>
    <row r="57" spans="1:26" ht="29.25" thickBot="1">
      <c r="A57" s="1612"/>
      <c r="B57" s="1510"/>
      <c r="C57" s="19" t="s">
        <v>340</v>
      </c>
      <c r="D57" s="170">
        <v>20</v>
      </c>
      <c r="E57" s="101" t="str">
        <f>+IFERROR(INDEX([4]CONSOLIDADO!$D$4:$D$108,MATCH('Concur - Exp. Especifica'!C57,[4]CONSOLIDADO!$C$4:$C$108,0)),"")</f>
        <v>SEDIC</v>
      </c>
      <c r="F57" s="22" t="s">
        <v>1719</v>
      </c>
      <c r="G57" s="23" t="s">
        <v>1757</v>
      </c>
      <c r="H57" s="1388" t="s">
        <v>22</v>
      </c>
      <c r="I57" s="1388" t="s">
        <v>129</v>
      </c>
      <c r="J57" s="1388" t="s">
        <v>22</v>
      </c>
      <c r="K57" s="1388" t="s">
        <v>129</v>
      </c>
      <c r="L57" s="24">
        <v>1</v>
      </c>
      <c r="M57" s="25">
        <v>34358</v>
      </c>
      <c r="N57" s="25">
        <v>35828</v>
      </c>
      <c r="O57" s="26">
        <f t="shared" si="8"/>
        <v>1998</v>
      </c>
      <c r="P57" s="27">
        <f>+IFERROR(INDEX([5]PARÁMETROS!$B$11:$B$37,MATCH(O57,[5]PARÁMETROS!$A$11:$A$37,0)),"")</f>
        <v>203826</v>
      </c>
      <c r="Q57" s="177">
        <v>2834448285</v>
      </c>
      <c r="R57" s="29" t="s">
        <v>151</v>
      </c>
      <c r="S57" s="19" t="s">
        <v>140</v>
      </c>
      <c r="T57" s="30" t="s">
        <v>140</v>
      </c>
      <c r="U57" s="31">
        <v>1</v>
      </c>
      <c r="V57" s="27">
        <f t="shared" si="5"/>
        <v>2834448285</v>
      </c>
      <c r="W57" s="16">
        <f t="shared" si="6"/>
        <v>13906.215522062936</v>
      </c>
      <c r="X57" s="16">
        <f t="shared" si="7"/>
        <v>13906.215522062936</v>
      </c>
      <c r="Y57" s="1388" t="str">
        <f>+IF(X57="","",IF(X57&gt;=[5]PARÁMETROS!$D$5,"CUMPLE","NO CUMPLE"))</f>
        <v>CUMPLE</v>
      </c>
      <c r="Z57" s="97"/>
    </row>
    <row r="58" spans="1:26" ht="43.5" thickBot="1">
      <c r="A58" s="1612"/>
      <c r="B58" s="1511"/>
      <c r="C58" s="99" t="s">
        <v>340</v>
      </c>
      <c r="D58" s="178">
        <v>22</v>
      </c>
      <c r="E58" s="101" t="str">
        <f>+IFERROR(INDEX([4]CONSOLIDADO!$D$4:$D$108,MATCH('Concur - Exp. Especifica'!C58,[4]CONSOLIDADO!$C$4:$C$108,0)),"")</f>
        <v>SEDIC</v>
      </c>
      <c r="F58" s="102" t="s">
        <v>1744</v>
      </c>
      <c r="G58" s="103" t="s">
        <v>1760</v>
      </c>
      <c r="H58" s="1392" t="s">
        <v>22</v>
      </c>
      <c r="I58" s="1392" t="s">
        <v>129</v>
      </c>
      <c r="J58" s="1392" t="s">
        <v>22</v>
      </c>
      <c r="K58" s="1392" t="s">
        <v>129</v>
      </c>
      <c r="L58" s="104">
        <v>1</v>
      </c>
      <c r="M58" s="105">
        <v>33161</v>
      </c>
      <c r="N58" s="105">
        <v>35550</v>
      </c>
      <c r="O58" s="106">
        <f t="shared" si="8"/>
        <v>1997</v>
      </c>
      <c r="P58" s="107">
        <f>+IFERROR(INDEX([5]PARÁMETROS!$B$11:$B$37,MATCH(O58,[5]PARÁMETROS!$A$11:$A$37,0)),"")</f>
        <v>172005</v>
      </c>
      <c r="Q58" s="212">
        <v>1546808187</v>
      </c>
      <c r="R58" s="109" t="s">
        <v>151</v>
      </c>
      <c r="S58" s="99" t="s">
        <v>140</v>
      </c>
      <c r="T58" s="110" t="s">
        <v>140</v>
      </c>
      <c r="U58" s="111">
        <v>1</v>
      </c>
      <c r="V58" s="107">
        <f t="shared" si="5"/>
        <v>1546808187</v>
      </c>
      <c r="W58" s="112">
        <f t="shared" si="6"/>
        <v>8992.8094357722166</v>
      </c>
      <c r="X58" s="112">
        <f t="shared" si="7"/>
        <v>8992.8094357722166</v>
      </c>
      <c r="Y58" s="1392" t="str">
        <f>+IF(X58="","",IF(X58&gt;=[5]PARÁMETROS!$D$5,"CUMPLE","NO CUMPLE"))</f>
        <v>CUMPLE</v>
      </c>
      <c r="Z58" s="113"/>
    </row>
    <row r="59" spans="1:26" ht="57.75" thickBot="1">
      <c r="A59" s="1612"/>
      <c r="B59" s="1605" t="s">
        <v>1764</v>
      </c>
      <c r="C59" s="68" t="s">
        <v>350</v>
      </c>
      <c r="D59" s="185">
        <v>6</v>
      </c>
      <c r="E59" s="101" t="str">
        <f>+IFERROR(INDEX([4]CONSOLIDADO!$D$4:$D$108,MATCH('Concur - Exp. Especifica'!C59,[4]CONSOLIDADO!$C$4:$C$108,0)),"")</f>
        <v>CEMOSA (COLOMBIA)</v>
      </c>
      <c r="F59" s="84" t="s">
        <v>1765</v>
      </c>
      <c r="G59" s="85" t="s">
        <v>1766</v>
      </c>
      <c r="H59" s="1394" t="s">
        <v>22</v>
      </c>
      <c r="I59" s="1394" t="s">
        <v>129</v>
      </c>
      <c r="J59" s="1394" t="s">
        <v>22</v>
      </c>
      <c r="K59" s="1394" t="s">
        <v>129</v>
      </c>
      <c r="L59" s="86">
        <v>1</v>
      </c>
      <c r="M59" s="87">
        <v>39525</v>
      </c>
      <c r="N59" s="87">
        <v>41580</v>
      </c>
      <c r="O59" s="88">
        <f t="shared" si="8"/>
        <v>2013</v>
      </c>
      <c r="P59" s="89">
        <f>+IFERROR(INDEX([5]PARÁMETROS!$B$11:$B$37,MATCH(O59,[5]PARÁMETROS!$A$11:$A$37,0)),"")</f>
        <v>589500</v>
      </c>
      <c r="Q59" s="214">
        <v>1562052.61</v>
      </c>
      <c r="R59" s="77" t="s">
        <v>1727</v>
      </c>
      <c r="S59" s="81">
        <v>1.3530599999999999</v>
      </c>
      <c r="T59" s="92">
        <f>+Q59*S59</f>
        <v>2113550.9044865998</v>
      </c>
      <c r="U59" s="93">
        <v>1901.22</v>
      </c>
      <c r="V59" s="75">
        <f>IF(U59&lt;&gt;"",T59*U59,"")</f>
        <v>4018325250.6280136</v>
      </c>
      <c r="W59" s="80">
        <f t="shared" si="6"/>
        <v>6816.4974565360708</v>
      </c>
      <c r="X59" s="80">
        <f t="shared" si="7"/>
        <v>6816.4974565360708</v>
      </c>
      <c r="Y59" s="1401" t="str">
        <f>+IF(X59="","",IF(X59&gt;=[5]PARÁMETROS!$D$5,"CUMPLE","NO CUMPLE"))</f>
        <v>CUMPLE</v>
      </c>
      <c r="Z59" s="122"/>
    </row>
    <row r="60" spans="1:26" ht="57.75" thickBot="1">
      <c r="A60" s="1612"/>
      <c r="B60" s="1510"/>
      <c r="C60" s="19" t="s">
        <v>350</v>
      </c>
      <c r="D60" s="170">
        <v>13</v>
      </c>
      <c r="E60" s="101" t="str">
        <f>+IFERROR(INDEX([4]CONSOLIDADO!$D$4:$D$108,MATCH('Concur - Exp. Especifica'!C60,[4]CONSOLIDADO!$C$4:$C$108,0)),"")</f>
        <v>CEMOSA (COLOMBIA)</v>
      </c>
      <c r="F60" s="22" t="s">
        <v>1765</v>
      </c>
      <c r="G60" s="23" t="s">
        <v>1767</v>
      </c>
      <c r="H60" s="1388" t="s">
        <v>22</v>
      </c>
      <c r="I60" s="1388" t="s">
        <v>129</v>
      </c>
      <c r="J60" s="1388" t="s">
        <v>22</v>
      </c>
      <c r="K60" s="1388" t="s">
        <v>129</v>
      </c>
      <c r="L60" s="24">
        <v>1</v>
      </c>
      <c r="M60" s="25">
        <v>37201</v>
      </c>
      <c r="N60" s="25">
        <v>38173</v>
      </c>
      <c r="O60" s="26">
        <f t="shared" si="8"/>
        <v>2004</v>
      </c>
      <c r="P60" s="27">
        <f>+IFERROR(INDEX([5]PARÁMETROS!$B$11:$B$37,MATCH(O60,[5]PARÁMETROS!$A$11:$A$37,0)),"")</f>
        <v>358000</v>
      </c>
      <c r="Q60" s="204">
        <v>1561333.21</v>
      </c>
      <c r="R60" s="29" t="s">
        <v>1727</v>
      </c>
      <c r="S60" s="19">
        <v>1.2318</v>
      </c>
      <c r="T60" s="30">
        <f>+Q60*S60</f>
        <v>1923250.248078</v>
      </c>
      <c r="U60" s="31">
        <v>2674.1</v>
      </c>
      <c r="V60" s="27">
        <f>IF(U60&lt;&gt;"",T60*U60,"")</f>
        <v>5142963488.3853798</v>
      </c>
      <c r="W60" s="16">
        <f t="shared" si="6"/>
        <v>14365.819799959161</v>
      </c>
      <c r="X60" s="16">
        <f t="shared" si="7"/>
        <v>14365.819799959161</v>
      </c>
      <c r="Y60" s="1388" t="str">
        <f>+IF(X60="","",IF(X60&gt;=[5]PARÁMETROS!$D$5,"CUMPLE","NO CUMPLE"))</f>
        <v>CUMPLE</v>
      </c>
      <c r="Z60" s="97"/>
    </row>
    <row r="61" spans="1:26" ht="79.5" thickBot="1">
      <c r="A61" s="1612"/>
      <c r="B61" s="1510"/>
      <c r="C61" s="19" t="s">
        <v>354</v>
      </c>
      <c r="D61" s="170">
        <v>24</v>
      </c>
      <c r="E61" s="101" t="str">
        <f>+IFERROR(INDEX([4]CONSOLIDADO!$D$4:$D$108,MATCH('Concur - Exp. Especifica'!C61,[4]CONSOLIDADO!$C$4:$C$108,0)),"")</f>
        <v>INGENIERIA Y DESARROLLO XIMA DE COLOMBIA S.A.S.</v>
      </c>
      <c r="F61" s="22" t="s">
        <v>1765</v>
      </c>
      <c r="G61" s="23" t="s">
        <v>1771</v>
      </c>
      <c r="H61" s="1388" t="s">
        <v>22</v>
      </c>
      <c r="I61" s="1388" t="s">
        <v>129</v>
      </c>
      <c r="J61" s="1388" t="s">
        <v>22</v>
      </c>
      <c r="K61" s="1388" t="s">
        <v>129</v>
      </c>
      <c r="L61" s="24">
        <v>0.5</v>
      </c>
      <c r="M61" s="25">
        <v>35586</v>
      </c>
      <c r="N61" s="25">
        <v>37053</v>
      </c>
      <c r="O61" s="26">
        <f t="shared" si="8"/>
        <v>2001</v>
      </c>
      <c r="P61" s="27">
        <f>+IFERROR(INDEX([5]PARÁMETROS!$B$11:$B$37,MATCH(O61,[5]PARÁMETROS!$A$11:$A$37,0)),"")</f>
        <v>286000</v>
      </c>
      <c r="Q61" s="204">
        <v>2678981.19</v>
      </c>
      <c r="R61" s="29" t="s">
        <v>1727</v>
      </c>
      <c r="S61" s="19">
        <v>0.84975000000000001</v>
      </c>
      <c r="T61" s="30">
        <f>+Q61*S61</f>
        <v>2276464.2662025001</v>
      </c>
      <c r="U61" s="31">
        <v>2296.31</v>
      </c>
      <c r="V61" s="27">
        <f>IF(U61&lt;&gt;"",T61*U61,"")</f>
        <v>5227467659.1234627</v>
      </c>
      <c r="W61" s="16">
        <f t="shared" si="6"/>
        <v>18277.858947984136</v>
      </c>
      <c r="X61" s="16">
        <f t="shared" si="7"/>
        <v>9138.9294739920679</v>
      </c>
      <c r="Y61" s="1388" t="str">
        <f>+IF(X61="","",IF(X61&gt;=[5]PARÁMETROS!$D$5,"CUMPLE","NO CUMPLE"))</f>
        <v>CUMPLE</v>
      </c>
      <c r="Z61" s="97" t="s">
        <v>1770</v>
      </c>
    </row>
    <row r="62" spans="1:26" ht="86.25" thickBot="1">
      <c r="A62" s="1612"/>
      <c r="B62" s="1510"/>
      <c r="C62" s="151" t="s">
        <v>354</v>
      </c>
      <c r="D62" s="172">
        <v>32</v>
      </c>
      <c r="E62" s="101" t="str">
        <f>+IFERROR(INDEX([4]CONSOLIDADO!$D$4:$D$108,MATCH('Concur - Exp. Especifica'!C62,[4]CONSOLIDADO!$C$4:$C$108,0)),"")</f>
        <v>INGENIERIA Y DESARROLLO XIMA DE COLOMBIA S.A.S.</v>
      </c>
      <c r="F62" s="196" t="s">
        <v>517</v>
      </c>
      <c r="G62" s="197" t="s">
        <v>2373</v>
      </c>
      <c r="H62" s="1419" t="s">
        <v>22</v>
      </c>
      <c r="I62" s="1419" t="s">
        <v>22</v>
      </c>
      <c r="J62" s="1419" t="s">
        <v>22</v>
      </c>
      <c r="K62" s="1419" t="s">
        <v>129</v>
      </c>
      <c r="L62" s="198">
        <v>0.49</v>
      </c>
      <c r="M62" s="199">
        <v>41901</v>
      </c>
      <c r="N62" s="199">
        <v>42490</v>
      </c>
      <c r="O62" s="158">
        <f t="shared" si="4"/>
        <v>2016</v>
      </c>
      <c r="P62" s="159">
        <f>+IFERROR(INDEX([5]PARÁMETROS!$B$11:$B$37,MATCH(O62,[5]PARÁMETROS!$A$11:$A$37,0)),"")</f>
        <v>689554</v>
      </c>
      <c r="Q62" s="219">
        <v>4556804783</v>
      </c>
      <c r="R62" s="220" t="s">
        <v>151</v>
      </c>
      <c r="S62" s="151" t="s">
        <v>140</v>
      </c>
      <c r="T62" s="162" t="s">
        <v>140</v>
      </c>
      <c r="U62" s="163">
        <v>1</v>
      </c>
      <c r="V62" s="159">
        <f>IF(U62&lt;&gt;"",Q62*U62,"")</f>
        <v>4556804783</v>
      </c>
      <c r="W62" s="164">
        <f t="shared" si="6"/>
        <v>6608.3363782966962</v>
      </c>
      <c r="X62" s="164">
        <f t="shared" si="7"/>
        <v>3238.0848253653812</v>
      </c>
      <c r="Y62" s="1419" t="str">
        <f>+IF(X62="","",IF(X62&gt;=[5]PARÁMETROS!$D$5,"CUMPLE","NO CUMPLE"))</f>
        <v>CUMPLE</v>
      </c>
      <c r="Z62" s="221"/>
    </row>
    <row r="63" spans="1:26" ht="72" thickBot="1">
      <c r="A63" s="1612"/>
      <c r="B63" s="1509" t="s">
        <v>1772</v>
      </c>
      <c r="C63" s="81" t="s">
        <v>368</v>
      </c>
      <c r="D63" s="169">
        <v>4</v>
      </c>
      <c r="E63" s="101" t="str">
        <f>+IFERROR(INDEX([4]CONSOLIDADO!$D$4:$D$108,MATCH('Concur - Exp. Especifica'!C63,[4]CONSOLIDADO!$C$4:$C$108,0)),"")</f>
        <v>SUPERING S.A.S.</v>
      </c>
      <c r="F63" s="84" t="s">
        <v>2374</v>
      </c>
      <c r="G63" s="85" t="s">
        <v>1775</v>
      </c>
      <c r="H63" s="1393" t="s">
        <v>22</v>
      </c>
      <c r="I63" s="1393" t="s">
        <v>129</v>
      </c>
      <c r="J63" s="1393" t="s">
        <v>22</v>
      </c>
      <c r="K63" s="1393" t="s">
        <v>129</v>
      </c>
      <c r="L63" s="86">
        <v>1</v>
      </c>
      <c r="M63" s="87">
        <v>38807</v>
      </c>
      <c r="N63" s="87">
        <v>39813</v>
      </c>
      <c r="O63" s="88">
        <f t="shared" si="4"/>
        <v>2008</v>
      </c>
      <c r="P63" s="89">
        <f>+IFERROR(INDEX([5]PARÁMETROS!$B$11:$B$37,MATCH(O63,[5]PARÁMETROS!$A$11:$A$37,0)),"")</f>
        <v>461500</v>
      </c>
      <c r="Q63" s="176">
        <v>47481903.439999998</v>
      </c>
      <c r="R63" s="89" t="s">
        <v>1737</v>
      </c>
      <c r="S63" s="81">
        <v>7.2569999999999996E-2</v>
      </c>
      <c r="T63" s="92">
        <f>+Q63*S63</f>
        <v>3445761.7326407996</v>
      </c>
      <c r="U63" s="93">
        <v>2243.59</v>
      </c>
      <c r="V63" s="89">
        <f>IF(U63&lt;&gt;"",T63*U63,"")</f>
        <v>7730876565.7355719</v>
      </c>
      <c r="W63" s="94">
        <f t="shared" si="6"/>
        <v>16751.62852813775</v>
      </c>
      <c r="X63" s="94">
        <f t="shared" si="7"/>
        <v>16751.62852813775</v>
      </c>
      <c r="Y63" s="1393" t="str">
        <f>+IF(X63="","",IF(X63&gt;=[5]PARÁMETROS!$D$5,"CUMPLE","NO CUMPLE"))</f>
        <v>CUMPLE</v>
      </c>
      <c r="Z63" s="96"/>
    </row>
    <row r="64" spans="1:26" ht="43.5" thickBot="1">
      <c r="A64" s="1612"/>
      <c r="B64" s="1510"/>
      <c r="C64" s="19" t="s">
        <v>368</v>
      </c>
      <c r="D64" s="170">
        <v>8</v>
      </c>
      <c r="E64" s="101" t="str">
        <f>+IFERROR(INDEX([4]CONSOLIDADO!$D$4:$D$108,MATCH('Concur - Exp. Especifica'!C64,[4]CONSOLIDADO!$C$4:$C$108,0)),"")</f>
        <v>SUPERING S.A.S.</v>
      </c>
      <c r="F64" s="22" t="s">
        <v>2375</v>
      </c>
      <c r="G64" s="23" t="s">
        <v>2376</v>
      </c>
      <c r="H64" s="1388" t="s">
        <v>22</v>
      </c>
      <c r="I64" s="1388" t="s">
        <v>129</v>
      </c>
      <c r="J64" s="1388" t="s">
        <v>22</v>
      </c>
      <c r="K64" s="1388" t="s">
        <v>129</v>
      </c>
      <c r="L64" s="24">
        <v>1</v>
      </c>
      <c r="M64" s="25">
        <v>39692</v>
      </c>
      <c r="N64" s="25">
        <v>40724</v>
      </c>
      <c r="O64" s="26">
        <f t="shared" si="4"/>
        <v>2011</v>
      </c>
      <c r="P64" s="27">
        <f>+IFERROR(INDEX([5]PARÁMETROS!$B$11:$B$37,MATCH(O64,[5]PARÁMETROS!$A$11:$A$37,0)),"")</f>
        <v>535600</v>
      </c>
      <c r="Q64" s="28">
        <v>38398960</v>
      </c>
      <c r="R64" s="27" t="s">
        <v>1737</v>
      </c>
      <c r="S64" s="19">
        <v>8.4720000000000004E-2</v>
      </c>
      <c r="T64" s="30">
        <f>+Q64*S64</f>
        <v>3253159.8912</v>
      </c>
      <c r="U64" s="31">
        <v>1780.16</v>
      </c>
      <c r="V64" s="27">
        <f>IF(U64&lt;&gt;"",T64*U64,"")</f>
        <v>5791145111.9185925</v>
      </c>
      <c r="W64" s="16">
        <f t="shared" si="6"/>
        <v>10812.444197010069</v>
      </c>
      <c r="X64" s="16">
        <f t="shared" si="7"/>
        <v>10812.444197010069</v>
      </c>
      <c r="Y64" s="1388" t="str">
        <f>+IF(X64="","",IF(X64&gt;=[5]PARÁMETROS!$D$5,"CUMPLE","NO CUMPLE"))</f>
        <v>CUMPLE</v>
      </c>
      <c r="Z64" s="97"/>
    </row>
    <row r="65" spans="1:26" ht="114.75" thickBot="1">
      <c r="A65" s="1612"/>
      <c r="B65" s="1510"/>
      <c r="C65" s="19" t="s">
        <v>368</v>
      </c>
      <c r="D65" s="170">
        <v>11</v>
      </c>
      <c r="E65" s="101" t="str">
        <f>+IFERROR(INDEX([4]CONSOLIDADO!$D$4:$D$108,MATCH('Concur - Exp. Especifica'!C65,[4]CONSOLIDADO!$C$4:$C$108,0)),"")</f>
        <v>SUPERING S.A.S.</v>
      </c>
      <c r="F65" s="44" t="s">
        <v>517</v>
      </c>
      <c r="G65" s="23" t="s">
        <v>2377</v>
      </c>
      <c r="H65" s="1388" t="s">
        <v>22</v>
      </c>
      <c r="I65" s="1388" t="s">
        <v>22</v>
      </c>
      <c r="J65" s="1388" t="s">
        <v>22</v>
      </c>
      <c r="K65" s="1388" t="s">
        <v>129</v>
      </c>
      <c r="L65" s="24">
        <v>0.75</v>
      </c>
      <c r="M65" s="25">
        <v>37790</v>
      </c>
      <c r="N65" s="222">
        <v>38612</v>
      </c>
      <c r="O65" s="223">
        <f t="shared" si="4"/>
        <v>2005</v>
      </c>
      <c r="P65" s="27">
        <f>+IFERROR(INDEX([5]PARÁMETROS!$B$11:$B$37,MATCH(O65,[5]PARÁMETROS!$A$11:$A$37,0)),"")</f>
        <v>381500</v>
      </c>
      <c r="Q65" s="28">
        <v>2363195725</v>
      </c>
      <c r="R65" s="29" t="s">
        <v>151</v>
      </c>
      <c r="S65" s="19" t="s">
        <v>140</v>
      </c>
      <c r="T65" s="30" t="s">
        <v>140</v>
      </c>
      <c r="U65" s="31">
        <v>1</v>
      </c>
      <c r="V65" s="27">
        <f t="shared" si="5"/>
        <v>2363195725</v>
      </c>
      <c r="W65" s="16">
        <f t="shared" si="6"/>
        <v>6194.4842070773266</v>
      </c>
      <c r="X65" s="16">
        <f t="shared" si="7"/>
        <v>4645.8631553079949</v>
      </c>
      <c r="Y65" s="1388" t="str">
        <f>+IF(X65="","",IF(X65&gt;=[5]PARÁMETROS!$D$5,"CUMPLE","NO CUMPLE"))</f>
        <v>CUMPLE</v>
      </c>
      <c r="Z65" s="97" t="s">
        <v>2378</v>
      </c>
    </row>
    <row r="66" spans="1:26" ht="57.75" thickBot="1">
      <c r="A66" s="1612"/>
      <c r="B66" s="1510"/>
      <c r="C66" s="151" t="s">
        <v>368</v>
      </c>
      <c r="D66" s="172">
        <v>13</v>
      </c>
      <c r="E66" s="101" t="str">
        <f>+IFERROR(INDEX([4]CONSOLIDADO!$D$4:$D$108,MATCH('Concur - Exp. Especifica'!C66,[4]CONSOLIDADO!$C$4:$C$108,0)),"")</f>
        <v>SUPERING S.A.S.</v>
      </c>
      <c r="F66" s="196" t="s">
        <v>517</v>
      </c>
      <c r="G66" s="154" t="s">
        <v>1773</v>
      </c>
      <c r="H66" s="1419" t="s">
        <v>22</v>
      </c>
      <c r="I66" s="1419" t="s">
        <v>22</v>
      </c>
      <c r="J66" s="1419" t="s">
        <v>22</v>
      </c>
      <c r="K66" s="1419" t="s">
        <v>129</v>
      </c>
      <c r="L66" s="156">
        <v>0.3</v>
      </c>
      <c r="M66" s="157">
        <v>37229</v>
      </c>
      <c r="N66" s="157">
        <v>40168</v>
      </c>
      <c r="O66" s="158">
        <f t="shared" si="4"/>
        <v>2009</v>
      </c>
      <c r="P66" s="159">
        <f>+IFERROR(INDEX([6]PARÁMETROS!$B$11:$B$37,MATCH(O66,[6]PARÁMETROS!$A$11:$A$37,0)),"")</f>
        <v>496900</v>
      </c>
      <c r="Q66" s="160">
        <v>23197769047.380001</v>
      </c>
      <c r="R66" s="161" t="s">
        <v>151</v>
      </c>
      <c r="S66" s="151" t="s">
        <v>140</v>
      </c>
      <c r="T66" s="162" t="s">
        <v>140</v>
      </c>
      <c r="U66" s="163">
        <v>1</v>
      </c>
      <c r="V66" s="159">
        <f t="shared" si="5"/>
        <v>23197769047.380001</v>
      </c>
      <c r="W66" s="164">
        <f t="shared" si="6"/>
        <v>46684.985001770983</v>
      </c>
      <c r="X66" s="164">
        <f t="shared" si="7"/>
        <v>14005.495500531295</v>
      </c>
      <c r="Y66" s="1419" t="str">
        <f>+IF(X66="","",IF(X66&gt;=[5]PARÁMETROS!$D$5,"CUMPLE","NO CUMPLE"))</f>
        <v>CUMPLE</v>
      </c>
      <c r="Z66" s="195"/>
    </row>
    <row r="67" spans="1:26" ht="57.75" thickBot="1">
      <c r="A67" s="1612"/>
      <c r="B67" s="1629" t="s">
        <v>1776</v>
      </c>
      <c r="C67" s="19" t="s">
        <v>379</v>
      </c>
      <c r="D67" s="246">
        <v>5</v>
      </c>
      <c r="E67" s="101" t="str">
        <f>+IFERROR(INDEX([4]CONSOLIDADO!$D$4:$D$108,MATCH('Concur - Exp. Especifica'!C67,[4]CONSOLIDADO!$C$4:$C$108,0)),"")</f>
        <v>J FELIPE ARDILA V &amp; CIA S.A.S.</v>
      </c>
      <c r="F67" s="22" t="s">
        <v>517</v>
      </c>
      <c r="G67" s="247" t="s">
        <v>1780</v>
      </c>
      <c r="H67" s="1405" t="s">
        <v>129</v>
      </c>
      <c r="I67" s="1393" t="s">
        <v>22</v>
      </c>
      <c r="J67" s="1393" t="s">
        <v>22</v>
      </c>
      <c r="K67" s="1393" t="s">
        <v>129</v>
      </c>
      <c r="L67" s="248">
        <v>0.5</v>
      </c>
      <c r="M67" s="249">
        <v>39595</v>
      </c>
      <c r="N67" s="249" t="s">
        <v>440</v>
      </c>
      <c r="O67" s="250">
        <v>2015</v>
      </c>
      <c r="P67" s="251">
        <f>+IFERROR(INDEX([7]PARÁMETROS!$B$11:$B$37,MATCH(O67,[7]PARÁMETROS!$A$11:$A$37,0)),"")</f>
        <v>644350</v>
      </c>
      <c r="Q67" s="35">
        <v>36074618420</v>
      </c>
      <c r="R67" s="252" t="s">
        <v>151</v>
      </c>
      <c r="S67" s="81" t="s">
        <v>140</v>
      </c>
      <c r="T67" s="92" t="s">
        <v>140</v>
      </c>
      <c r="U67" s="93">
        <v>1</v>
      </c>
      <c r="V67" s="89">
        <f>IF(U67&lt;&gt;"",Q67*U67,"")</f>
        <v>36074618420</v>
      </c>
      <c r="W67" s="94">
        <f>+IFERROR(V67/P67,"")</f>
        <v>55986.061022736088</v>
      </c>
      <c r="X67" s="94">
        <f>IFERROR(W67*L67,"")</f>
        <v>27993.030511368044</v>
      </c>
      <c r="Y67" s="1400" t="str">
        <f>+IF(X67="","",IF(X67&gt;=[7]PARÁMETROS!$J$5,"CUMPLE","NO CUMPLE"))</f>
        <v>CUMPLE</v>
      </c>
      <c r="Z67" s="96"/>
    </row>
    <row r="68" spans="1:26" ht="63.75" thickBot="1">
      <c r="A68" s="1612"/>
      <c r="B68" s="1630"/>
      <c r="C68" s="19" t="s">
        <v>383</v>
      </c>
      <c r="D68" s="253">
        <v>16</v>
      </c>
      <c r="E68" s="101" t="str">
        <f>+IFERROR(INDEX([4]CONSOLIDADO!$D$4:$D$108,MATCH('Concur - Exp. Especifica'!C68,[4]CONSOLIDADO!$C$4:$C$108,0)),"")</f>
        <v>CIVING INGENIEROS CONTRATISTAS S EN C</v>
      </c>
      <c r="F68" s="22" t="s">
        <v>1782</v>
      </c>
      <c r="G68" s="247" t="s">
        <v>1783</v>
      </c>
      <c r="H68" s="1396" t="s">
        <v>22</v>
      </c>
      <c r="I68" s="1388" t="s">
        <v>129</v>
      </c>
      <c r="J68" s="1388" t="s">
        <v>22</v>
      </c>
      <c r="K68" s="1388" t="s">
        <v>129</v>
      </c>
      <c r="L68" s="254">
        <v>1</v>
      </c>
      <c r="M68" s="249">
        <v>40190</v>
      </c>
      <c r="N68" s="249">
        <v>41240</v>
      </c>
      <c r="O68" s="255">
        <f t="shared" ref="O68:O94" si="9">IF(N68="","",YEAR(N68))</f>
        <v>2012</v>
      </c>
      <c r="P68" s="256">
        <f>+IFERROR(INDEX([7]PARÁMETROS!$B$11:$B$37,MATCH(O68,[7]PARÁMETROS!$A$11:$A$37,0)),"")</f>
        <v>566700</v>
      </c>
      <c r="Q68" s="35">
        <v>3164576487</v>
      </c>
      <c r="R68" s="257" t="s">
        <v>151</v>
      </c>
      <c r="S68" s="19" t="s">
        <v>140</v>
      </c>
      <c r="T68" s="30" t="s">
        <v>140</v>
      </c>
      <c r="U68" s="31">
        <v>1</v>
      </c>
      <c r="V68" s="27">
        <f t="shared" ref="V68:V95" si="10">IF(U68&lt;&gt;"",Q68*U68,"")</f>
        <v>3164576487</v>
      </c>
      <c r="W68" s="16">
        <f t="shared" ref="W68:W98" si="11">+IFERROR(V68/P68,"")</f>
        <v>5584.2182583377453</v>
      </c>
      <c r="X68" s="16">
        <f t="shared" ref="X68:X98" si="12">IFERROR(W68*L68,"")</f>
        <v>5584.2182583377453</v>
      </c>
      <c r="Y68" s="1388" t="str">
        <f>+IF(X68="","",IF(X68&gt;=[7]PARÁMETROS!$J$5,"CUMPLE","NO CUMPLE"))</f>
        <v>CUMPLE</v>
      </c>
      <c r="Z68" s="97"/>
    </row>
    <row r="69" spans="1:26" ht="86.25" thickBot="1">
      <c r="A69" s="1612"/>
      <c r="B69" s="1630"/>
      <c r="C69" s="19" t="s">
        <v>374</v>
      </c>
      <c r="D69" s="253">
        <v>19</v>
      </c>
      <c r="E69" s="101" t="str">
        <f>+IFERROR(INDEX([4]CONSOLIDADO!$D$4:$D$108,MATCH('Concur - Exp. Especifica'!C69,[4]CONSOLIDADO!$C$4:$C$108,0)),"")</f>
        <v>INZETT S.A.S.</v>
      </c>
      <c r="F69" s="22" t="s">
        <v>1047</v>
      </c>
      <c r="G69" s="247" t="s">
        <v>1777</v>
      </c>
      <c r="H69" s="1396" t="s">
        <v>22</v>
      </c>
      <c r="I69" s="1388" t="s">
        <v>129</v>
      </c>
      <c r="J69" s="1388" t="s">
        <v>22</v>
      </c>
      <c r="K69" s="1388" t="s">
        <v>129</v>
      </c>
      <c r="L69" s="258">
        <v>0.7</v>
      </c>
      <c r="M69" s="249">
        <v>40186</v>
      </c>
      <c r="N69" s="249">
        <v>40561</v>
      </c>
      <c r="O69" s="255">
        <f t="shared" si="9"/>
        <v>2011</v>
      </c>
      <c r="P69" s="256">
        <f>+IFERROR(INDEX([7]PARÁMETROS!$B$11:$B$37,MATCH(O69,[7]PARÁMETROS!$A$11:$A$37,0)),"")</f>
        <v>535600</v>
      </c>
      <c r="Q69" s="35">
        <v>3104182180</v>
      </c>
      <c r="R69" s="259" t="s">
        <v>151</v>
      </c>
      <c r="S69" s="19" t="s">
        <v>140</v>
      </c>
      <c r="T69" s="30" t="s">
        <v>140</v>
      </c>
      <c r="U69" s="31">
        <v>1</v>
      </c>
      <c r="V69" s="27">
        <f t="shared" si="10"/>
        <v>3104182180</v>
      </c>
      <c r="W69" s="16">
        <f t="shared" si="11"/>
        <v>5795.7098207617628</v>
      </c>
      <c r="X69" s="16">
        <f t="shared" si="12"/>
        <v>4056.9968745332335</v>
      </c>
      <c r="Y69" s="1388" t="str">
        <f>+IF(X69="","",IF(X69&gt;=[7]PARÁMETROS!$J$5,"CUMPLE","NO CUMPLE"))</f>
        <v>CUMPLE</v>
      </c>
      <c r="Z69" s="98"/>
    </row>
    <row r="70" spans="1:26" ht="86.25" thickBot="1">
      <c r="A70" s="1612"/>
      <c r="B70" s="1631"/>
      <c r="C70" s="99" t="s">
        <v>374</v>
      </c>
      <c r="D70" s="260">
        <v>24</v>
      </c>
      <c r="E70" s="101" t="str">
        <f>+IFERROR(INDEX([4]CONSOLIDADO!$D$4:$D$108,MATCH('Concur - Exp. Especifica'!C70,[4]CONSOLIDADO!$C$4:$C$108,0)),"")</f>
        <v>INZETT S.A.S.</v>
      </c>
      <c r="F70" s="154" t="s">
        <v>1047</v>
      </c>
      <c r="G70" s="261" t="s">
        <v>1777</v>
      </c>
      <c r="H70" s="1404" t="s">
        <v>22</v>
      </c>
      <c r="I70" s="1392" t="s">
        <v>129</v>
      </c>
      <c r="J70" s="1392" t="s">
        <v>22</v>
      </c>
      <c r="K70" s="1392" t="s">
        <v>129</v>
      </c>
      <c r="L70" s="262">
        <v>0.7</v>
      </c>
      <c r="M70" s="263">
        <v>40561</v>
      </c>
      <c r="N70" s="264">
        <v>41500</v>
      </c>
      <c r="O70" s="265">
        <f t="shared" si="9"/>
        <v>2013</v>
      </c>
      <c r="P70" s="266">
        <f>+IFERROR(INDEX([7]PARÁMETROS!$B$11:$B$37,MATCH(O70,[7]PARÁMETROS!$A$11:$A$37,0)),"")</f>
        <v>589500</v>
      </c>
      <c r="Q70" s="120">
        <v>4481543752</v>
      </c>
      <c r="R70" s="267" t="s">
        <v>151</v>
      </c>
      <c r="S70" s="99" t="s">
        <v>140</v>
      </c>
      <c r="T70" s="110" t="s">
        <v>140</v>
      </c>
      <c r="U70" s="111">
        <v>1</v>
      </c>
      <c r="V70" s="107">
        <f t="shared" si="10"/>
        <v>4481543752</v>
      </c>
      <c r="W70" s="112">
        <f t="shared" si="11"/>
        <v>7602.2794775233251</v>
      </c>
      <c r="X70" s="112">
        <f t="shared" si="12"/>
        <v>5321.5956342663276</v>
      </c>
      <c r="Y70" s="1392" t="str">
        <f>+IF(X70="","",IF(X70&gt;=[7]PARÁMETROS!$D$5,"CUMPLE","NO CUMPLE"))</f>
        <v>CUMPLE</v>
      </c>
      <c r="Z70" s="124"/>
    </row>
    <row r="71" spans="1:26" ht="57.75" thickBot="1">
      <c r="A71" s="1612"/>
      <c r="B71" s="1605" t="s">
        <v>1784</v>
      </c>
      <c r="C71" s="68" t="s">
        <v>387</v>
      </c>
      <c r="D71" s="226">
        <v>302</v>
      </c>
      <c r="E71" s="101" t="str">
        <f>+IFERROR(INDEX([4]CONSOLIDADO!$D$4:$D$108,MATCH('Concur - Exp. Especifica'!C71,[4]CONSOLIDADO!$C$4:$C$108,0)),"")</f>
        <v>GRUPO POSSO S.A.S.</v>
      </c>
      <c r="F71" s="84" t="s">
        <v>1785</v>
      </c>
      <c r="G71" s="72" t="s">
        <v>1786</v>
      </c>
      <c r="H71" s="1394" t="s">
        <v>22</v>
      </c>
      <c r="I71" s="1394" t="s">
        <v>129</v>
      </c>
      <c r="J71" s="1394" t="s">
        <v>22</v>
      </c>
      <c r="K71" s="1394" t="s">
        <v>129</v>
      </c>
      <c r="L71" s="73">
        <v>0.95</v>
      </c>
      <c r="M71" s="87">
        <v>41815</v>
      </c>
      <c r="N71" s="74" t="s">
        <v>440</v>
      </c>
      <c r="O71" s="116">
        <v>2015</v>
      </c>
      <c r="P71" s="75">
        <f>+IFERROR(INDEX([7]PARÁMETROS!$B$11:$B$37,MATCH(O71,[7]PARÁMETROS!$A$11:$A$37,0)),"")</f>
        <v>644350</v>
      </c>
      <c r="Q71" s="76">
        <v>10736226648</v>
      </c>
      <c r="R71" s="77" t="s">
        <v>151</v>
      </c>
      <c r="S71" s="68" t="s">
        <v>140</v>
      </c>
      <c r="T71" s="78" t="s">
        <v>140</v>
      </c>
      <c r="U71" s="79">
        <v>1</v>
      </c>
      <c r="V71" s="75">
        <f t="shared" si="10"/>
        <v>10736226648</v>
      </c>
      <c r="W71" s="80">
        <f t="shared" si="11"/>
        <v>16662.103900054317</v>
      </c>
      <c r="X71" s="80">
        <f t="shared" si="12"/>
        <v>15828.998705051601</v>
      </c>
      <c r="Y71" s="1400" t="str">
        <f>+IF(X71="","",IF(X71&gt;=[7]PARÁMETROS!$D$5,"CUMPLE","NO CUMPLE"))</f>
        <v>CUMPLE</v>
      </c>
      <c r="Z71" s="122"/>
    </row>
    <row r="72" spans="1:26" ht="43.5" thickBot="1">
      <c r="A72" s="1612"/>
      <c r="B72" s="1510"/>
      <c r="C72" s="19" t="s">
        <v>387</v>
      </c>
      <c r="D72" s="253">
        <v>312</v>
      </c>
      <c r="E72" s="101" t="str">
        <f>+IFERROR(INDEX([4]CONSOLIDADO!$D$4:$D$108,MATCH('Concur - Exp. Especifica'!C72,[4]CONSOLIDADO!$C$4:$C$108,0)),"")</f>
        <v>GRUPO POSSO S.A.S.</v>
      </c>
      <c r="F72" s="22" t="s">
        <v>1785</v>
      </c>
      <c r="G72" s="23" t="s">
        <v>1787</v>
      </c>
      <c r="H72" s="1388" t="s">
        <v>22</v>
      </c>
      <c r="I72" s="1388" t="s">
        <v>129</v>
      </c>
      <c r="J72" s="1388" t="s">
        <v>22</v>
      </c>
      <c r="K72" s="1388" t="s">
        <v>129</v>
      </c>
      <c r="L72" s="24">
        <v>0.95</v>
      </c>
      <c r="M72" s="25">
        <v>41995</v>
      </c>
      <c r="N72" s="25" t="s">
        <v>440</v>
      </c>
      <c r="O72" s="26">
        <v>2015</v>
      </c>
      <c r="P72" s="27">
        <f>+IFERROR(INDEX([7]PARÁMETROS!$B$11:$B$37,MATCH(O72,[7]PARÁMETROS!$A$11:$A$37,0)),"")</f>
        <v>644350</v>
      </c>
      <c r="Q72" s="28">
        <v>2590423144</v>
      </c>
      <c r="R72" s="29" t="s">
        <v>151</v>
      </c>
      <c r="S72" s="19" t="s">
        <v>140</v>
      </c>
      <c r="T72" s="30" t="s">
        <v>140</v>
      </c>
      <c r="U72" s="31">
        <v>1</v>
      </c>
      <c r="V72" s="27">
        <f t="shared" si="10"/>
        <v>2590423144</v>
      </c>
      <c r="W72" s="16">
        <f t="shared" si="11"/>
        <v>4020.2112888957863</v>
      </c>
      <c r="X72" s="16">
        <f t="shared" si="12"/>
        <v>3819.2007244509969</v>
      </c>
      <c r="Y72" s="1388" t="str">
        <f>+IF(X72="","",IF(X72&gt;=[7]PARÁMETROS!$D$5,"CUMPLE","NO CUMPLE"))</f>
        <v>CUMPLE</v>
      </c>
      <c r="Z72" s="97"/>
    </row>
    <row r="73" spans="1:26" ht="57.75" thickBot="1">
      <c r="A73" s="1612"/>
      <c r="B73" s="1510"/>
      <c r="C73" s="19" t="s">
        <v>1789</v>
      </c>
      <c r="D73" s="253">
        <v>322</v>
      </c>
      <c r="E73" s="101" t="str">
        <f>+IFERROR(INDEX([4]CONSOLIDADO!$D$4:$D$108,MATCH('Concur - Exp. Especifica'!C73,[4]CONSOLIDADO!$C$4:$C$108,0)),"")</f>
        <v>C &amp; M CONSULTORES  S.A.</v>
      </c>
      <c r="F73" s="22" t="s">
        <v>517</v>
      </c>
      <c r="G73" s="23" t="s">
        <v>1790</v>
      </c>
      <c r="H73" s="1388" t="s">
        <v>129</v>
      </c>
      <c r="I73" s="1388" t="s">
        <v>22</v>
      </c>
      <c r="J73" s="1388" t="s">
        <v>22</v>
      </c>
      <c r="K73" s="1388" t="s">
        <v>129</v>
      </c>
      <c r="L73" s="24">
        <v>0.51</v>
      </c>
      <c r="M73" s="25">
        <v>41878</v>
      </c>
      <c r="N73" s="25" t="s">
        <v>440</v>
      </c>
      <c r="O73" s="26">
        <v>2015</v>
      </c>
      <c r="P73" s="27">
        <f>+IFERROR(INDEX([7]PARÁMETROS!$B$11:$B$37,MATCH(O73,[7]PARÁMETROS!$A$11:$A$37,0)),"")</f>
        <v>644350</v>
      </c>
      <c r="Q73" s="28">
        <v>4983941778</v>
      </c>
      <c r="R73" s="29" t="s">
        <v>151</v>
      </c>
      <c r="S73" s="19" t="s">
        <v>140</v>
      </c>
      <c r="T73" s="30" t="s">
        <v>140</v>
      </c>
      <c r="U73" s="31">
        <v>1</v>
      </c>
      <c r="V73" s="27">
        <f t="shared" si="10"/>
        <v>4983941778</v>
      </c>
      <c r="W73" s="16">
        <f t="shared" si="11"/>
        <v>7734.8363125630476</v>
      </c>
      <c r="X73" s="16">
        <f t="shared" si="12"/>
        <v>3944.7665194071542</v>
      </c>
      <c r="Y73" s="1388" t="str">
        <f>+IF(X73="","",IF(X73&gt;=[7]PARÁMETROS!$D$5,"CUMPLE","NO CUMPLE"))</f>
        <v>CUMPLE</v>
      </c>
      <c r="Z73" s="97"/>
    </row>
    <row r="74" spans="1:26" ht="48" thickBot="1">
      <c r="A74" s="1612"/>
      <c r="B74" s="1510"/>
      <c r="C74" s="19" t="s">
        <v>394</v>
      </c>
      <c r="D74" s="260">
        <v>391</v>
      </c>
      <c r="E74" s="101" t="str">
        <f>+IFERROR(INDEX([4]CONSOLIDADO!$D$4:$D$108,MATCH('Concur - Exp. Especifica'!C74,[4]CONSOLIDADO!$C$4:$C$108,0)),"")</f>
        <v>GINPROSA COLOMBIA S.A.S.</v>
      </c>
      <c r="F74" s="22" t="s">
        <v>214</v>
      </c>
      <c r="G74" s="23" t="s">
        <v>1788</v>
      </c>
      <c r="H74" s="1388" t="s">
        <v>22</v>
      </c>
      <c r="I74" s="1388" t="s">
        <v>129</v>
      </c>
      <c r="J74" s="1388" t="s">
        <v>22</v>
      </c>
      <c r="K74" s="1388" t="s">
        <v>129</v>
      </c>
      <c r="L74" s="24">
        <v>1</v>
      </c>
      <c r="M74" s="25">
        <v>38926</v>
      </c>
      <c r="N74" s="25">
        <v>40022</v>
      </c>
      <c r="O74" s="26">
        <f t="shared" si="9"/>
        <v>2009</v>
      </c>
      <c r="P74" s="27">
        <f>+IFERROR(INDEX([7]PARÁMETROS!$B$11:$B$37,MATCH(O74,[7]PARÁMETROS!$A$11:$A$37,0)),"")</f>
        <v>496900</v>
      </c>
      <c r="Q74" s="28">
        <v>883372.84</v>
      </c>
      <c r="R74" s="29" t="s">
        <v>142</v>
      </c>
      <c r="S74" s="19">
        <v>1.42344</v>
      </c>
      <c r="T74" s="30">
        <f>+Q74*S74</f>
        <v>1257428.2353695999</v>
      </c>
      <c r="U74" s="31">
        <v>1982.43</v>
      </c>
      <c r="V74" s="27">
        <f>IF(U74&lt;&gt;"",T74*U74,"")</f>
        <v>2492763456.6437559</v>
      </c>
      <c r="W74" s="16">
        <f t="shared" si="11"/>
        <v>5016.6300194078403</v>
      </c>
      <c r="X74" s="16">
        <f t="shared" si="12"/>
        <v>5016.6300194078403</v>
      </c>
      <c r="Y74" s="1392" t="str">
        <f>+IF(X74="","",IF(X74&gt;=[7]PARÁMETROS!$D$5,"CUMPLE","NO CUMPLE"))</f>
        <v>CUMPLE</v>
      </c>
      <c r="Z74" s="97"/>
    </row>
    <row r="75" spans="1:26" ht="86.25" thickBot="1">
      <c r="A75" s="1612"/>
      <c r="B75" s="1509" t="s">
        <v>1791</v>
      </c>
      <c r="C75" s="81" t="s">
        <v>410</v>
      </c>
      <c r="D75" s="268">
        <v>4</v>
      </c>
      <c r="E75" s="101" t="str">
        <f>+IFERROR(INDEX([4]CONSOLIDADO!$D$4:$D$108,MATCH('Concur - Exp. Especifica'!C75,[4]CONSOLIDADO!$C$4:$C$108,0)),"")</f>
        <v>GC&amp;Q INGENIEROS CONSULTORES S.A.S.</v>
      </c>
      <c r="F75" s="84" t="s">
        <v>517</v>
      </c>
      <c r="G75" s="85" t="s">
        <v>1060</v>
      </c>
      <c r="H75" s="1393" t="s">
        <v>22</v>
      </c>
      <c r="I75" s="1393" t="s">
        <v>22</v>
      </c>
      <c r="J75" s="1393" t="s">
        <v>22</v>
      </c>
      <c r="K75" s="1393" t="s">
        <v>129</v>
      </c>
      <c r="L75" s="86">
        <v>0.6</v>
      </c>
      <c r="M75" s="87">
        <v>41075</v>
      </c>
      <c r="N75" s="87" t="s">
        <v>440</v>
      </c>
      <c r="O75" s="88">
        <v>2014</v>
      </c>
      <c r="P75" s="89">
        <f>+IFERROR(INDEX([7]PARÁMETROS!$B$11:$B$37,MATCH(O75,[7]PARÁMETROS!$A$11:$A$37,0)),"")</f>
        <v>616000</v>
      </c>
      <c r="Q75" s="90">
        <v>20776942881</v>
      </c>
      <c r="R75" s="91" t="s">
        <v>151</v>
      </c>
      <c r="S75" s="81" t="s">
        <v>140</v>
      </c>
      <c r="T75" s="92" t="s">
        <v>140</v>
      </c>
      <c r="U75" s="93">
        <v>1</v>
      </c>
      <c r="V75" s="89">
        <f t="shared" si="10"/>
        <v>20776942881</v>
      </c>
      <c r="W75" s="94">
        <f t="shared" si="11"/>
        <v>33728.803378246754</v>
      </c>
      <c r="X75" s="94">
        <f t="shared" si="12"/>
        <v>20237.282026948051</v>
      </c>
      <c r="Y75" s="1400" t="str">
        <f>+IF(X75="","",IF(X75&gt;=[7]PARÁMETROS!$D$5,"CUMPLE","NO CUMPLE"))</f>
        <v>CUMPLE</v>
      </c>
      <c r="Z75" s="96"/>
    </row>
    <row r="76" spans="1:26" ht="63.75" thickBot="1">
      <c r="A76" s="1612"/>
      <c r="B76" s="1510"/>
      <c r="C76" s="68" t="s">
        <v>410</v>
      </c>
      <c r="D76" s="253">
        <v>9</v>
      </c>
      <c r="E76" s="101" t="str">
        <f>+IFERROR(INDEX([4]CONSOLIDADO!$D$4:$D$108,MATCH('Concur - Exp. Especifica'!C76,[4]CONSOLIDADO!$C$4:$C$108,0)),"")</f>
        <v>GC&amp;Q INGENIEROS CONSULTORES S.A.S.</v>
      </c>
      <c r="F76" s="22" t="s">
        <v>1792</v>
      </c>
      <c r="G76" s="22" t="s">
        <v>1062</v>
      </c>
      <c r="H76" s="1388" t="s">
        <v>22</v>
      </c>
      <c r="I76" s="1388" t="s">
        <v>129</v>
      </c>
      <c r="J76" s="1388" t="s">
        <v>22</v>
      </c>
      <c r="K76" s="1388" t="s">
        <v>129</v>
      </c>
      <c r="L76" s="34">
        <v>1</v>
      </c>
      <c r="M76" s="25">
        <v>39671</v>
      </c>
      <c r="N76" s="25">
        <v>40273</v>
      </c>
      <c r="O76" s="26">
        <f t="shared" si="9"/>
        <v>2010</v>
      </c>
      <c r="P76" s="27">
        <f>+IFERROR(INDEX([7]PARÁMETROS!$B$11:$B$37,MATCH(O76,[7]PARÁMETROS!$A$11:$A$37,0)),"")</f>
        <v>515000</v>
      </c>
      <c r="Q76" s="35">
        <v>612800000</v>
      </c>
      <c r="R76" s="27" t="s">
        <v>177</v>
      </c>
      <c r="S76" s="19">
        <v>1.8699999999999999E-3</v>
      </c>
      <c r="T76" s="30">
        <f>+Q76*S76</f>
        <v>1145936</v>
      </c>
      <c r="U76" s="31">
        <v>1921.88</v>
      </c>
      <c r="V76" s="27">
        <f>IF(U76&lt;&gt;"",T76*U76,"")</f>
        <v>2202351479.6800003</v>
      </c>
      <c r="W76" s="16">
        <f t="shared" si="11"/>
        <v>4276.4106401553408</v>
      </c>
      <c r="X76" s="16">
        <f t="shared" si="12"/>
        <v>4276.4106401553408</v>
      </c>
      <c r="Y76" s="1388" t="str">
        <f>+IF(X76="","",IF(X76&gt;=[7]PARÁMETROS!$D$5,"CUMPLE","NO CUMPLE"))</f>
        <v>CUMPLE</v>
      </c>
      <c r="Z76" s="97"/>
    </row>
    <row r="77" spans="1:26" ht="79.5" thickBot="1">
      <c r="A77" s="1612"/>
      <c r="B77" s="1510"/>
      <c r="C77" s="19" t="s">
        <v>401</v>
      </c>
      <c r="D77" s="253">
        <v>15</v>
      </c>
      <c r="E77" s="101" t="str">
        <f>+IFERROR(INDEX([4]CONSOLIDADO!$D$4:$D$108,MATCH('Concur - Exp. Especifica'!C77,[4]CONSOLIDADO!$C$4:$C$108,0)),"")</f>
        <v>GRUPO METRO COLOMBIA (GMC INGENIEROS S.A.)</v>
      </c>
      <c r="F77" s="22" t="s">
        <v>1793</v>
      </c>
      <c r="G77" s="228" t="s">
        <v>1794</v>
      </c>
      <c r="H77" s="1388" t="s">
        <v>22</v>
      </c>
      <c r="I77" s="1388" t="s">
        <v>129</v>
      </c>
      <c r="J77" s="1388" t="s">
        <v>22</v>
      </c>
      <c r="K77" s="1388" t="s">
        <v>129</v>
      </c>
      <c r="L77" s="24">
        <v>0.9</v>
      </c>
      <c r="M77" s="25">
        <v>39167</v>
      </c>
      <c r="N77" s="25">
        <v>39758</v>
      </c>
      <c r="O77" s="26">
        <f t="shared" si="9"/>
        <v>2008</v>
      </c>
      <c r="P77" s="27">
        <f>+IFERROR(INDEX([7]PARÁMETROS!$B$11:$B$37,MATCH(O77,[7]PARÁMETROS!$A$11:$A$37,0)),"")</f>
        <v>461500</v>
      </c>
      <c r="Q77" s="28">
        <v>1609517781</v>
      </c>
      <c r="R77" s="29" t="s">
        <v>151</v>
      </c>
      <c r="S77" s="19" t="s">
        <v>140</v>
      </c>
      <c r="T77" s="30" t="s">
        <v>140</v>
      </c>
      <c r="U77" s="31">
        <v>1</v>
      </c>
      <c r="V77" s="27">
        <f t="shared" si="10"/>
        <v>1609517781</v>
      </c>
      <c r="W77" s="16">
        <f t="shared" si="11"/>
        <v>3487.5791570964248</v>
      </c>
      <c r="X77" s="16">
        <f t="shared" si="12"/>
        <v>3138.8212413867823</v>
      </c>
      <c r="Y77" s="1388" t="str">
        <f>+IF(X77="","",IF(X77&gt;=[7]PARÁMETROS!$D$5,"CUMPLE","NO CUMPLE"))</f>
        <v>CUMPLE</v>
      </c>
      <c r="Z77" s="97"/>
    </row>
    <row r="78" spans="1:26" ht="79.5" thickBot="1">
      <c r="A78" s="1612"/>
      <c r="B78" s="1510"/>
      <c r="C78" s="19" t="s">
        <v>401</v>
      </c>
      <c r="D78" s="260">
        <v>22</v>
      </c>
      <c r="E78" s="101" t="str">
        <f>+IFERROR(INDEX([4]CONSOLIDADO!$D$4:$D$108,MATCH('Concur - Exp. Especifica'!C78,[4]CONSOLIDADO!$C$4:$C$108,0)),"")</f>
        <v>GRUPO METRO COLOMBIA (GMC INGENIEROS S.A.)</v>
      </c>
      <c r="F78" s="22" t="s">
        <v>1674</v>
      </c>
      <c r="G78" s="228" t="s">
        <v>1795</v>
      </c>
      <c r="H78" s="1388" t="s">
        <v>22</v>
      </c>
      <c r="I78" s="1388" t="s">
        <v>129</v>
      </c>
      <c r="J78" s="1388" t="s">
        <v>22</v>
      </c>
      <c r="K78" s="1388" t="s">
        <v>129</v>
      </c>
      <c r="L78" s="24">
        <v>0.9</v>
      </c>
      <c r="M78" s="157">
        <v>41523</v>
      </c>
      <c r="N78" s="157">
        <v>42094</v>
      </c>
      <c r="O78" s="158">
        <f t="shared" si="9"/>
        <v>2015</v>
      </c>
      <c r="P78" s="159">
        <f>+IFERROR(INDEX([7]PARÁMETROS!$B$11:$B$37,MATCH(O78,[7]PARÁMETROS!$A$11:$A$37,0)),"")</f>
        <v>644350</v>
      </c>
      <c r="Q78" s="160">
        <v>4539581069</v>
      </c>
      <c r="R78" s="161" t="s">
        <v>151</v>
      </c>
      <c r="S78" s="151" t="s">
        <v>140</v>
      </c>
      <c r="T78" s="162" t="s">
        <v>140</v>
      </c>
      <c r="U78" s="163">
        <v>1</v>
      </c>
      <c r="V78" s="159">
        <f t="shared" si="10"/>
        <v>4539581069</v>
      </c>
      <c r="W78" s="164">
        <f t="shared" si="11"/>
        <v>7045.2100085357333</v>
      </c>
      <c r="X78" s="164">
        <f t="shared" si="12"/>
        <v>6340.6890076821601</v>
      </c>
      <c r="Y78" s="1419" t="str">
        <f>+IF(X78="","",IF(X78&gt;=[7]PARÁMETROS!$D$5,"CUMPLE","NO CUMPLE"))</f>
        <v>CUMPLE</v>
      </c>
      <c r="Z78" s="195"/>
    </row>
    <row r="79" spans="1:26" ht="100.5" thickBot="1">
      <c r="A79" s="1612"/>
      <c r="B79" s="1509" t="s">
        <v>1796</v>
      </c>
      <c r="C79" s="81" t="s">
        <v>1802</v>
      </c>
      <c r="D79" s="82">
        <v>25</v>
      </c>
      <c r="E79" s="101" t="str">
        <f>+IFERROR(INDEX([4]CONSOLIDADO!$D$4:$D$108,MATCH('Concur - Exp. Especifica'!C79,[4]CONSOLIDADO!$C$4:$C$108,0)),"")</f>
        <v/>
      </c>
      <c r="F79" s="84" t="s">
        <v>2379</v>
      </c>
      <c r="G79" s="85" t="s">
        <v>1805</v>
      </c>
      <c r="H79" s="1393" t="s">
        <v>22</v>
      </c>
      <c r="I79" s="1393" t="s">
        <v>22</v>
      </c>
      <c r="J79" s="1393" t="s">
        <v>22</v>
      </c>
      <c r="K79" s="1393" t="s">
        <v>129</v>
      </c>
      <c r="L79" s="86">
        <v>1</v>
      </c>
      <c r="M79" s="87">
        <v>40474</v>
      </c>
      <c r="N79" s="87">
        <v>41173</v>
      </c>
      <c r="O79" s="88">
        <f t="shared" si="9"/>
        <v>2012</v>
      </c>
      <c r="P79" s="89">
        <f>+IFERROR(INDEX([7]PARÁMETROS!$B$11:$B$37,MATCH(O79,[7]PARÁMETROS!$A$11:$A$37,0)),"")</f>
        <v>566700</v>
      </c>
      <c r="Q79" s="90">
        <v>3241542005</v>
      </c>
      <c r="R79" s="91" t="s">
        <v>1801</v>
      </c>
      <c r="S79" s="81" t="s">
        <v>140</v>
      </c>
      <c r="T79" s="92" t="s">
        <v>140</v>
      </c>
      <c r="U79" s="93">
        <v>1</v>
      </c>
      <c r="V79" s="89">
        <f t="shared" si="10"/>
        <v>3241542005</v>
      </c>
      <c r="W79" s="94">
        <f t="shared" si="11"/>
        <v>5720.0317716604904</v>
      </c>
      <c r="X79" s="94">
        <f t="shared" si="12"/>
        <v>5720.0317716604904</v>
      </c>
      <c r="Y79" s="1393" t="str">
        <f>+IF(X79="","",IF(X79&gt;=[7]PARÁMETROS!$D$5,"CUMPLE","NO CUMPLE"))</f>
        <v>CUMPLE</v>
      </c>
      <c r="Z79" s="96"/>
    </row>
    <row r="80" spans="1:26" ht="100.5" thickBot="1">
      <c r="A80" s="1612"/>
      <c r="B80" s="1510"/>
      <c r="C80" s="19" t="s">
        <v>1802</v>
      </c>
      <c r="D80" s="253">
        <v>84</v>
      </c>
      <c r="E80" s="101" t="str">
        <f>+IFERROR(INDEX([4]CONSOLIDADO!$D$4:$D$108,MATCH('Concur - Exp. Especifica'!C80,[4]CONSOLIDADO!$C$4:$C$108,0)),"")</f>
        <v/>
      </c>
      <c r="F80" s="22" t="s">
        <v>1674</v>
      </c>
      <c r="G80" s="23" t="s">
        <v>1804</v>
      </c>
      <c r="H80" s="1388" t="s">
        <v>22</v>
      </c>
      <c r="I80" s="1388" t="s">
        <v>129</v>
      </c>
      <c r="J80" s="1388" t="s">
        <v>22</v>
      </c>
      <c r="K80" s="1388" t="s">
        <v>129</v>
      </c>
      <c r="L80" s="156">
        <v>0.51</v>
      </c>
      <c r="M80" s="157">
        <v>38770</v>
      </c>
      <c r="N80" s="157">
        <v>39778</v>
      </c>
      <c r="O80" s="158">
        <f t="shared" si="9"/>
        <v>2008</v>
      </c>
      <c r="P80" s="159">
        <f>+IFERROR(INDEX([7]PARÁMETROS!$B$11:$B$37,MATCH(O80,[7]PARÁMETROS!$A$11:$A$37,0)),"")</f>
        <v>461500</v>
      </c>
      <c r="Q80" s="160">
        <v>3501850677</v>
      </c>
      <c r="R80" s="161" t="s">
        <v>1801</v>
      </c>
      <c r="S80" s="151" t="s">
        <v>140</v>
      </c>
      <c r="T80" s="162" t="s">
        <v>140</v>
      </c>
      <c r="U80" s="163">
        <v>1</v>
      </c>
      <c r="V80" s="159">
        <f t="shared" si="10"/>
        <v>3501850677</v>
      </c>
      <c r="W80" s="164">
        <f t="shared" si="11"/>
        <v>7587.9754647887321</v>
      </c>
      <c r="X80" s="164">
        <f t="shared" si="12"/>
        <v>3869.8674870422533</v>
      </c>
      <c r="Y80" s="1388" t="str">
        <f>+IF(X80="","",IF(X80&gt;=[7]PARÁMETROS!$D$5,"CUMPLE","NO CUMPLE"))</f>
        <v>CUMPLE</v>
      </c>
      <c r="Z80" s="97"/>
    </row>
    <row r="81" spans="1:26" ht="63.75" thickBot="1">
      <c r="A81" s="1612"/>
      <c r="B81" s="1510"/>
      <c r="C81" s="19" t="s">
        <v>416</v>
      </c>
      <c r="D81" s="253">
        <v>150</v>
      </c>
      <c r="E81" s="101" t="str">
        <f>+IFERROR(INDEX([4]CONSOLIDADO!$D$4:$D$108,MATCH('Concur - Exp. Especifica'!C81,[4]CONSOLIDADO!$C$4:$C$108,0)),"")</f>
        <v>IV INGENIEROS CONSULTORES E INTERVENTOR S.A.S.</v>
      </c>
      <c r="F81" s="22" t="s">
        <v>1797</v>
      </c>
      <c r="G81" s="23" t="s">
        <v>1798</v>
      </c>
      <c r="H81" s="1388" t="s">
        <v>22</v>
      </c>
      <c r="I81" s="1388" t="s">
        <v>129</v>
      </c>
      <c r="J81" s="1388" t="s">
        <v>22</v>
      </c>
      <c r="K81" s="1388" t="s">
        <v>129</v>
      </c>
      <c r="L81" s="24">
        <v>1</v>
      </c>
      <c r="M81" s="25">
        <v>37774</v>
      </c>
      <c r="N81" s="25">
        <v>38597</v>
      </c>
      <c r="O81" s="26">
        <f t="shared" si="9"/>
        <v>2005</v>
      </c>
      <c r="P81" s="27">
        <f>+IFERROR(INDEX([7]PARÁMETROS!$B$11:$B$37,MATCH(O81,[7]PARÁMETROS!$A$11:$A$37,0)),"")</f>
        <v>381500</v>
      </c>
      <c r="Q81" s="28">
        <v>1207476.71</v>
      </c>
      <c r="R81" s="29" t="s">
        <v>142</v>
      </c>
      <c r="S81" s="19">
        <v>1.2487999999999999</v>
      </c>
      <c r="T81" s="30">
        <f>+Q81*S81</f>
        <v>1507896.915448</v>
      </c>
      <c r="U81" s="31">
        <v>2298.85</v>
      </c>
      <c r="V81" s="27">
        <f>IF(U81&lt;&gt;"",T81*U81,"")</f>
        <v>3466428824.0776343</v>
      </c>
      <c r="W81" s="16">
        <f t="shared" si="11"/>
        <v>9086.3140867041529</v>
      </c>
      <c r="X81" s="16">
        <f t="shared" si="12"/>
        <v>9086.3140867041529</v>
      </c>
      <c r="Y81" s="1388" t="str">
        <f>+IF(X81="","",IF(X81&gt;=[7]PARÁMETROS!$D$5,"CUMPLE","NO CUMPLE"))</f>
        <v>CUMPLE</v>
      </c>
      <c r="Z81" s="97"/>
    </row>
    <row r="82" spans="1:26" ht="63.75" thickBot="1">
      <c r="A82" s="1612"/>
      <c r="B82" s="1510"/>
      <c r="C82" s="19" t="s">
        <v>416</v>
      </c>
      <c r="D82" s="260">
        <v>155</v>
      </c>
      <c r="E82" s="101" t="str">
        <f>+IFERROR(INDEX([4]CONSOLIDADO!$D$4:$D$108,MATCH('Concur - Exp. Especifica'!C82,[4]CONSOLIDADO!$C$4:$C$108,0)),"")</f>
        <v>IV INGENIEROS CONSULTORES E INTERVENTOR S.A.S.</v>
      </c>
      <c r="F82" s="102" t="s">
        <v>1797</v>
      </c>
      <c r="G82" s="269" t="s">
        <v>1799</v>
      </c>
      <c r="H82" s="1388" t="s">
        <v>22</v>
      </c>
      <c r="I82" s="1388" t="s">
        <v>129</v>
      </c>
      <c r="J82" s="1388" t="s">
        <v>22</v>
      </c>
      <c r="K82" s="1388" t="s">
        <v>129</v>
      </c>
      <c r="L82" s="104">
        <v>1</v>
      </c>
      <c r="M82" s="105">
        <v>39329</v>
      </c>
      <c r="N82" s="105">
        <v>40578</v>
      </c>
      <c r="O82" s="106">
        <f t="shared" si="9"/>
        <v>2011</v>
      </c>
      <c r="P82" s="107">
        <f>+IFERROR(INDEX([7]PARÁMETROS!$B$11:$B$37,MATCH(O82,[7]PARÁMETROS!$A$11:$A$37,0)),"")</f>
        <v>535600</v>
      </c>
      <c r="Q82" s="108">
        <v>1551350.29</v>
      </c>
      <c r="R82" s="109" t="s">
        <v>142</v>
      </c>
      <c r="S82" s="99">
        <v>1.3747400000000001</v>
      </c>
      <c r="T82" s="110">
        <f>+S82*Q82</f>
        <v>2132703.2976746</v>
      </c>
      <c r="U82" s="111">
        <v>1863.03</v>
      </c>
      <c r="V82" s="107">
        <f>IF(U82&lt;&gt;"",T82*U82,"")</f>
        <v>3973290224.6667099</v>
      </c>
      <c r="W82" s="112">
        <f t="shared" si="11"/>
        <v>7418.3910094598768</v>
      </c>
      <c r="X82" s="112">
        <f t="shared" si="12"/>
        <v>7418.3910094598768</v>
      </c>
      <c r="Y82" s="1392" t="str">
        <f>+IF(X82="","",IF(X82&gt;=[7]PARÁMETROS!$D$5,"CUMPLE","NO CUMPLE"))</f>
        <v>CUMPLE</v>
      </c>
      <c r="Z82" s="113"/>
    </row>
    <row r="83" spans="1:26" ht="63.75" thickBot="1">
      <c r="A83" s="1612"/>
      <c r="B83" s="1509" t="s">
        <v>1808</v>
      </c>
      <c r="C83" s="81" t="s">
        <v>441</v>
      </c>
      <c r="D83" s="169">
        <v>2</v>
      </c>
      <c r="E83" s="101" t="str">
        <f>+IFERROR(INDEX([4]CONSOLIDADO!$D$4:$D$108,MATCH('Concur - Exp. Especifica'!C83,[4]CONSOLIDADO!$C$4:$C$108,0)),"")</f>
        <v>INGENIEROS PROYECTOS CONSULTORIAS IPC S.A.S.</v>
      </c>
      <c r="F83" s="71" t="s">
        <v>442</v>
      </c>
      <c r="G83" s="85" t="s">
        <v>1815</v>
      </c>
      <c r="H83" s="1393" t="s">
        <v>22</v>
      </c>
      <c r="I83" s="1393" t="s">
        <v>22</v>
      </c>
      <c r="J83" s="1393" t="s">
        <v>22</v>
      </c>
      <c r="K83" s="1393" t="s">
        <v>129</v>
      </c>
      <c r="L83" s="86">
        <v>0.5</v>
      </c>
      <c r="M83" s="87">
        <v>39722</v>
      </c>
      <c r="N83" s="87">
        <v>41211</v>
      </c>
      <c r="O83" s="88">
        <f t="shared" si="9"/>
        <v>2012</v>
      </c>
      <c r="P83" s="89">
        <f>+IFERROR(INDEX([7]PARÁMETROS!$B$11:$B$37,MATCH(O83,[7]PARÁMETROS!$A$11:$A$37,0)),"")</f>
        <v>566700</v>
      </c>
      <c r="Q83" s="90">
        <v>2738296</v>
      </c>
      <c r="R83" s="91" t="s">
        <v>142</v>
      </c>
      <c r="S83" s="81">
        <v>1.29355</v>
      </c>
      <c r="T83" s="92">
        <f>+Q83*S83</f>
        <v>3542122.7908000001</v>
      </c>
      <c r="U83" s="93">
        <v>1823.18</v>
      </c>
      <c r="V83" s="89">
        <f>IF(U83&lt;&gt;"",T83*U83,"")</f>
        <v>6457927429.7307444</v>
      </c>
      <c r="W83" s="94">
        <f t="shared" si="11"/>
        <v>11395.672189396055</v>
      </c>
      <c r="X83" s="94">
        <f t="shared" si="12"/>
        <v>5697.8360946980274</v>
      </c>
      <c r="Y83" s="1401" t="str">
        <f>+IF(X83="","",IF(X83&gt;=[7]PARÁMETROS!$D$5,"CUMPLE","NO CUMPLE"))</f>
        <v>CUMPLE</v>
      </c>
      <c r="Z83" s="122"/>
    </row>
    <row r="84" spans="1:26" ht="63.75" thickBot="1">
      <c r="A84" s="1612"/>
      <c r="B84" s="1510"/>
      <c r="C84" s="19" t="s">
        <v>436</v>
      </c>
      <c r="D84" s="170">
        <v>5</v>
      </c>
      <c r="E84" s="101" t="str">
        <f>+IFERROR(INDEX([4]CONSOLIDADO!$D$4:$D$108,MATCH('Concur - Exp. Especifica'!C84,[4]CONSOLIDADO!$C$4:$C$108,0)),"")</f>
        <v>BAG ENGINEERING CONSULTANCY GROUP S.A.S.</v>
      </c>
      <c r="F84" s="22" t="s">
        <v>1809</v>
      </c>
      <c r="G84" s="23" t="s">
        <v>1810</v>
      </c>
      <c r="H84" s="1388" t="s">
        <v>22</v>
      </c>
      <c r="I84" s="1388" t="s">
        <v>129</v>
      </c>
      <c r="J84" s="1388" t="s">
        <v>22</v>
      </c>
      <c r="K84" s="1388" t="s">
        <v>129</v>
      </c>
      <c r="L84" s="24">
        <v>0.5</v>
      </c>
      <c r="M84" s="25">
        <v>39328</v>
      </c>
      <c r="N84" s="25">
        <v>41486</v>
      </c>
      <c r="O84" s="26">
        <f t="shared" si="9"/>
        <v>2013</v>
      </c>
      <c r="P84" s="27">
        <f>+IFERROR(INDEX([7]PARÁMETROS!$B$11:$B$37,MATCH(O84,[7]PARÁMETROS!$A$11:$A$37,0)),"")</f>
        <v>589500</v>
      </c>
      <c r="Q84" s="28">
        <v>2913489.22</v>
      </c>
      <c r="R84" s="29" t="s">
        <v>142</v>
      </c>
      <c r="S84" s="19">
        <v>1.3262400000000001</v>
      </c>
      <c r="T84" s="30">
        <f>+Q84*S84</f>
        <v>3863985.9431328005</v>
      </c>
      <c r="U84" s="31">
        <v>1890.33</v>
      </c>
      <c r="V84" s="27">
        <f>IF(U84&lt;&gt;"",T84*U84,"")</f>
        <v>7304208547.8822269</v>
      </c>
      <c r="W84" s="16">
        <f t="shared" si="11"/>
        <v>12390.514924312514</v>
      </c>
      <c r="X84" s="16">
        <f t="shared" si="12"/>
        <v>6195.2574621562571</v>
      </c>
      <c r="Y84" s="1388" t="str">
        <f>+IF(X84="","",IF(X84&gt;=[7]PARÁMETROS!$D$5,"CUMPLE","NO CUMPLE"))</f>
        <v>CUMPLE</v>
      </c>
      <c r="Z84" s="97"/>
    </row>
    <row r="85" spans="1:26" ht="63.75" thickBot="1">
      <c r="A85" s="1612"/>
      <c r="B85" s="1510"/>
      <c r="C85" s="19" t="s">
        <v>436</v>
      </c>
      <c r="D85" s="170">
        <v>15</v>
      </c>
      <c r="E85" s="101" t="str">
        <f>+IFERROR(INDEX([4]CONSOLIDADO!$D$4:$D$108,MATCH('Concur - Exp. Especifica'!C85,[4]CONSOLIDADO!$C$4:$C$108,0)),"")</f>
        <v>BAG ENGINEERING CONSULTANCY GROUP S.A.S.</v>
      </c>
      <c r="F85" s="22" t="s">
        <v>1811</v>
      </c>
      <c r="G85" s="23" t="s">
        <v>1812</v>
      </c>
      <c r="H85" s="1388" t="s">
        <v>22</v>
      </c>
      <c r="I85" s="1388" t="s">
        <v>129</v>
      </c>
      <c r="J85" s="1388" t="s">
        <v>22</v>
      </c>
      <c r="K85" s="1388" t="s">
        <v>129</v>
      </c>
      <c r="L85" s="38">
        <v>0.5</v>
      </c>
      <c r="M85" s="25">
        <v>39575</v>
      </c>
      <c r="N85" s="25">
        <v>40663</v>
      </c>
      <c r="O85" s="26">
        <f t="shared" si="9"/>
        <v>2011</v>
      </c>
      <c r="P85" s="27">
        <f>+IFERROR(INDEX([7]PARÁMETROS!$B$11:$B$37,MATCH(O85,[7]PARÁMETROS!$A$11:$A$37,0)),"")</f>
        <v>535600</v>
      </c>
      <c r="Q85" s="28">
        <v>4410425.8600000003</v>
      </c>
      <c r="R85" s="29" t="s">
        <v>142</v>
      </c>
      <c r="S85" s="19">
        <v>1.4837899999999999</v>
      </c>
      <c r="T85" s="30">
        <f>+Q85*S85</f>
        <v>6544145.7868094007</v>
      </c>
      <c r="U85" s="31">
        <v>1768.19</v>
      </c>
      <c r="V85" s="27">
        <f>IF(U85&lt;&gt;"",T85*U85,"")</f>
        <v>11571293138.778515</v>
      </c>
      <c r="W85" s="16">
        <f t="shared" si="11"/>
        <v>21604.356121692523</v>
      </c>
      <c r="X85" s="16">
        <f t="shared" si="12"/>
        <v>10802.178060846261</v>
      </c>
      <c r="Y85" s="1388" t="str">
        <f>+IF(X85="","",IF(X85&gt;=[7]PARÁMETROS!$D$5,"CUMPLE","NO CUMPLE"))</f>
        <v>CUMPLE</v>
      </c>
      <c r="Z85" s="121"/>
    </row>
    <row r="86" spans="1:26" ht="63.75" thickBot="1">
      <c r="A86" s="1612"/>
      <c r="B86" s="1510"/>
      <c r="C86" s="19" t="s">
        <v>436</v>
      </c>
      <c r="D86" s="172">
        <v>24</v>
      </c>
      <c r="E86" s="101" t="str">
        <f>+IFERROR(INDEX([4]CONSOLIDADO!$D$4:$D$108,MATCH('Concur - Exp. Especifica'!C86,[4]CONSOLIDADO!$C$4:$C$108,0)),"")</f>
        <v>BAG ENGINEERING CONSULTANCY GROUP S.A.S.</v>
      </c>
      <c r="F86" s="191" t="s">
        <v>1813</v>
      </c>
      <c r="G86" s="155" t="s">
        <v>1814</v>
      </c>
      <c r="H86" s="1388" t="s">
        <v>22</v>
      </c>
      <c r="I86" s="1388" t="s">
        <v>129</v>
      </c>
      <c r="J86" s="1388" t="s">
        <v>22</v>
      </c>
      <c r="K86" s="1388" t="s">
        <v>129</v>
      </c>
      <c r="L86" s="270">
        <v>0.15</v>
      </c>
      <c r="M86" s="271">
        <v>38397</v>
      </c>
      <c r="N86" s="272">
        <v>39933</v>
      </c>
      <c r="O86" s="158">
        <f t="shared" si="9"/>
        <v>2009</v>
      </c>
      <c r="P86" s="159">
        <f>+IFERROR(INDEX([7]PARÁMETROS!$B$11:$B$37,MATCH(O86,[7]PARÁMETROS!$A$11:$A$37,0)),"")</f>
        <v>496900</v>
      </c>
      <c r="Q86" s="273">
        <v>8552787844</v>
      </c>
      <c r="R86" s="161" t="s">
        <v>1801</v>
      </c>
      <c r="S86" s="161" t="s">
        <v>140</v>
      </c>
      <c r="T86" s="161" t="s">
        <v>140</v>
      </c>
      <c r="U86" s="161">
        <v>1</v>
      </c>
      <c r="V86" s="159">
        <f t="shared" si="10"/>
        <v>8552787844</v>
      </c>
      <c r="W86" s="164">
        <f t="shared" si="11"/>
        <v>17212.29189776615</v>
      </c>
      <c r="X86" s="164">
        <f t="shared" si="12"/>
        <v>2581.8437846649226</v>
      </c>
      <c r="Y86" s="1392" t="str">
        <f>+IF(X86="","",IF(X86&gt;=[7]PARÁMETROS!$D$5,"CUMPLE","NO CUMPLE"))</f>
        <v>CUMPLE</v>
      </c>
      <c r="Z86" s="97"/>
    </row>
    <row r="87" spans="1:26" ht="57.75" thickBot="1">
      <c r="A87" s="1612"/>
      <c r="B87" s="1509" t="s">
        <v>1816</v>
      </c>
      <c r="C87" s="81" t="s">
        <v>455</v>
      </c>
      <c r="D87" s="82">
        <v>6</v>
      </c>
      <c r="E87" s="101" t="str">
        <f>+IFERROR(INDEX([4]CONSOLIDADO!$D$4:$D$108,MATCH('Concur - Exp. Especifica'!C87,[4]CONSOLIDADO!$C$4:$C$108,0)),"")</f>
        <v>B&amp;C S.A.</v>
      </c>
      <c r="F87" s="84" t="s">
        <v>517</v>
      </c>
      <c r="G87" s="85" t="s">
        <v>1817</v>
      </c>
      <c r="H87" s="1393" t="s">
        <v>22</v>
      </c>
      <c r="I87" s="1393" t="s">
        <v>22</v>
      </c>
      <c r="J87" s="1393" t="s">
        <v>22</v>
      </c>
      <c r="K87" s="1393" t="s">
        <v>129</v>
      </c>
      <c r="L87" s="86">
        <v>0.3</v>
      </c>
      <c r="M87" s="87">
        <v>39934</v>
      </c>
      <c r="N87" s="87">
        <v>41029</v>
      </c>
      <c r="O87" s="88">
        <f t="shared" si="9"/>
        <v>2012</v>
      </c>
      <c r="P87" s="89">
        <f>+IFERROR(INDEX([7]PARÁMETROS!$B$11:$B$37,MATCH(O87,[7]PARÁMETROS!$A$11:$A$37,0)),"")</f>
        <v>566700</v>
      </c>
      <c r="Q87" s="90">
        <v>9410306392</v>
      </c>
      <c r="R87" s="91" t="s">
        <v>1801</v>
      </c>
      <c r="S87" s="81" t="s">
        <v>140</v>
      </c>
      <c r="T87" s="92" t="s">
        <v>140</v>
      </c>
      <c r="U87" s="93">
        <v>1</v>
      </c>
      <c r="V87" s="89">
        <f t="shared" si="10"/>
        <v>9410306392</v>
      </c>
      <c r="W87" s="94">
        <f t="shared" si="11"/>
        <v>16605.446253749778</v>
      </c>
      <c r="X87" s="94">
        <f t="shared" si="12"/>
        <v>4981.6338761249335</v>
      </c>
      <c r="Y87" s="1400" t="str">
        <f>+IF(X87="","",IF(X87&gt;=[7]PARÁMETROS!$D$5,"CUMPLE","NO CUMPLE"))</f>
        <v>CUMPLE</v>
      </c>
      <c r="Z87" s="96"/>
    </row>
    <row r="88" spans="1:26" ht="72" thickBot="1">
      <c r="A88" s="1612"/>
      <c r="B88" s="1510"/>
      <c r="C88" s="68" t="s">
        <v>455</v>
      </c>
      <c r="D88" s="185">
        <v>10</v>
      </c>
      <c r="E88" s="101" t="str">
        <f>+IFERROR(INDEX([4]CONSOLIDADO!$D$4:$D$108,MATCH('Concur - Exp. Especifica'!C88,[4]CONSOLIDADO!$C$4:$C$108,0)),"")</f>
        <v>B&amp;C S.A.</v>
      </c>
      <c r="F88" s="71" t="s">
        <v>442</v>
      </c>
      <c r="G88" s="72" t="s">
        <v>1109</v>
      </c>
      <c r="H88" s="1394" t="s">
        <v>129</v>
      </c>
      <c r="I88" s="1394" t="s">
        <v>129</v>
      </c>
      <c r="J88" s="1394" t="s">
        <v>22</v>
      </c>
      <c r="K88" s="1394" t="s">
        <v>129</v>
      </c>
      <c r="L88" s="73">
        <v>0.5</v>
      </c>
      <c r="M88" s="74">
        <v>36333</v>
      </c>
      <c r="N88" s="74">
        <v>38915</v>
      </c>
      <c r="O88" s="116">
        <f t="shared" si="9"/>
        <v>2006</v>
      </c>
      <c r="P88" s="75">
        <f>+IFERROR(INDEX([7]PARÁMETROS!$B$11:$B$37,MATCH(O88,[7]PARÁMETROS!$A$11:$A$37,0)),"")</f>
        <v>408000</v>
      </c>
      <c r="Q88" s="76">
        <v>19941780178.799999</v>
      </c>
      <c r="R88" s="77" t="s">
        <v>1801</v>
      </c>
      <c r="S88" s="68" t="s">
        <v>140</v>
      </c>
      <c r="T88" s="78" t="s">
        <v>140</v>
      </c>
      <c r="U88" s="79">
        <v>1</v>
      </c>
      <c r="V88" s="75">
        <f t="shared" si="10"/>
        <v>19941780178.799999</v>
      </c>
      <c r="W88" s="80">
        <f t="shared" si="11"/>
        <v>48876.912202941174</v>
      </c>
      <c r="X88" s="80">
        <f t="shared" si="12"/>
        <v>24438.456101470587</v>
      </c>
      <c r="Y88" s="1388" t="str">
        <f>+IF(X88="","",IF(X88&gt;=[7]PARÁMETROS!$D$5,"CUMPLE","NO CUMPLE"))</f>
        <v>CUMPLE</v>
      </c>
      <c r="Z88" s="97"/>
    </row>
    <row r="89" spans="1:26" ht="100.5" thickBot="1">
      <c r="A89" s="1612"/>
      <c r="B89" s="1510"/>
      <c r="C89" s="19" t="s">
        <v>451</v>
      </c>
      <c r="D89" s="170">
        <v>18</v>
      </c>
      <c r="E89" s="101" t="str">
        <f>+IFERROR(INDEX([4]CONSOLIDADO!$D$4:$D$108,MATCH('Concur - Exp. Especifica'!C89,[4]CONSOLIDADO!$C$4:$C$108,0)),"")</f>
        <v>DIEGO FERNANDO FONSECA CHAVES</v>
      </c>
      <c r="F89" s="22" t="s">
        <v>1793</v>
      </c>
      <c r="G89" s="23" t="s">
        <v>583</v>
      </c>
      <c r="H89" s="1388" t="s">
        <v>22</v>
      </c>
      <c r="I89" s="1388" t="s">
        <v>129</v>
      </c>
      <c r="J89" s="1388" t="s">
        <v>22</v>
      </c>
      <c r="K89" s="1388" t="s">
        <v>129</v>
      </c>
      <c r="L89" s="24">
        <v>0.5</v>
      </c>
      <c r="M89" s="25">
        <v>40137</v>
      </c>
      <c r="N89" s="25">
        <v>41232</v>
      </c>
      <c r="O89" s="26">
        <f t="shared" si="9"/>
        <v>2012</v>
      </c>
      <c r="P89" s="27">
        <f>+IFERROR(INDEX([7]PARÁMETROS!$B$11:$B$37,MATCH(O89,[7]PARÁMETROS!$A$11:$A$37,0)),"")</f>
        <v>566700</v>
      </c>
      <c r="Q89" s="28">
        <v>4761160509</v>
      </c>
      <c r="R89" s="29" t="s">
        <v>1801</v>
      </c>
      <c r="S89" s="19" t="s">
        <v>140</v>
      </c>
      <c r="T89" s="30" t="s">
        <v>140</v>
      </c>
      <c r="U89" s="31">
        <v>1</v>
      </c>
      <c r="V89" s="27">
        <f t="shared" si="10"/>
        <v>4761160509</v>
      </c>
      <c r="W89" s="16">
        <f t="shared" si="11"/>
        <v>8401.5537480148232</v>
      </c>
      <c r="X89" s="16">
        <f t="shared" si="12"/>
        <v>4200.7768740074116</v>
      </c>
      <c r="Y89" s="1388" t="str">
        <f>+IF(X89="","",IF(X89&gt;=[7]PARÁMETROS!$D$5,"CUMPLE","NO CUMPLE"))</f>
        <v>CUMPLE</v>
      </c>
      <c r="Z89" s="97"/>
    </row>
    <row r="90" spans="1:26" ht="129" thickBot="1">
      <c r="A90" s="1612"/>
      <c r="B90" s="1510"/>
      <c r="C90" s="19" t="s">
        <v>451</v>
      </c>
      <c r="D90" s="170">
        <v>54</v>
      </c>
      <c r="E90" s="101" t="str">
        <f>+IFERROR(INDEX([4]CONSOLIDADO!$D$4:$D$108,MATCH('Concur - Exp. Especifica'!C90,[4]CONSOLIDADO!$C$4:$C$108,0)),"")</f>
        <v>DIEGO FERNANDO FONSECA CHAVES</v>
      </c>
      <c r="F90" s="22" t="s">
        <v>1793</v>
      </c>
      <c r="G90" s="23" t="s">
        <v>587</v>
      </c>
      <c r="H90" s="1388" t="s">
        <v>22</v>
      </c>
      <c r="I90" s="1388" t="s">
        <v>129</v>
      </c>
      <c r="J90" s="1388" t="s">
        <v>22</v>
      </c>
      <c r="K90" s="1388" t="s">
        <v>129</v>
      </c>
      <c r="L90" s="24">
        <v>0.4</v>
      </c>
      <c r="M90" s="105">
        <v>40143</v>
      </c>
      <c r="N90" s="105">
        <v>41183</v>
      </c>
      <c r="O90" s="106">
        <f t="shared" si="9"/>
        <v>2012</v>
      </c>
      <c r="P90" s="107">
        <f>+IFERROR(INDEX([7]PARÁMETROS!$B$11:$B$37,MATCH(O90,[7]PARÁMETROS!$A$11:$A$37,0)),"")</f>
        <v>566700</v>
      </c>
      <c r="Q90" s="108">
        <v>4331349652</v>
      </c>
      <c r="R90" s="109" t="s">
        <v>1801</v>
      </c>
      <c r="S90" s="99" t="s">
        <v>140</v>
      </c>
      <c r="T90" s="110" t="s">
        <v>140</v>
      </c>
      <c r="U90" s="111">
        <v>1</v>
      </c>
      <c r="V90" s="107">
        <f t="shared" si="10"/>
        <v>4331349652</v>
      </c>
      <c r="W90" s="112">
        <f t="shared" si="11"/>
        <v>7643.1086147873657</v>
      </c>
      <c r="X90" s="112">
        <f t="shared" si="12"/>
        <v>3057.2434459149463</v>
      </c>
      <c r="Y90" s="1392" t="str">
        <f>+IF(X90="","",IF(X90&gt;=[7]PARÁMETROS!$D$5,"CUMPLE","NO CUMPLE"))</f>
        <v>CUMPLE</v>
      </c>
      <c r="Z90" s="97"/>
    </row>
    <row r="91" spans="1:26" ht="43.5" thickBot="1">
      <c r="A91" s="1612"/>
      <c r="B91" s="1509" t="s">
        <v>1820</v>
      </c>
      <c r="C91" s="81" t="s">
        <v>464</v>
      </c>
      <c r="D91" s="169"/>
      <c r="E91" s="101" t="str">
        <f>+IFERROR(INDEX([4]CONSOLIDADO!$D$4:$D$108,MATCH('Concur - Exp. Especifica'!C91,[4]CONSOLIDADO!$C$4:$C$108,0)),"")</f>
        <v>INTERVENTORIAS Y DISEÑOS S.A.</v>
      </c>
      <c r="F91" s="84" t="s">
        <v>493</v>
      </c>
      <c r="G91" s="85" t="s">
        <v>1822</v>
      </c>
      <c r="H91" s="1393" t="s">
        <v>22</v>
      </c>
      <c r="I91" s="1393" t="s">
        <v>129</v>
      </c>
      <c r="J91" s="1393" t="s">
        <v>22</v>
      </c>
      <c r="K91" s="1393" t="s">
        <v>129</v>
      </c>
      <c r="L91" s="86">
        <v>0.5</v>
      </c>
      <c r="M91" s="74">
        <v>37411</v>
      </c>
      <c r="N91" s="74">
        <v>38776</v>
      </c>
      <c r="O91" s="116">
        <f t="shared" si="9"/>
        <v>2006</v>
      </c>
      <c r="P91" s="75">
        <f>+IFERROR(INDEX([7]PARÁMETROS!$B$11:$B$37,MATCH(O91,[7]PARÁMETROS!$A$11:$A$37,0)),"")</f>
        <v>408000</v>
      </c>
      <c r="Q91" s="76">
        <v>3791186167</v>
      </c>
      <c r="R91" s="77" t="s">
        <v>1801</v>
      </c>
      <c r="S91" s="68" t="s">
        <v>140</v>
      </c>
      <c r="T91" s="78" t="s">
        <v>140</v>
      </c>
      <c r="U91" s="79">
        <v>1</v>
      </c>
      <c r="V91" s="75">
        <f t="shared" si="10"/>
        <v>3791186167</v>
      </c>
      <c r="W91" s="80">
        <f t="shared" si="11"/>
        <v>9292.1229583333334</v>
      </c>
      <c r="X91" s="80">
        <f t="shared" si="12"/>
        <v>4646.0614791666667</v>
      </c>
      <c r="Y91" s="1401" t="str">
        <f>+IF(X91="","",IF(X91&gt;=[7]PARÁMETROS!$D$5,"CUMPLE","NO CUMPLE"))</f>
        <v>CUMPLE</v>
      </c>
      <c r="Z91" s="96"/>
    </row>
    <row r="92" spans="1:26" ht="57.75" thickBot="1">
      <c r="A92" s="1612"/>
      <c r="B92" s="1510"/>
      <c r="C92" s="19" t="s">
        <v>464</v>
      </c>
      <c r="D92" s="170">
        <v>41</v>
      </c>
      <c r="E92" s="101" t="str">
        <f>+IFERROR(INDEX([4]CONSOLIDADO!$D$4:$D$108,MATCH('Concur - Exp. Especifica'!C92,[4]CONSOLIDADO!$C$4:$C$108,0)),"")</f>
        <v>INTERVENTORIAS Y DISEÑOS S.A.</v>
      </c>
      <c r="F92" s="22" t="s">
        <v>1793</v>
      </c>
      <c r="G92" s="23" t="s">
        <v>2380</v>
      </c>
      <c r="H92" s="1388" t="s">
        <v>22</v>
      </c>
      <c r="I92" s="1388" t="s">
        <v>22</v>
      </c>
      <c r="J92" s="1388" t="s">
        <v>22</v>
      </c>
      <c r="K92" s="1388" t="s">
        <v>129</v>
      </c>
      <c r="L92" s="24">
        <v>0.4</v>
      </c>
      <c r="M92" s="25">
        <v>37910</v>
      </c>
      <c r="N92" s="25">
        <v>40939</v>
      </c>
      <c r="O92" s="26">
        <f t="shared" si="9"/>
        <v>2012</v>
      </c>
      <c r="P92" s="27">
        <f>+IFERROR(INDEX([7]PARÁMETROS!$B$11:$B$37,MATCH(O92,[7]PARÁMETROS!$A$11:$A$37,0)),"")</f>
        <v>566700</v>
      </c>
      <c r="Q92" s="28">
        <v>11747944351</v>
      </c>
      <c r="R92" s="29" t="s">
        <v>1801</v>
      </c>
      <c r="S92" s="19" t="s">
        <v>140</v>
      </c>
      <c r="T92" s="30" t="s">
        <v>140</v>
      </c>
      <c r="U92" s="31">
        <v>1</v>
      </c>
      <c r="V92" s="27">
        <f t="shared" si="10"/>
        <v>11747944351</v>
      </c>
      <c r="W92" s="16">
        <f t="shared" si="11"/>
        <v>20730.447063702137</v>
      </c>
      <c r="X92" s="16">
        <f t="shared" si="12"/>
        <v>8292.1788254808544</v>
      </c>
      <c r="Y92" s="1388" t="str">
        <f>+IF(X92="","",IF(X92&gt;=[7]PARÁMETROS!$D$5,"CUMPLE","NO CUMPLE"))</f>
        <v>CUMPLE</v>
      </c>
      <c r="Z92" s="97"/>
    </row>
    <row r="93" spans="1:26" ht="48" thickBot="1">
      <c r="A93" s="1612"/>
      <c r="B93" s="1510"/>
      <c r="C93" s="19" t="s">
        <v>1823</v>
      </c>
      <c r="D93" s="170">
        <v>173</v>
      </c>
      <c r="E93" s="101" t="str">
        <f>+IFERROR(INDEX([4]CONSOLIDADO!$D$4:$D$108,MATCH('Concur - Exp. Especifica'!C93,[4]CONSOLIDADO!$C$4:$C$108,0)),"")</f>
        <v>ESTRUCTURADOR COLOMBIA S.A.S.</v>
      </c>
      <c r="F93" s="22" t="s">
        <v>493</v>
      </c>
      <c r="G93" s="23" t="s">
        <v>1824</v>
      </c>
      <c r="H93" s="1388" t="s">
        <v>22</v>
      </c>
      <c r="I93" s="1388" t="s">
        <v>129</v>
      </c>
      <c r="J93" s="1388" t="s">
        <v>22</v>
      </c>
      <c r="K93" s="1388" t="s">
        <v>129</v>
      </c>
      <c r="L93" s="24">
        <v>0.15</v>
      </c>
      <c r="M93" s="25">
        <v>40487</v>
      </c>
      <c r="N93" s="25" t="s">
        <v>440</v>
      </c>
      <c r="O93" s="26">
        <v>2015</v>
      </c>
      <c r="P93" s="27">
        <f>+IFERROR(INDEX([7]PARÁMETROS!$B$11:$B$37,MATCH(O93,[7]PARÁMETROS!$A$11:$A$37,0)),"")</f>
        <v>644350</v>
      </c>
      <c r="Q93" s="28">
        <v>25305101612</v>
      </c>
      <c r="R93" s="29" t="s">
        <v>1801</v>
      </c>
      <c r="S93" s="19" t="s">
        <v>140</v>
      </c>
      <c r="T93" s="30" t="s">
        <v>140</v>
      </c>
      <c r="U93" s="31">
        <v>1</v>
      </c>
      <c r="V93" s="27">
        <f t="shared" si="10"/>
        <v>25305101612</v>
      </c>
      <c r="W93" s="16">
        <f t="shared" si="11"/>
        <v>39272.292406300927</v>
      </c>
      <c r="X93" s="16">
        <f t="shared" si="12"/>
        <v>5890.8438609451387</v>
      </c>
      <c r="Y93" s="1388" t="str">
        <f>+IF(X93="","",IF(X93&gt;=[7]PARÁMETROS!$D$5,"CUMPLE","NO CUMPLE"))</f>
        <v>CUMPLE</v>
      </c>
      <c r="Z93" s="97"/>
    </row>
    <row r="94" spans="1:26" ht="57.75" thickBot="1">
      <c r="A94" s="1612"/>
      <c r="B94" s="1510"/>
      <c r="C94" s="19" t="s">
        <v>464</v>
      </c>
      <c r="D94" s="170">
        <v>180</v>
      </c>
      <c r="E94" s="101" t="str">
        <f>+IFERROR(INDEX([4]CONSOLIDADO!$D$4:$D$108,MATCH('Concur - Exp. Especifica'!C94,[4]CONSOLIDADO!$C$4:$C$108,0)),"")</f>
        <v>INTERVENTORIAS Y DISEÑOS S.A.</v>
      </c>
      <c r="F94" s="44" t="s">
        <v>355</v>
      </c>
      <c r="G94" s="45" t="s">
        <v>1821</v>
      </c>
      <c r="H94" s="1388" t="s">
        <v>22</v>
      </c>
      <c r="I94" s="1388" t="s">
        <v>129</v>
      </c>
      <c r="J94" s="1388" t="s">
        <v>22</v>
      </c>
      <c r="K94" s="1388" t="s">
        <v>129</v>
      </c>
      <c r="L94" s="46">
        <v>1</v>
      </c>
      <c r="M94" s="47">
        <v>39934</v>
      </c>
      <c r="N94" s="47">
        <v>40724</v>
      </c>
      <c r="O94" s="26">
        <f t="shared" si="9"/>
        <v>2011</v>
      </c>
      <c r="P94" s="27">
        <f>+IFERROR(INDEX([7]PARÁMETROS!$B$11:$B$37,MATCH(O94,[7]PARÁMETROS!$A$11:$A$37,0)),"")</f>
        <v>535600</v>
      </c>
      <c r="Q94" s="48">
        <v>9389034669</v>
      </c>
      <c r="R94" s="49" t="s">
        <v>1801</v>
      </c>
      <c r="S94" s="19" t="s">
        <v>140</v>
      </c>
      <c r="T94" s="30" t="s">
        <v>140</v>
      </c>
      <c r="U94" s="31">
        <v>1</v>
      </c>
      <c r="V94" s="27">
        <f t="shared" si="10"/>
        <v>9389034669</v>
      </c>
      <c r="W94" s="16">
        <f t="shared" si="11"/>
        <v>17529.937768857355</v>
      </c>
      <c r="X94" s="16">
        <f t="shared" si="12"/>
        <v>17529.937768857355</v>
      </c>
      <c r="Y94" s="1392" t="str">
        <f>+IF(X94="","",IF(X94&gt;=[7]PARÁMETROS!$D$5,"CUMPLE","NO CUMPLE"))</f>
        <v>CUMPLE</v>
      </c>
      <c r="Z94" s="98"/>
    </row>
    <row r="95" spans="1:26" ht="171.75" thickBot="1">
      <c r="A95" s="1612"/>
      <c r="B95" s="1509" t="s">
        <v>1825</v>
      </c>
      <c r="C95" s="233" t="s">
        <v>473</v>
      </c>
      <c r="D95" s="234">
        <v>6</v>
      </c>
      <c r="E95" s="101" t="str">
        <f>+IFERROR(INDEX([4]CONSOLIDADO!$D$4:$D$108,MATCH('Concur - Exp. Especifica'!C95,[4]CONSOLIDADO!$C$4:$C$108,0)),"")</f>
        <v>GRUSAMAR INGENIERIA Y CONSULTING SL SUCURSAL EN COLOMBIA</v>
      </c>
      <c r="F95" s="235" t="s">
        <v>517</v>
      </c>
      <c r="G95" s="236" t="s">
        <v>1826</v>
      </c>
      <c r="H95" s="1397" t="s">
        <v>22</v>
      </c>
      <c r="I95" s="1397" t="s">
        <v>22</v>
      </c>
      <c r="J95" s="1397" t="s">
        <v>22</v>
      </c>
      <c r="K95" s="1397" t="s">
        <v>129</v>
      </c>
      <c r="L95" s="237">
        <v>0.35</v>
      </c>
      <c r="M95" s="238">
        <v>41075</v>
      </c>
      <c r="N95" s="238" t="s">
        <v>1781</v>
      </c>
      <c r="O95" s="239">
        <v>2015</v>
      </c>
      <c r="P95" s="240">
        <f>+IFERROR(INDEX([8]PARÁMETROS!$B$11:$B$37,MATCH(O95,[8]PARÁMETROS!$A$11:$A$37,0)),"")</f>
        <v>644350</v>
      </c>
      <c r="Q95" s="241">
        <v>7418064916</v>
      </c>
      <c r="R95" s="242" t="s">
        <v>1801</v>
      </c>
      <c r="S95" s="233" t="s">
        <v>140</v>
      </c>
      <c r="T95" s="243" t="s">
        <v>140</v>
      </c>
      <c r="U95" s="244">
        <v>1</v>
      </c>
      <c r="V95" s="240">
        <f t="shared" si="10"/>
        <v>7418064916</v>
      </c>
      <c r="W95" s="245">
        <f t="shared" si="11"/>
        <v>11512.477560332118</v>
      </c>
      <c r="X95" s="245">
        <f t="shared" si="12"/>
        <v>4029.3671461162407</v>
      </c>
      <c r="Y95" s="1400" t="str">
        <f>+IF(X95="","",IF(X95&gt;=[7]PARÁMETROS!$D$5,"CUMPLE","NO CUMPLE"))</f>
        <v>CUMPLE</v>
      </c>
      <c r="Z95" s="96"/>
    </row>
    <row r="96" spans="1:26" ht="79.5" thickBot="1">
      <c r="A96" s="1612"/>
      <c r="B96" s="1510"/>
      <c r="C96" s="19" t="s">
        <v>473</v>
      </c>
      <c r="D96" s="170">
        <v>53</v>
      </c>
      <c r="E96" s="101" t="str">
        <f>+IFERROR(INDEX([4]CONSOLIDADO!$D$4:$D$108,MATCH('Concur - Exp. Especifica'!C96,[4]CONSOLIDADO!$C$4:$C$108,0)),"")</f>
        <v>GRUSAMAR INGENIERIA Y CONSULTING SL SUCURSAL EN COLOMBIA</v>
      </c>
      <c r="F96" s="22" t="s">
        <v>214</v>
      </c>
      <c r="G96" s="23" t="s">
        <v>1827</v>
      </c>
      <c r="H96" s="1388" t="s">
        <v>22</v>
      </c>
      <c r="I96" s="1388" t="s">
        <v>129</v>
      </c>
      <c r="J96" s="1388" t="s">
        <v>22</v>
      </c>
      <c r="K96" s="1388" t="s">
        <v>129</v>
      </c>
      <c r="L96" s="24">
        <v>1</v>
      </c>
      <c r="M96" s="25">
        <v>39295</v>
      </c>
      <c r="N96" s="25">
        <v>40209</v>
      </c>
      <c r="O96" s="26">
        <f>IF(N96="","",YEAR(N96))</f>
        <v>2010</v>
      </c>
      <c r="P96" s="27">
        <f>+IFERROR(INDEX([7]PARÁMETROS!$B$11:$B$37,MATCH(O96,[7]PARÁMETROS!$A$11:$A$37,0)),"")</f>
        <v>515000</v>
      </c>
      <c r="Q96" s="28">
        <v>1403754.99</v>
      </c>
      <c r="R96" s="29" t="s">
        <v>142</v>
      </c>
      <c r="S96" s="19">
        <v>1.38575</v>
      </c>
      <c r="T96" s="30">
        <f>+Q96*S96</f>
        <v>1945253.4773925</v>
      </c>
      <c r="U96" s="31">
        <v>1982.29</v>
      </c>
      <c r="V96" s="27">
        <f>IF(U96&lt;&gt;"",T96*U96,"")</f>
        <v>3856056515.7003789</v>
      </c>
      <c r="W96" s="16">
        <f t="shared" si="11"/>
        <v>7487.4883800007356</v>
      </c>
      <c r="X96" s="16">
        <f t="shared" si="12"/>
        <v>7487.4883800007356</v>
      </c>
      <c r="Y96" s="1388" t="str">
        <f>+IF(X96="","",IF(X96&gt;=[7]PARÁMETROS!$D$5,"CUMPLE","NO CUMPLE"))</f>
        <v>CUMPLE</v>
      </c>
      <c r="Z96" s="97"/>
    </row>
    <row r="97" spans="1:26" ht="79.5" thickBot="1">
      <c r="A97" s="1612"/>
      <c r="B97" s="1510"/>
      <c r="C97" s="19" t="s">
        <v>473</v>
      </c>
      <c r="D97" s="170">
        <v>58</v>
      </c>
      <c r="E97" s="101" t="str">
        <f>+IFERROR(INDEX([4]CONSOLIDADO!$D$4:$D$108,MATCH('Concur - Exp. Especifica'!C97,[4]CONSOLIDADO!$C$4:$C$108,0)),"")</f>
        <v>GRUSAMAR INGENIERIA Y CONSULTING SL SUCURSAL EN COLOMBIA</v>
      </c>
      <c r="F97" s="22" t="s">
        <v>214</v>
      </c>
      <c r="G97" s="23" t="s">
        <v>1828</v>
      </c>
      <c r="H97" s="1388" t="s">
        <v>22</v>
      </c>
      <c r="I97" s="1388" t="s">
        <v>129</v>
      </c>
      <c r="J97" s="1388" t="s">
        <v>22</v>
      </c>
      <c r="K97" s="1388" t="s">
        <v>129</v>
      </c>
      <c r="L97" s="24">
        <v>1</v>
      </c>
      <c r="M97" s="25">
        <v>39385</v>
      </c>
      <c r="N97" s="25">
        <v>41182</v>
      </c>
      <c r="O97" s="26">
        <f>IF(N97="","",YEAR(N97))</f>
        <v>2012</v>
      </c>
      <c r="P97" s="27">
        <f>+IFERROR(INDEX([7]PARÁMETROS!$B$11:$B$37,MATCH(O97,[7]PARÁMETROS!$A$11:$A$37,0)),"")</f>
        <v>566700</v>
      </c>
      <c r="Q97" s="28">
        <v>1943712.48</v>
      </c>
      <c r="R97" s="29" t="s">
        <v>142</v>
      </c>
      <c r="S97" s="19">
        <v>1.2855399999999999</v>
      </c>
      <c r="T97" s="30">
        <f>+Q97*S97</f>
        <v>2498720.1415391997</v>
      </c>
      <c r="U97" s="31">
        <v>1800.52</v>
      </c>
      <c r="V97" s="27">
        <f>IF(U97&lt;&gt;"",T97*U97,"")</f>
        <v>4498995589.2441597</v>
      </c>
      <c r="W97" s="16">
        <f t="shared" si="11"/>
        <v>7938.9369847258858</v>
      </c>
      <c r="X97" s="16">
        <f t="shared" si="12"/>
        <v>7938.9369847258858</v>
      </c>
      <c r="Y97" s="1388" t="str">
        <f>+IF(X97="","",IF(X97&gt;=[7]PARÁMETROS!$D$5,"CUMPLE","NO CUMPLE"))</f>
        <v>CUMPLE</v>
      </c>
      <c r="Z97" s="97"/>
    </row>
    <row r="98" spans="1:26" ht="57.75" thickBot="1">
      <c r="A98" s="1612"/>
      <c r="B98" s="1510"/>
      <c r="C98" s="19" t="s">
        <v>1829</v>
      </c>
      <c r="D98" s="170">
        <v>63</v>
      </c>
      <c r="E98" s="101" t="str">
        <f>+IFERROR(INDEX([4]CONSOLIDADO!$D$4:$D$108,MATCH('Concur - Exp. Especifica'!C98,[4]CONSOLIDADO!$C$4:$C$108,0)),"")</f>
        <v>JUAN AMADO LIZARAZO</v>
      </c>
      <c r="F98" s="22" t="s">
        <v>493</v>
      </c>
      <c r="G98" s="23" t="s">
        <v>1830</v>
      </c>
      <c r="H98" s="1388" t="s">
        <v>22</v>
      </c>
      <c r="I98" s="1388" t="s">
        <v>129</v>
      </c>
      <c r="J98" s="1388" t="s">
        <v>22</v>
      </c>
      <c r="K98" s="1388" t="s">
        <v>129</v>
      </c>
      <c r="L98" s="24">
        <v>0.75</v>
      </c>
      <c r="M98" s="25">
        <v>38327</v>
      </c>
      <c r="N98" s="25">
        <v>40668</v>
      </c>
      <c r="O98" s="26">
        <f>IF(N98="","",YEAR(N98))</f>
        <v>2011</v>
      </c>
      <c r="P98" s="27">
        <f>+IFERROR(INDEX([7]PARÁMETROS!$B$11:$B$37,MATCH(O98,[7]PARÁMETROS!$A$11:$A$37,0)),"")</f>
        <v>535600</v>
      </c>
      <c r="Q98" s="28">
        <v>6564670351</v>
      </c>
      <c r="R98" s="29" t="s">
        <v>1801</v>
      </c>
      <c r="S98" s="19" t="s">
        <v>140</v>
      </c>
      <c r="T98" s="30" t="s">
        <v>140</v>
      </c>
      <c r="U98" s="31">
        <v>1</v>
      </c>
      <c r="V98" s="27">
        <f>IF(U98&lt;&gt;"",Q98*U98,"")</f>
        <v>6564670351</v>
      </c>
      <c r="W98" s="16">
        <f t="shared" si="11"/>
        <v>12256.66607729649</v>
      </c>
      <c r="X98" s="16">
        <f t="shared" si="12"/>
        <v>9192.4995579723673</v>
      </c>
      <c r="Y98" s="1392" t="str">
        <f>+IF(X98="","",IF(X98&gt;=[7]PARÁMETROS!$D$5,"CUMPLE","NO CUMPLE"))</f>
        <v>CUMPLE</v>
      </c>
      <c r="Z98" s="97"/>
    </row>
    <row r="99" spans="1:26" ht="57.75" thickBot="1">
      <c r="A99" s="1612"/>
      <c r="B99" s="1509" t="s">
        <v>1831</v>
      </c>
      <c r="C99" s="81" t="s">
        <v>477</v>
      </c>
      <c r="D99" s="82"/>
      <c r="E99" s="101" t="str">
        <f>+IFERROR(INDEX([4]CONSOLIDADO!$D$4:$D$108,MATCH('Concur - Exp. Especifica'!C99,[4]CONSOLIDADO!$C$4:$C$108,0)),"")</f>
        <v>JOYCO</v>
      </c>
      <c r="F99" s="84" t="s">
        <v>442</v>
      </c>
      <c r="G99" s="85" t="s">
        <v>1832</v>
      </c>
      <c r="H99" s="1393" t="s">
        <v>22</v>
      </c>
      <c r="I99" s="1393" t="s">
        <v>22</v>
      </c>
      <c r="J99" s="1393" t="s">
        <v>22</v>
      </c>
      <c r="K99" s="1393" t="s">
        <v>129</v>
      </c>
      <c r="L99" s="86">
        <v>1</v>
      </c>
      <c r="M99" s="87">
        <v>38321</v>
      </c>
      <c r="N99" s="87">
        <v>39901</v>
      </c>
      <c r="O99" s="88">
        <f>IF(N99="","",YEAR(N99))</f>
        <v>2009</v>
      </c>
      <c r="P99" s="89">
        <f>+IFERROR(INDEX([9]PARÁMETROS!$B$11:$B$37,MATCH(O99,[9]PARÁMETROS!$A$11:$A$37,0)),"")</f>
        <v>496900</v>
      </c>
      <c r="Q99" s="90">
        <v>1676200327</v>
      </c>
      <c r="R99" s="91" t="s">
        <v>151</v>
      </c>
      <c r="S99" s="81" t="s">
        <v>140</v>
      </c>
      <c r="T99" s="92" t="s">
        <v>140</v>
      </c>
      <c r="U99" s="93">
        <v>1</v>
      </c>
      <c r="V99" s="89">
        <f>IF(U99&lt;&gt;"",Q99*U99,"")</f>
        <v>1676200327</v>
      </c>
      <c r="W99" s="94">
        <f>+IFERROR(V99/P99,"")</f>
        <v>3373.3152082914066</v>
      </c>
      <c r="X99" s="94">
        <f>IFERROR(W99*L99,"")</f>
        <v>3373.3152082914066</v>
      </c>
      <c r="Y99" s="1400" t="str">
        <f>+IF(X99="","",IF(X99&gt;=[9]PARÁMETROS!$J$5,"CUMPLE","NO CUMPLE"))</f>
        <v>CUMPLE</v>
      </c>
      <c r="Z99" s="96"/>
    </row>
    <row r="100" spans="1:26" ht="86.25" thickBot="1">
      <c r="A100" s="1612"/>
      <c r="B100" s="1510"/>
      <c r="C100" s="19" t="s">
        <v>477</v>
      </c>
      <c r="D100" s="20"/>
      <c r="E100" s="101" t="str">
        <f>+IFERROR(INDEX([4]CONSOLIDADO!$D$4:$D$108,MATCH('Concur - Exp. Especifica'!C100,[4]CONSOLIDADO!$C$4:$C$108,0)),"")</f>
        <v>JOYCO</v>
      </c>
      <c r="F100" s="22" t="s">
        <v>1833</v>
      </c>
      <c r="G100" s="22" t="s">
        <v>1834</v>
      </c>
      <c r="H100" s="1388" t="s">
        <v>22</v>
      </c>
      <c r="I100" s="1388" t="s">
        <v>129</v>
      </c>
      <c r="J100" s="1388" t="s">
        <v>22</v>
      </c>
      <c r="K100" s="1388" t="s">
        <v>129</v>
      </c>
      <c r="L100" s="34">
        <v>1</v>
      </c>
      <c r="M100" s="25">
        <v>38658</v>
      </c>
      <c r="N100" s="25">
        <v>39813</v>
      </c>
      <c r="O100" s="26">
        <f t="shared" ref="O100:O130" si="13">IF(N100="","",YEAR(N100))</f>
        <v>2008</v>
      </c>
      <c r="P100" s="27">
        <f>+IFERROR(INDEX([9]PARÁMETROS!$B$11:$B$37,MATCH(O100,[9]PARÁMETROS!$A$11:$A$37,0)),"")</f>
        <v>461500</v>
      </c>
      <c r="Q100" s="35">
        <v>2904906735</v>
      </c>
      <c r="R100" s="27" t="s">
        <v>151</v>
      </c>
      <c r="S100" s="19" t="s">
        <v>140</v>
      </c>
      <c r="T100" s="30" t="s">
        <v>140</v>
      </c>
      <c r="U100" s="31">
        <v>1</v>
      </c>
      <c r="V100" s="27">
        <f t="shared" ref="V100:V130" si="14">IF(U100&lt;&gt;"",Q100*U100,"")</f>
        <v>2904906735</v>
      </c>
      <c r="W100" s="16">
        <f t="shared" ref="W100:W130" si="15">+IFERROR(V100/P100,"")</f>
        <v>6294.4891332611051</v>
      </c>
      <c r="X100" s="16">
        <f t="shared" ref="X100:X130" si="16">IFERROR(W100*L100,"")</f>
        <v>6294.4891332611051</v>
      </c>
      <c r="Y100" s="1388" t="str">
        <f>+IF(X100="","",IF(X100&gt;=[9]PARÁMETROS!$J$5,"CUMPLE","NO CUMPLE"))</f>
        <v>CUMPLE</v>
      </c>
      <c r="Z100" s="97"/>
    </row>
    <row r="101" spans="1:26" ht="100.5" thickBot="1">
      <c r="A101" s="1612"/>
      <c r="B101" s="1510"/>
      <c r="C101" s="19" t="s">
        <v>477</v>
      </c>
      <c r="D101" s="20"/>
      <c r="E101" s="101" t="str">
        <f>+IFERROR(INDEX([4]CONSOLIDADO!$D$4:$D$108,MATCH('Concur - Exp. Especifica'!C101,[4]CONSOLIDADO!$C$4:$C$108,0)),"")</f>
        <v>JOYCO</v>
      </c>
      <c r="F101" s="22" t="s">
        <v>1833</v>
      </c>
      <c r="G101" s="23" t="s">
        <v>959</v>
      </c>
      <c r="H101" s="1388" t="s">
        <v>22</v>
      </c>
      <c r="I101" s="1388" t="s">
        <v>129</v>
      </c>
      <c r="J101" s="1388" t="s">
        <v>22</v>
      </c>
      <c r="K101" s="1388" t="s">
        <v>129</v>
      </c>
      <c r="L101" s="24">
        <v>1</v>
      </c>
      <c r="M101" s="25">
        <v>38673</v>
      </c>
      <c r="N101" s="25">
        <v>39675</v>
      </c>
      <c r="O101" s="26">
        <f t="shared" si="13"/>
        <v>2008</v>
      </c>
      <c r="P101" s="27">
        <f>+IFERROR(INDEX([9]PARÁMETROS!$B$11:$B$37,MATCH(O101,[9]PARÁMETROS!$A$11:$A$37,0)),"")</f>
        <v>461500</v>
      </c>
      <c r="Q101" s="28">
        <v>2205036734</v>
      </c>
      <c r="R101" s="29" t="s">
        <v>151</v>
      </c>
      <c r="S101" s="19" t="s">
        <v>140</v>
      </c>
      <c r="T101" s="30" t="s">
        <v>140</v>
      </c>
      <c r="U101" s="31">
        <v>1</v>
      </c>
      <c r="V101" s="27">
        <f t="shared" si="14"/>
        <v>2205036734</v>
      </c>
      <c r="W101" s="16">
        <f t="shared" si="15"/>
        <v>4777.9777551462621</v>
      </c>
      <c r="X101" s="16">
        <f t="shared" si="16"/>
        <v>4777.9777551462621</v>
      </c>
      <c r="Y101" s="1388" t="str">
        <f>+IF(X101="","",IF(X101&gt;=[9]PARÁMETROS!$J$5,"CUMPLE","NO CUMPLE"))</f>
        <v>CUMPLE</v>
      </c>
      <c r="Z101" s="98"/>
    </row>
    <row r="102" spans="1:26" ht="100.5" thickBot="1">
      <c r="A102" s="1612"/>
      <c r="B102" s="1511"/>
      <c r="C102" s="99" t="s">
        <v>477</v>
      </c>
      <c r="D102" s="123"/>
      <c r="E102" s="101" t="str">
        <f>+IFERROR(INDEX([4]CONSOLIDADO!$D$4:$D$108,MATCH('Concur - Exp. Especifica'!C102,[4]CONSOLIDADO!$C$4:$C$108,0)),"")</f>
        <v>JOYCO</v>
      </c>
      <c r="F102" s="102" t="s">
        <v>1833</v>
      </c>
      <c r="G102" s="103" t="s">
        <v>769</v>
      </c>
      <c r="H102" s="1392" t="s">
        <v>22</v>
      </c>
      <c r="I102" s="1392" t="s">
        <v>129</v>
      </c>
      <c r="J102" s="1392" t="s">
        <v>22</v>
      </c>
      <c r="K102" s="1392" t="s">
        <v>129</v>
      </c>
      <c r="L102" s="104">
        <v>0.5</v>
      </c>
      <c r="M102" s="105">
        <v>39778</v>
      </c>
      <c r="N102" s="105">
        <v>41374</v>
      </c>
      <c r="O102" s="106">
        <f t="shared" si="13"/>
        <v>2013</v>
      </c>
      <c r="P102" s="107">
        <f>+IFERROR(INDEX([9]PARÁMETROS!$B$11:$B$37,MATCH(O102,[9]PARÁMETROS!$A$11:$A$37,0)),"")</f>
        <v>589500</v>
      </c>
      <c r="Q102" s="108">
        <v>5413567912</v>
      </c>
      <c r="R102" s="109" t="s">
        <v>151</v>
      </c>
      <c r="S102" s="99" t="s">
        <v>140</v>
      </c>
      <c r="T102" s="110" t="s">
        <v>140</v>
      </c>
      <c r="U102" s="111">
        <v>1</v>
      </c>
      <c r="V102" s="107">
        <f t="shared" si="14"/>
        <v>5413567912</v>
      </c>
      <c r="W102" s="112">
        <f t="shared" si="15"/>
        <v>9183.321309584393</v>
      </c>
      <c r="X102" s="112">
        <f t="shared" si="16"/>
        <v>4591.6606547921965</v>
      </c>
      <c r="Y102" s="1392" t="str">
        <f>+IF(X102="","",IF(X102&gt;=[9]PARÁMETROS!$D$5,"CUMPLE","NO CUMPLE"))</f>
        <v>CUMPLE</v>
      </c>
      <c r="Z102" s="124"/>
    </row>
    <row r="103" spans="1:26" ht="63.75" thickBot="1">
      <c r="A103" s="1612"/>
      <c r="B103" s="1605" t="s">
        <v>1838</v>
      </c>
      <c r="C103" s="68" t="s">
        <v>488</v>
      </c>
      <c r="D103" s="185">
        <v>11</v>
      </c>
      <c r="E103" s="101" t="str">
        <f>+IFERROR(INDEX([4]CONSOLIDADO!$D$4:$D$108,MATCH('Concur - Exp. Especifica'!C103,[4]CONSOLIDADO!$C$4:$C$108,0)),"")</f>
        <v>INGEANDINA CONSULTORES DE INGENIERIA S.A.S.</v>
      </c>
      <c r="F103" s="71" t="s">
        <v>173</v>
      </c>
      <c r="G103" s="72" t="s">
        <v>1839</v>
      </c>
      <c r="H103" s="1394" t="s">
        <v>22</v>
      </c>
      <c r="I103" s="1394" t="s">
        <v>129</v>
      </c>
      <c r="J103" s="1394" t="s">
        <v>22</v>
      </c>
      <c r="K103" s="1394" t="s">
        <v>129</v>
      </c>
      <c r="L103" s="73">
        <v>1</v>
      </c>
      <c r="M103" s="74">
        <v>38049</v>
      </c>
      <c r="N103" s="74">
        <v>40545</v>
      </c>
      <c r="O103" s="116">
        <f t="shared" si="13"/>
        <v>2011</v>
      </c>
      <c r="P103" s="75">
        <f>+IFERROR(INDEX([9]PARÁMETROS!$B$11:$B$37,MATCH(O103,[9]PARÁMETROS!$A$11:$A$37,0)),"")</f>
        <v>535600</v>
      </c>
      <c r="Q103" s="76">
        <v>4478229438</v>
      </c>
      <c r="R103" s="77" t="s">
        <v>177</v>
      </c>
      <c r="S103" s="275">
        <v>2.1168008766057332E-3</v>
      </c>
      <c r="T103" s="276">
        <f>+Q103*S103</f>
        <v>9479520</v>
      </c>
      <c r="U103" s="276">
        <v>1913.98</v>
      </c>
      <c r="V103" s="203">
        <f>+T103*U103</f>
        <v>18143611689.599998</v>
      </c>
      <c r="W103" s="80">
        <f t="shared" si="15"/>
        <v>33875.301884988796</v>
      </c>
      <c r="X103" s="80">
        <f t="shared" si="16"/>
        <v>33875.301884988796</v>
      </c>
      <c r="Y103" s="1401" t="str">
        <f>+IF(X103="","",IF(X103&gt;=[9]PARÁMETROS!$D$5,"CUMPLE","NO CUMPLE"))</f>
        <v>CUMPLE</v>
      </c>
      <c r="Z103" s="122"/>
    </row>
    <row r="104" spans="1:26" ht="63.75" thickBot="1">
      <c r="A104" s="1612"/>
      <c r="B104" s="1510"/>
      <c r="C104" s="68" t="s">
        <v>488</v>
      </c>
      <c r="D104" s="170">
        <v>23</v>
      </c>
      <c r="E104" s="101" t="str">
        <f>+IFERROR(INDEX([4]CONSOLIDADO!$D$4:$D$108,MATCH('Concur - Exp. Especifica'!C104,[4]CONSOLIDADO!$C$4:$C$108,0)),"")</f>
        <v>INGEANDINA CONSULTORES DE INGENIERIA S.A.S.</v>
      </c>
      <c r="F104" s="22" t="s">
        <v>173</v>
      </c>
      <c r="G104" s="23" t="s">
        <v>1841</v>
      </c>
      <c r="H104" s="1388" t="s">
        <v>22</v>
      </c>
      <c r="I104" s="1388" t="s">
        <v>129</v>
      </c>
      <c r="J104" s="1388" t="s">
        <v>22</v>
      </c>
      <c r="K104" s="1388" t="s">
        <v>129</v>
      </c>
      <c r="L104" s="24">
        <v>0.25</v>
      </c>
      <c r="M104" s="25">
        <v>36363</v>
      </c>
      <c r="N104" s="25">
        <v>37843</v>
      </c>
      <c r="O104" s="26">
        <f t="shared" si="13"/>
        <v>2003</v>
      </c>
      <c r="P104" s="27">
        <f>+IFERROR(INDEX([9]PARÁMETROS!$B$11:$B$37,MATCH(O104,[9]PARÁMETROS!$A$11:$A$37,0)),"")</f>
        <v>332000</v>
      </c>
      <c r="Q104" s="28">
        <v>6541364.1500000004</v>
      </c>
      <c r="R104" s="77" t="s">
        <v>179</v>
      </c>
      <c r="S104" s="276">
        <v>1</v>
      </c>
      <c r="T104" s="276">
        <f>+Q104</f>
        <v>6541364.1500000004</v>
      </c>
      <c r="U104" s="276">
        <v>2875.18</v>
      </c>
      <c r="V104" s="279">
        <f>+T104*U104</f>
        <v>18807599376.797001</v>
      </c>
      <c r="W104" s="16">
        <f t="shared" si="15"/>
        <v>56649.395713243975</v>
      </c>
      <c r="X104" s="16">
        <f t="shared" si="16"/>
        <v>14162.348928310994</v>
      </c>
      <c r="Y104" s="1388" t="str">
        <f>+IF(X104="","",IF(X104&gt;=[9]PARÁMETROS!$D$5,"CUMPLE","NO CUMPLE"))</f>
        <v>CUMPLE</v>
      </c>
      <c r="Z104" s="97"/>
    </row>
    <row r="105" spans="1:26" ht="63.75" thickBot="1">
      <c r="A105" s="1612"/>
      <c r="B105" s="1510"/>
      <c r="C105" s="68" t="s">
        <v>488</v>
      </c>
      <c r="D105" s="170">
        <v>31</v>
      </c>
      <c r="E105" s="101" t="str">
        <f>+IFERROR(INDEX([4]CONSOLIDADO!$D$4:$D$108,MATCH('Concur - Exp. Especifica'!C105,[4]CONSOLIDADO!$C$4:$C$108,0)),"")</f>
        <v>INGEANDINA CONSULTORES DE INGENIERIA S.A.S.</v>
      </c>
      <c r="F105" s="22" t="s">
        <v>517</v>
      </c>
      <c r="G105" s="23" t="s">
        <v>2381</v>
      </c>
      <c r="H105" s="1388" t="s">
        <v>22</v>
      </c>
      <c r="I105" s="1388" t="s">
        <v>22</v>
      </c>
      <c r="J105" s="1388" t="s">
        <v>22</v>
      </c>
      <c r="K105" s="1388" t="s">
        <v>129</v>
      </c>
      <c r="L105" s="24">
        <v>0.6</v>
      </c>
      <c r="M105" s="25">
        <v>41187</v>
      </c>
      <c r="N105" s="25" t="s">
        <v>440</v>
      </c>
      <c r="O105" s="26">
        <v>2015</v>
      </c>
      <c r="P105" s="27">
        <f>+IFERROR(INDEX([9]PARÁMETROS!$B$11:$B$37,MATCH(O105,[9]PARÁMETROS!$A$11:$A$37,0)),"")</f>
        <v>644350</v>
      </c>
      <c r="Q105" s="28">
        <f>4813002463+89102244</f>
        <v>4902104707</v>
      </c>
      <c r="R105" s="29" t="s">
        <v>151</v>
      </c>
      <c r="S105" s="19" t="s">
        <v>140</v>
      </c>
      <c r="T105" s="30" t="s">
        <v>140</v>
      </c>
      <c r="U105" s="31">
        <v>1</v>
      </c>
      <c r="V105" s="27">
        <f t="shared" si="14"/>
        <v>4902104707</v>
      </c>
      <c r="W105" s="16">
        <f t="shared" si="15"/>
        <v>7607.8291409948006</v>
      </c>
      <c r="X105" s="16">
        <f t="shared" si="16"/>
        <v>4564.6974845968798</v>
      </c>
      <c r="Y105" s="1388" t="str">
        <f>+IF(X105="","",IF(X105&gt;=[9]PARÁMETROS!$D$5,"CUMPLE","NO CUMPLE"))</f>
        <v>CUMPLE</v>
      </c>
      <c r="Z105" s="97"/>
    </row>
    <row r="106" spans="1:26" ht="79.5" thickBot="1">
      <c r="A106" s="1612"/>
      <c r="B106" s="1510"/>
      <c r="C106" s="68" t="s">
        <v>490</v>
      </c>
      <c r="D106" s="170">
        <v>36</v>
      </c>
      <c r="E106" s="101" t="str">
        <f>+IFERROR(INDEX([4]CONSOLIDADO!$D$4:$D$108,MATCH('Concur - Exp. Especifica'!C106,[4]CONSOLIDADO!$C$4:$C$108,0)),"")</f>
        <v>APPLUS NORCONTROL CONSULTORIA E INGENIERIA S.A.S.</v>
      </c>
      <c r="F106" s="22" t="s">
        <v>214</v>
      </c>
      <c r="G106" s="23" t="s">
        <v>1843</v>
      </c>
      <c r="H106" s="1388" t="s">
        <v>22</v>
      </c>
      <c r="I106" s="1388" t="s">
        <v>129</v>
      </c>
      <c r="J106" s="1388" t="s">
        <v>22</v>
      </c>
      <c r="K106" s="1388" t="s">
        <v>129</v>
      </c>
      <c r="L106" s="24">
        <v>1</v>
      </c>
      <c r="M106" s="25">
        <v>38322</v>
      </c>
      <c r="N106" s="25">
        <v>39233</v>
      </c>
      <c r="O106" s="26">
        <f t="shared" si="13"/>
        <v>2007</v>
      </c>
      <c r="P106" s="27">
        <f>+IFERROR(INDEX([9]PARÁMETROS!$B$11:$B$37,MATCH(O106,[9]PARÁMETROS!$A$11:$A$37,0)),"")</f>
        <v>433700</v>
      </c>
      <c r="Q106" s="177">
        <v>911227.35</v>
      </c>
      <c r="R106" s="109" t="s">
        <v>142</v>
      </c>
      <c r="S106" s="281">
        <v>1.3436600000000001</v>
      </c>
      <c r="T106" s="281">
        <f>+Q106*S106</f>
        <v>1224379.741101</v>
      </c>
      <c r="U106" s="282">
        <v>1930.74</v>
      </c>
      <c r="V106" s="279">
        <f>+T106*U106</f>
        <v>2363958941.3333449</v>
      </c>
      <c r="W106" s="16">
        <f t="shared" si="15"/>
        <v>5450.6777526708438</v>
      </c>
      <c r="X106" s="16">
        <f t="shared" si="16"/>
        <v>5450.6777526708438</v>
      </c>
      <c r="Y106" s="1392" t="str">
        <f>+IF(X106="","",IF(X106&gt;=[9]PARÁMETROS!$D$5,"CUMPLE","NO CUMPLE"))</f>
        <v>CUMPLE</v>
      </c>
      <c r="Z106" s="97"/>
    </row>
    <row r="107" spans="1:26" ht="57.75" thickBot="1">
      <c r="A107" s="1612"/>
      <c r="B107" s="1509" t="s">
        <v>1846</v>
      </c>
      <c r="C107" s="81" t="s">
        <v>498</v>
      </c>
      <c r="D107" s="169">
        <v>4</v>
      </c>
      <c r="E107" s="101" t="str">
        <f>+IFERROR(INDEX([4]CONSOLIDADO!$D$4:$D$108,MATCH('Concur - Exp. Especifica'!C107,[4]CONSOLIDADO!$C$4:$C$108,0)),"")</f>
        <v>CONSTRUCTORA A &amp; C SOCIEDAD ANONIMA</v>
      </c>
      <c r="F107" s="84" t="s">
        <v>517</v>
      </c>
      <c r="G107" s="85" t="s">
        <v>1847</v>
      </c>
      <c r="H107" s="1393" t="s">
        <v>129</v>
      </c>
      <c r="I107" s="1393" t="s">
        <v>22</v>
      </c>
      <c r="J107" s="1393" t="s">
        <v>22</v>
      </c>
      <c r="K107" s="1393" t="s">
        <v>129</v>
      </c>
      <c r="L107" s="86">
        <v>0.5</v>
      </c>
      <c r="M107" s="87">
        <v>39595</v>
      </c>
      <c r="N107" s="87" t="s">
        <v>440</v>
      </c>
      <c r="O107" s="88">
        <v>2015</v>
      </c>
      <c r="P107" s="89">
        <f>+IFERROR(INDEX([9]PARÁMETROS!$B$11:$B$37,MATCH(O107,[9]PARÁMETROS!$A$11:$A$37,0)),"")</f>
        <v>644350</v>
      </c>
      <c r="Q107" s="90">
        <v>36074618420</v>
      </c>
      <c r="R107" s="77" t="s">
        <v>151</v>
      </c>
      <c r="S107" s="68" t="s">
        <v>140</v>
      </c>
      <c r="T107" s="78" t="s">
        <v>140</v>
      </c>
      <c r="U107" s="79">
        <v>1</v>
      </c>
      <c r="V107" s="89">
        <f t="shared" si="14"/>
        <v>36074618420</v>
      </c>
      <c r="W107" s="94">
        <f t="shared" si="15"/>
        <v>55986.061022736088</v>
      </c>
      <c r="X107" s="94">
        <f t="shared" si="16"/>
        <v>27993.030511368044</v>
      </c>
      <c r="Y107" s="1400" t="str">
        <f>+IF(X107="","",IF(X107&gt;=[9]PARÁMETROS!$D$5,"CUMPLE","NO CUMPLE"))</f>
        <v>CUMPLE</v>
      </c>
      <c r="Z107" s="96"/>
    </row>
    <row r="108" spans="1:26" ht="57.75" thickBot="1">
      <c r="A108" s="1612"/>
      <c r="B108" s="1510"/>
      <c r="C108" s="19" t="s">
        <v>503</v>
      </c>
      <c r="D108" s="170">
        <v>15</v>
      </c>
      <c r="E108" s="101" t="str">
        <f>+IFERROR(INDEX([4]CONSOLIDADO!$D$4:$D$108,MATCH('Concur - Exp. Especifica'!C108,[4]CONSOLIDADO!$C$4:$C$108,0)),"")</f>
        <v>COPEBA LTDA</v>
      </c>
      <c r="F108" s="22" t="s">
        <v>1833</v>
      </c>
      <c r="G108" s="22" t="s">
        <v>1850</v>
      </c>
      <c r="H108" s="1388" t="s">
        <v>22</v>
      </c>
      <c r="I108" s="1388" t="s">
        <v>129</v>
      </c>
      <c r="J108" s="1388" t="s">
        <v>22</v>
      </c>
      <c r="K108" s="1388" t="s">
        <v>129</v>
      </c>
      <c r="L108" s="34">
        <v>0.75</v>
      </c>
      <c r="M108" s="25">
        <v>38681</v>
      </c>
      <c r="N108" s="25">
        <v>40083</v>
      </c>
      <c r="O108" s="26">
        <f t="shared" si="13"/>
        <v>2009</v>
      </c>
      <c r="P108" s="27">
        <f>+IFERROR(INDEX([9]PARÁMETROS!$B$11:$B$37,MATCH(O108,[9]PARÁMETROS!$A$11:$A$37,0)),"")</f>
        <v>496900</v>
      </c>
      <c r="Q108" s="35">
        <v>2040507559</v>
      </c>
      <c r="R108" s="27" t="s">
        <v>151</v>
      </c>
      <c r="S108" s="19" t="s">
        <v>140</v>
      </c>
      <c r="T108" s="30" t="s">
        <v>140</v>
      </c>
      <c r="U108" s="31">
        <v>1</v>
      </c>
      <c r="V108" s="27">
        <f t="shared" si="14"/>
        <v>2040507559</v>
      </c>
      <c r="W108" s="16">
        <f t="shared" si="15"/>
        <v>4106.4752646407724</v>
      </c>
      <c r="X108" s="16">
        <f t="shared" si="16"/>
        <v>3079.8564484805793</v>
      </c>
      <c r="Y108" s="1388" t="str">
        <f>+IF(X108="","",IF(X108&gt;=[9]PARÁMETROS!$D$5,"CUMPLE","NO CUMPLE"))</f>
        <v>CUMPLE</v>
      </c>
      <c r="Z108" s="97"/>
    </row>
    <row r="109" spans="1:26" ht="57.75" thickBot="1">
      <c r="A109" s="1612"/>
      <c r="B109" s="1510"/>
      <c r="C109" s="19" t="s">
        <v>503</v>
      </c>
      <c r="D109" s="170">
        <v>21</v>
      </c>
      <c r="E109" s="101" t="str">
        <f>+IFERROR(INDEX([4]CONSOLIDADO!$D$4:$D$108,MATCH('Concur - Exp. Especifica'!C109,[4]CONSOLIDADO!$C$4:$C$108,0)),"")</f>
        <v>COPEBA LTDA</v>
      </c>
      <c r="F109" s="22" t="s">
        <v>1833</v>
      </c>
      <c r="G109" s="23" t="s">
        <v>1851</v>
      </c>
      <c r="H109" s="1388" t="s">
        <v>22</v>
      </c>
      <c r="I109" s="1388" t="s">
        <v>129</v>
      </c>
      <c r="J109" s="1388" t="s">
        <v>22</v>
      </c>
      <c r="K109" s="1388" t="s">
        <v>129</v>
      </c>
      <c r="L109" s="24">
        <v>0.9</v>
      </c>
      <c r="M109" s="25">
        <v>39770</v>
      </c>
      <c r="N109" s="25">
        <v>40711</v>
      </c>
      <c r="O109" s="26">
        <f t="shared" si="13"/>
        <v>2011</v>
      </c>
      <c r="P109" s="27">
        <f>+IFERROR(INDEX([9]PARÁMETROS!$B$11:$B$37,MATCH(O109,[9]PARÁMETROS!$A$11:$A$37,0)),"")</f>
        <v>535600</v>
      </c>
      <c r="Q109" s="28">
        <v>2159192501</v>
      </c>
      <c r="R109" s="29" t="s">
        <v>151</v>
      </c>
      <c r="S109" s="19" t="s">
        <v>140</v>
      </c>
      <c r="T109" s="30" t="s">
        <v>140</v>
      </c>
      <c r="U109" s="31">
        <v>1</v>
      </c>
      <c r="V109" s="27">
        <f t="shared" si="14"/>
        <v>2159192501</v>
      </c>
      <c r="W109" s="16">
        <f t="shared" si="15"/>
        <v>4031.3526904406272</v>
      </c>
      <c r="X109" s="16">
        <f t="shared" si="16"/>
        <v>3628.2174213965645</v>
      </c>
      <c r="Y109" s="1388" t="str">
        <f>+IF(X109="","",IF(X109&gt;=[9]PARÁMETROS!$D$5,"CUMPLE","NO CUMPLE"))</f>
        <v>CUMPLE</v>
      </c>
      <c r="Z109" s="97"/>
    </row>
    <row r="110" spans="1:26" ht="43.5" thickBot="1">
      <c r="A110" s="1612"/>
      <c r="B110" s="1510"/>
      <c r="C110" s="19" t="s">
        <v>503</v>
      </c>
      <c r="D110" s="170">
        <v>26</v>
      </c>
      <c r="E110" s="101" t="str">
        <f>+IFERROR(INDEX([4]CONSOLIDADO!$D$4:$D$108,MATCH('Concur - Exp. Especifica'!C110,[4]CONSOLIDADO!$C$4:$C$108,0)),"")</f>
        <v>COPEBA LTDA</v>
      </c>
      <c r="F110" s="22" t="s">
        <v>1833</v>
      </c>
      <c r="G110" s="23" t="s">
        <v>1852</v>
      </c>
      <c r="H110" s="1388" t="s">
        <v>22</v>
      </c>
      <c r="I110" s="1388" t="s">
        <v>129</v>
      </c>
      <c r="J110" s="1388" t="s">
        <v>22</v>
      </c>
      <c r="K110" s="1388" t="s">
        <v>129</v>
      </c>
      <c r="L110" s="24">
        <v>1</v>
      </c>
      <c r="M110" s="25">
        <v>37995</v>
      </c>
      <c r="N110" s="25">
        <v>38883</v>
      </c>
      <c r="O110" s="26">
        <f t="shared" si="13"/>
        <v>2006</v>
      </c>
      <c r="P110" s="27">
        <f>+IFERROR(INDEX([9]PARÁMETROS!$B$11:$B$37,MATCH(O110,[9]PARÁMETROS!$A$11:$A$37,0)),"")</f>
        <v>408000</v>
      </c>
      <c r="Q110" s="28">
        <v>1167976336</v>
      </c>
      <c r="R110" s="109" t="s">
        <v>151</v>
      </c>
      <c r="S110" s="99" t="s">
        <v>140</v>
      </c>
      <c r="T110" s="110" t="s">
        <v>140</v>
      </c>
      <c r="U110" s="111">
        <v>1</v>
      </c>
      <c r="V110" s="107">
        <f t="shared" si="14"/>
        <v>1167976336</v>
      </c>
      <c r="W110" s="16">
        <f t="shared" si="15"/>
        <v>2862.6870980392155</v>
      </c>
      <c r="X110" s="16">
        <f t="shared" si="16"/>
        <v>2862.6870980392155</v>
      </c>
      <c r="Y110" s="1392" t="str">
        <f>+IF(X110="","",IF(X110&gt;=[9]PARÁMETROS!$D$5,"CUMPLE","NO CUMPLE"))</f>
        <v>CUMPLE</v>
      </c>
      <c r="Z110" s="97"/>
    </row>
    <row r="111" spans="1:26" ht="79.5" thickBot="1">
      <c r="A111" s="1612"/>
      <c r="B111" s="1509" t="s">
        <v>1854</v>
      </c>
      <c r="C111" s="81" t="s">
        <v>507</v>
      </c>
      <c r="D111" s="169">
        <v>2</v>
      </c>
      <c r="E111" s="101" t="str">
        <f>+IFERROR(INDEX([4]CONSOLIDADO!$D$4:$D$108,MATCH('Concur - Exp. Especifica'!C111,[4]CONSOLIDADO!$C$4:$C$108,0)),"")</f>
        <v>AYESA COLOMBIA INGENIERIA Y ARQUITECTURA S.A.S.</v>
      </c>
      <c r="F111" s="84" t="s">
        <v>214</v>
      </c>
      <c r="G111" s="85" t="s">
        <v>1856</v>
      </c>
      <c r="H111" s="1393" t="s">
        <v>22</v>
      </c>
      <c r="I111" s="1393" t="s">
        <v>129</v>
      </c>
      <c r="J111" s="1393" t="s">
        <v>22</v>
      </c>
      <c r="K111" s="1393" t="s">
        <v>129</v>
      </c>
      <c r="L111" s="86">
        <v>1</v>
      </c>
      <c r="M111" s="87">
        <v>37591</v>
      </c>
      <c r="N111" s="87">
        <v>40117</v>
      </c>
      <c r="O111" s="88">
        <f t="shared" si="13"/>
        <v>2009</v>
      </c>
      <c r="P111" s="89">
        <f>+IFERROR(INDEX([9]PARÁMETROS!$B$11:$B$37,MATCH(O111,[9]PARÁMETROS!$A$11:$A$37,0)),"")</f>
        <v>496900</v>
      </c>
      <c r="Q111" s="90">
        <v>4306126.45</v>
      </c>
      <c r="R111" s="77" t="s">
        <v>142</v>
      </c>
      <c r="S111" s="283">
        <v>1.48045</v>
      </c>
      <c r="T111" s="276">
        <f>+Q111*S111</f>
        <v>6375004.9029025007</v>
      </c>
      <c r="U111" s="276">
        <v>2004.37</v>
      </c>
      <c r="V111" s="203">
        <f>+T111*U111</f>
        <v>12777868577.230684</v>
      </c>
      <c r="W111" s="94">
        <f t="shared" si="15"/>
        <v>25715.171216000574</v>
      </c>
      <c r="X111" s="94">
        <f t="shared" si="16"/>
        <v>25715.171216000574</v>
      </c>
      <c r="Y111" s="1400" t="str">
        <f>+IF(X111="","",IF(X111&gt;=[9]PARÁMETROS!$D$5,"CUMPLE","NO CUMPLE"))</f>
        <v>CUMPLE</v>
      </c>
      <c r="Z111" s="96"/>
    </row>
    <row r="112" spans="1:26" ht="57.75" thickBot="1">
      <c r="A112" s="1612"/>
      <c r="B112" s="1510"/>
      <c r="C112" s="19" t="s">
        <v>512</v>
      </c>
      <c r="D112" s="170">
        <v>11</v>
      </c>
      <c r="E112" s="101">
        <f>+IFERROR(INDEX([4]CONSOLIDADO!$D$4:$D$108,MATCH('Concur - Exp. Especifica'!C112,[4]CONSOLIDADO!$C$4:$C$108,0)),"")</f>
        <v>0</v>
      </c>
      <c r="F112" s="22" t="s">
        <v>517</v>
      </c>
      <c r="G112" s="23" t="s">
        <v>1857</v>
      </c>
      <c r="H112" s="1388" t="s">
        <v>22</v>
      </c>
      <c r="I112" s="1388" t="s">
        <v>22</v>
      </c>
      <c r="J112" s="1388" t="s">
        <v>22</v>
      </c>
      <c r="K112" s="1388" t="s">
        <v>129</v>
      </c>
      <c r="L112" s="24">
        <v>0.5</v>
      </c>
      <c r="M112" s="25">
        <v>38772</v>
      </c>
      <c r="N112" s="25">
        <v>40656</v>
      </c>
      <c r="O112" s="26">
        <f t="shared" si="13"/>
        <v>2011</v>
      </c>
      <c r="P112" s="27">
        <f>+IFERROR(INDEX([9]PARÁMETROS!$B$11:$B$37,MATCH(O112,[9]PARÁMETROS!$A$11:$A$37,0)),"")</f>
        <v>535600</v>
      </c>
      <c r="Q112" s="28">
        <v>4794033856</v>
      </c>
      <c r="R112" s="29" t="s">
        <v>151</v>
      </c>
      <c r="S112" s="19" t="s">
        <v>140</v>
      </c>
      <c r="T112" s="30" t="s">
        <v>140</v>
      </c>
      <c r="U112" s="31">
        <v>1</v>
      </c>
      <c r="V112" s="27">
        <f t="shared" si="14"/>
        <v>4794033856</v>
      </c>
      <c r="W112" s="16">
        <f t="shared" si="15"/>
        <v>8950.7726960418222</v>
      </c>
      <c r="X112" s="16">
        <f t="shared" si="16"/>
        <v>4475.3863480209111</v>
      </c>
      <c r="Y112" s="1388" t="str">
        <f>+IF(X112="","",IF(X112&gt;=[9]PARÁMETROS!$D$5,"CUMPLE","NO CUMPLE"))</f>
        <v>CUMPLE</v>
      </c>
      <c r="Z112" s="97"/>
    </row>
    <row r="113" spans="1:26" ht="57.75" thickBot="1">
      <c r="A113" s="1612"/>
      <c r="B113" s="1510"/>
      <c r="C113" s="19" t="s">
        <v>512</v>
      </c>
      <c r="D113" s="170">
        <v>16</v>
      </c>
      <c r="E113" s="101">
        <f>+IFERROR(INDEX([4]CONSOLIDADO!$D$4:$D$108,MATCH('Concur - Exp. Especifica'!C113,[4]CONSOLIDADO!$C$4:$C$108,0)),"")</f>
        <v>0</v>
      </c>
      <c r="F113" s="22" t="s">
        <v>1833</v>
      </c>
      <c r="G113" s="23" t="s">
        <v>1233</v>
      </c>
      <c r="H113" s="1388" t="s">
        <v>22</v>
      </c>
      <c r="I113" s="1388" t="s">
        <v>129</v>
      </c>
      <c r="J113" s="1388" t="s">
        <v>22</v>
      </c>
      <c r="K113" s="1388" t="s">
        <v>129</v>
      </c>
      <c r="L113" s="24">
        <v>0.75</v>
      </c>
      <c r="M113" s="25">
        <v>37308</v>
      </c>
      <c r="N113" s="25">
        <v>37986</v>
      </c>
      <c r="O113" s="26">
        <f t="shared" si="13"/>
        <v>2003</v>
      </c>
      <c r="P113" s="27">
        <f>+IFERROR(INDEX([9]PARÁMETROS!$B$11:$B$37,MATCH(O113,[9]PARÁMETROS!$A$11:$A$37,0)),"")</f>
        <v>332000</v>
      </c>
      <c r="Q113" s="28">
        <v>1335742560</v>
      </c>
      <c r="R113" s="29" t="s">
        <v>151</v>
      </c>
      <c r="S113" s="19" t="s">
        <v>140</v>
      </c>
      <c r="T113" s="30" t="s">
        <v>140</v>
      </c>
      <c r="U113" s="31">
        <v>1</v>
      </c>
      <c r="V113" s="27">
        <f t="shared" si="14"/>
        <v>1335742560</v>
      </c>
      <c r="W113" s="16">
        <f t="shared" si="15"/>
        <v>4023.3209638554217</v>
      </c>
      <c r="X113" s="16">
        <f t="shared" si="16"/>
        <v>3017.4907228915663</v>
      </c>
      <c r="Y113" s="1388" t="str">
        <f>+IF(X113="","",IF(X113&gt;=[9]PARÁMETROS!$D$5,"CUMPLE","NO CUMPLE"))</f>
        <v>CUMPLE</v>
      </c>
      <c r="Z113" s="97"/>
    </row>
    <row r="114" spans="1:26" ht="57.75" thickBot="1">
      <c r="A114" s="1612"/>
      <c r="B114" s="1510"/>
      <c r="C114" s="19" t="s">
        <v>512</v>
      </c>
      <c r="D114" s="170">
        <v>21</v>
      </c>
      <c r="E114" s="101">
        <f>+IFERROR(INDEX([4]CONSOLIDADO!$D$4:$D$108,MATCH('Concur - Exp. Especifica'!C114,[4]CONSOLIDADO!$C$4:$C$108,0)),"")</f>
        <v>0</v>
      </c>
      <c r="F114" s="22" t="s">
        <v>1833</v>
      </c>
      <c r="G114" s="23" t="s">
        <v>1234</v>
      </c>
      <c r="H114" s="1388" t="s">
        <v>22</v>
      </c>
      <c r="I114" s="1388" t="s">
        <v>129</v>
      </c>
      <c r="J114" s="1388" t="s">
        <v>22</v>
      </c>
      <c r="K114" s="1388" t="s">
        <v>129</v>
      </c>
      <c r="L114" s="24">
        <v>1</v>
      </c>
      <c r="M114" s="25">
        <v>36992</v>
      </c>
      <c r="N114" s="25">
        <v>37539</v>
      </c>
      <c r="O114" s="26">
        <f t="shared" si="13"/>
        <v>2002</v>
      </c>
      <c r="P114" s="27">
        <f>+IFERROR(INDEX([9]PARÁMETROS!$B$11:$B$37,MATCH(O114,[9]PARÁMETROS!$A$11:$A$37,0)),"")</f>
        <v>309000</v>
      </c>
      <c r="Q114" s="28">
        <v>999929000</v>
      </c>
      <c r="R114" s="29" t="s">
        <v>151</v>
      </c>
      <c r="S114" s="19" t="s">
        <v>140</v>
      </c>
      <c r="T114" s="30" t="s">
        <v>140</v>
      </c>
      <c r="U114" s="31">
        <v>1</v>
      </c>
      <c r="V114" s="27">
        <f t="shared" si="14"/>
        <v>999929000</v>
      </c>
      <c r="W114" s="16">
        <f t="shared" si="15"/>
        <v>3236.0161812297733</v>
      </c>
      <c r="X114" s="16">
        <f t="shared" si="16"/>
        <v>3236.0161812297733</v>
      </c>
      <c r="Y114" s="1392" t="str">
        <f>+IF(X114="","",IF(X114&gt;=[9]PARÁMETROS!$D$5,"CUMPLE","NO CUMPLE"))</f>
        <v>CUMPLE</v>
      </c>
      <c r="Z114" s="97"/>
    </row>
    <row r="115" spans="1:26" ht="100.5" thickBot="1">
      <c r="A115" s="1612"/>
      <c r="B115" s="1509" t="s">
        <v>1859</v>
      </c>
      <c r="C115" s="81" t="s">
        <v>1863</v>
      </c>
      <c r="D115" s="169">
        <v>3</v>
      </c>
      <c r="E115" s="101" t="str">
        <f>+IFERROR(INDEX([4]CONSOLIDADO!$D$4:$D$108,MATCH('Concur - Exp. Especifica'!C115,[4]CONSOLIDADO!$C$4:$C$108,0)),"")</f>
        <v>CAYCO S.A.S.</v>
      </c>
      <c r="F115" s="84" t="s">
        <v>448</v>
      </c>
      <c r="G115" s="85" t="s">
        <v>1864</v>
      </c>
      <c r="H115" s="1393" t="s">
        <v>22</v>
      </c>
      <c r="I115" s="1393" t="s">
        <v>129</v>
      </c>
      <c r="J115" s="1393" t="s">
        <v>22</v>
      </c>
      <c r="K115" s="1393" t="s">
        <v>129</v>
      </c>
      <c r="L115" s="86">
        <v>0.1</v>
      </c>
      <c r="M115" s="87">
        <v>39615</v>
      </c>
      <c r="N115" s="87">
        <v>41152</v>
      </c>
      <c r="O115" s="88">
        <f t="shared" si="13"/>
        <v>2012</v>
      </c>
      <c r="P115" s="89">
        <f>+IFERROR(INDEX([9]PARÁMETROS!$B$11:$B$37,MATCH(O115,[9]PARÁMETROS!$A$11:$A$37,0)),"")</f>
        <v>566700</v>
      </c>
      <c r="Q115" s="90">
        <v>19146251489</v>
      </c>
      <c r="R115" s="91" t="s">
        <v>151</v>
      </c>
      <c r="S115" s="81" t="s">
        <v>140</v>
      </c>
      <c r="T115" s="92" t="s">
        <v>140</v>
      </c>
      <c r="U115" s="93">
        <v>1</v>
      </c>
      <c r="V115" s="89">
        <f t="shared" si="14"/>
        <v>19146251489</v>
      </c>
      <c r="W115" s="94">
        <f t="shared" si="15"/>
        <v>33785.515244397386</v>
      </c>
      <c r="X115" s="94">
        <f t="shared" si="16"/>
        <v>3378.5515244397388</v>
      </c>
      <c r="Y115" s="1400" t="str">
        <f>+IF(X115="","",IF(X115&gt;=[9]PARÁMETROS!$D$5,"CUMPLE","NO CUMPLE"))</f>
        <v>CUMPLE</v>
      </c>
      <c r="Z115" s="96"/>
    </row>
    <row r="116" spans="1:26" ht="79.5" thickBot="1">
      <c r="A116" s="1612"/>
      <c r="B116" s="1510"/>
      <c r="C116" s="19" t="s">
        <v>519</v>
      </c>
      <c r="D116" s="170">
        <v>38</v>
      </c>
      <c r="E116" s="101" t="str">
        <f>+IFERROR(INDEX([4]CONSOLIDADO!$D$4:$D$108,MATCH('Concur - Exp. Especifica'!C116,[4]CONSOLIDADO!$C$4:$C$108,0)),"")</f>
        <v>PROYECTOS CONSTRUCCIONES CIVILES Y VIALES LIMITADA</v>
      </c>
      <c r="F116" s="22" t="s">
        <v>1833</v>
      </c>
      <c r="G116" s="23" t="s">
        <v>1860</v>
      </c>
      <c r="H116" s="1388" t="s">
        <v>22</v>
      </c>
      <c r="I116" s="1388" t="s">
        <v>22</v>
      </c>
      <c r="J116" s="1388" t="s">
        <v>22</v>
      </c>
      <c r="K116" s="1388" t="s">
        <v>129</v>
      </c>
      <c r="L116" s="24">
        <v>0.5</v>
      </c>
      <c r="M116" s="25">
        <v>35076</v>
      </c>
      <c r="N116" s="25">
        <v>35881</v>
      </c>
      <c r="O116" s="26">
        <f t="shared" si="13"/>
        <v>1998</v>
      </c>
      <c r="P116" s="27">
        <f>+IFERROR(INDEX([9]PARÁMETROS!$B$11:$B$37,MATCH(O116,[9]PARÁMETROS!$A$11:$A$37,0)),"")</f>
        <v>203826</v>
      </c>
      <c r="Q116" s="28">
        <v>1603996630</v>
      </c>
      <c r="R116" s="29" t="s">
        <v>151</v>
      </c>
      <c r="S116" s="19" t="s">
        <v>140</v>
      </c>
      <c r="T116" s="30" t="s">
        <v>140</v>
      </c>
      <c r="U116" s="31">
        <v>1</v>
      </c>
      <c r="V116" s="27">
        <f t="shared" si="14"/>
        <v>1603996630</v>
      </c>
      <c r="W116" s="16">
        <f t="shared" si="15"/>
        <v>7869.4407484815483</v>
      </c>
      <c r="X116" s="16">
        <f t="shared" si="16"/>
        <v>3934.7203742407742</v>
      </c>
      <c r="Y116" s="1388" t="str">
        <f>+IF(X116="","",IF(X116&gt;=[9]PARÁMETROS!$D$5,"CUMPLE","NO CUMPLE"))</f>
        <v>CUMPLE</v>
      </c>
      <c r="Z116" s="97"/>
    </row>
    <row r="117" spans="1:26" ht="79.5" thickBot="1">
      <c r="A117" s="1612"/>
      <c r="B117" s="1510"/>
      <c r="C117" s="19" t="s">
        <v>519</v>
      </c>
      <c r="D117" s="170">
        <v>42</v>
      </c>
      <c r="E117" s="101" t="str">
        <f>+IFERROR(INDEX([4]CONSOLIDADO!$D$4:$D$108,MATCH('Concur - Exp. Especifica'!C117,[4]CONSOLIDADO!$C$4:$C$108,0)),"")</f>
        <v>PROYECTOS CONSTRUCCIONES CIVILES Y VIALES LIMITADA</v>
      </c>
      <c r="F117" s="22" t="s">
        <v>1833</v>
      </c>
      <c r="G117" s="23" t="s">
        <v>1861</v>
      </c>
      <c r="H117" s="1388" t="s">
        <v>22</v>
      </c>
      <c r="I117" s="1388" t="s">
        <v>129</v>
      </c>
      <c r="J117" s="1388" t="s">
        <v>22</v>
      </c>
      <c r="K117" s="1388" t="s">
        <v>129</v>
      </c>
      <c r="L117" s="38">
        <v>0.75</v>
      </c>
      <c r="M117" s="25">
        <v>37411</v>
      </c>
      <c r="N117" s="25">
        <v>38518</v>
      </c>
      <c r="O117" s="26">
        <f t="shared" si="13"/>
        <v>2005</v>
      </c>
      <c r="P117" s="27">
        <f>+IFERROR(INDEX([9]PARÁMETROS!$B$11:$B$37,MATCH(O117,[9]PARÁMETROS!$A$11:$A$37,0)),"")</f>
        <v>381500</v>
      </c>
      <c r="Q117" s="28">
        <v>2982660825.3299999</v>
      </c>
      <c r="R117" s="29" t="s">
        <v>151</v>
      </c>
      <c r="S117" s="19" t="s">
        <v>140</v>
      </c>
      <c r="T117" s="30" t="s">
        <v>140</v>
      </c>
      <c r="U117" s="31">
        <v>1</v>
      </c>
      <c r="V117" s="27">
        <f t="shared" si="14"/>
        <v>2982660825.3299999</v>
      </c>
      <c r="W117" s="16">
        <f t="shared" si="15"/>
        <v>7818.2459379554384</v>
      </c>
      <c r="X117" s="16">
        <f t="shared" si="16"/>
        <v>5863.6844534665788</v>
      </c>
      <c r="Y117" s="1388" t="str">
        <f>+IF(X117="","",IF(X117&gt;=[9]PARÁMETROS!$D$5,"CUMPLE","NO CUMPLE"))</f>
        <v>CUMPLE</v>
      </c>
      <c r="Z117" s="121"/>
    </row>
    <row r="118" spans="1:26" ht="79.5" thickBot="1">
      <c r="A118" s="1612"/>
      <c r="B118" s="1511"/>
      <c r="C118" s="99" t="s">
        <v>519</v>
      </c>
      <c r="D118" s="178">
        <v>86</v>
      </c>
      <c r="E118" s="101" t="str">
        <f>+IFERROR(INDEX([4]CONSOLIDADO!$D$4:$D$108,MATCH('Concur - Exp. Especifica'!C118,[4]CONSOLIDADO!$C$4:$C$108,0)),"")</f>
        <v>PROYECTOS CONSTRUCCIONES CIVILES Y VIALES LIMITADA</v>
      </c>
      <c r="F118" s="102" t="s">
        <v>1833</v>
      </c>
      <c r="G118" s="103" t="s">
        <v>1862</v>
      </c>
      <c r="H118" s="1392" t="s">
        <v>22</v>
      </c>
      <c r="I118" s="1392" t="s">
        <v>129</v>
      </c>
      <c r="J118" s="1392" t="s">
        <v>22</v>
      </c>
      <c r="K118" s="1392" t="s">
        <v>129</v>
      </c>
      <c r="L118" s="292">
        <v>1</v>
      </c>
      <c r="M118" s="293">
        <v>32965</v>
      </c>
      <c r="N118" s="294">
        <v>35064</v>
      </c>
      <c r="O118" s="106">
        <f t="shared" si="13"/>
        <v>1995</v>
      </c>
      <c r="P118" s="107">
        <f>+IFERROR(INDEX([9]PARÁMETROS!$B$11:$B$37,MATCH(O118,[9]PARÁMETROS!$A$11:$A$37,0)),"")</f>
        <v>118933.5</v>
      </c>
      <c r="Q118" s="109">
        <v>824463304</v>
      </c>
      <c r="R118" s="109" t="s">
        <v>151</v>
      </c>
      <c r="S118" s="109" t="s">
        <v>140</v>
      </c>
      <c r="T118" s="109" t="s">
        <v>140</v>
      </c>
      <c r="U118" s="109">
        <v>1</v>
      </c>
      <c r="V118" s="107">
        <f t="shared" si="14"/>
        <v>824463304</v>
      </c>
      <c r="W118" s="112">
        <f t="shared" si="15"/>
        <v>6932.1369000323712</v>
      </c>
      <c r="X118" s="112">
        <f t="shared" si="16"/>
        <v>6932.1369000323712</v>
      </c>
      <c r="Y118" s="1392" t="str">
        <f>+IF(X118="","",IF(X118&gt;=[9]PARÁMETROS!$D$5,"CUMPLE","NO CUMPLE"))</f>
        <v>CUMPLE</v>
      </c>
      <c r="Z118" s="113"/>
    </row>
    <row r="119" spans="1:26" ht="79.5" thickBot="1">
      <c r="A119" s="1612"/>
      <c r="B119" s="1605" t="s">
        <v>1867</v>
      </c>
      <c r="C119" s="68" t="s">
        <v>1874</v>
      </c>
      <c r="D119" s="185"/>
      <c r="E119" s="101" t="str">
        <f>+IFERROR(INDEX([4]CONSOLIDADO!$D$4:$D$108,MATCH('Concur - Exp. Especifica'!C119,[4]CONSOLIDADO!$C$4:$C$108,0)),"")</f>
        <v>INYPSA INFORMES Y PROYECTOS COLOMBIA S.A.S.</v>
      </c>
      <c r="F119" s="71" t="s">
        <v>1842</v>
      </c>
      <c r="G119" s="72" t="s">
        <v>1875</v>
      </c>
      <c r="H119" s="1394" t="s">
        <v>22</v>
      </c>
      <c r="I119" s="1394" t="s">
        <v>129</v>
      </c>
      <c r="J119" s="1394" t="s">
        <v>22</v>
      </c>
      <c r="K119" s="1394" t="s">
        <v>129</v>
      </c>
      <c r="L119" s="73">
        <v>1</v>
      </c>
      <c r="M119" s="74">
        <v>38096</v>
      </c>
      <c r="N119" s="74">
        <v>39325</v>
      </c>
      <c r="O119" s="116">
        <v>2004</v>
      </c>
      <c r="P119" s="75">
        <f>+IFERROR(INDEX([9]PARÁMETROS!$B$11:$B$37,MATCH(O119,[9]PARÁMETROS!$A$11:$A$37,0)),"")</f>
        <v>358000</v>
      </c>
      <c r="Q119" s="278">
        <v>1579261.69</v>
      </c>
      <c r="R119" s="77" t="s">
        <v>142</v>
      </c>
      <c r="S119" s="275">
        <v>1.2013</v>
      </c>
      <c r="T119" s="276">
        <f>+Q119*S119</f>
        <v>1897167.0681970001</v>
      </c>
      <c r="U119" s="276">
        <v>2620.19</v>
      </c>
      <c r="V119" s="203">
        <f>+T119*U119</f>
        <v>4970938180.4190979</v>
      </c>
      <c r="W119" s="295">
        <f t="shared" si="15"/>
        <v>13885.302179941615</v>
      </c>
      <c r="X119" s="80">
        <f t="shared" si="16"/>
        <v>13885.302179941615</v>
      </c>
      <c r="Y119" s="1419" t="str">
        <f>+IF(X119="","",IF(X119&gt;=[9]PARÁMETROS!$D$5,"CUMPLE","NO CUMPLE"))</f>
        <v>CUMPLE</v>
      </c>
      <c r="Z119" s="122"/>
    </row>
    <row r="120" spans="1:26" ht="29.25" thickBot="1">
      <c r="A120" s="1612"/>
      <c r="B120" s="1510"/>
      <c r="C120" s="19" t="s">
        <v>526</v>
      </c>
      <c r="D120" s="170"/>
      <c r="E120" s="101" t="str">
        <f>+IFERROR(INDEX([4]CONSOLIDADO!$D$4:$D$108,MATCH('Concur - Exp. Especifica'!C120,[4]CONSOLIDADO!$C$4:$C$108,0)),"")</f>
        <v>PROGIN SPA</v>
      </c>
      <c r="F120" s="22" t="s">
        <v>1870</v>
      </c>
      <c r="G120" s="23" t="s">
        <v>1871</v>
      </c>
      <c r="H120" s="1388" t="s">
        <v>129</v>
      </c>
      <c r="I120" s="1388" t="s">
        <v>129</v>
      </c>
      <c r="J120" s="1388" t="s">
        <v>22</v>
      </c>
      <c r="K120" s="1388" t="s">
        <v>129</v>
      </c>
      <c r="L120" s="24">
        <v>0.23</v>
      </c>
      <c r="M120" s="25">
        <v>33527</v>
      </c>
      <c r="N120" s="25">
        <v>36734</v>
      </c>
      <c r="O120" s="26">
        <f t="shared" si="13"/>
        <v>2000</v>
      </c>
      <c r="P120" s="27">
        <f>+IFERROR(INDEX([9]PARÁMETROS!$B$11:$B$37,MATCH(O120,[9]PARÁMETROS!$A$11:$A$37,0)),"")</f>
        <v>260100</v>
      </c>
      <c r="Q120" s="177">
        <v>113930818.91</v>
      </c>
      <c r="R120" s="29" t="s">
        <v>142</v>
      </c>
      <c r="S120" s="288">
        <v>0.94181999999999999</v>
      </c>
      <c r="T120" s="289">
        <f>+Q120*S120</f>
        <v>107302323.86581619</v>
      </c>
      <c r="U120" s="276">
        <v>2165.37</v>
      </c>
      <c r="V120" s="279">
        <f>+T120*U120</f>
        <v>232349233029.32239</v>
      </c>
      <c r="W120" s="16">
        <f t="shared" si="15"/>
        <v>893307.31652949785</v>
      </c>
      <c r="X120" s="16">
        <f t="shared" si="16"/>
        <v>205460.68280178451</v>
      </c>
      <c r="Y120" s="1388" t="str">
        <f>+IF(X120="","",IF(X120&gt;=[9]PARÁMETROS!$D$5,"CUMPLE","NO CUMPLE"))</f>
        <v>CUMPLE</v>
      </c>
      <c r="Z120" s="97"/>
    </row>
    <row r="121" spans="1:26" ht="72" thickBot="1">
      <c r="A121" s="1612"/>
      <c r="B121" s="1510"/>
      <c r="C121" s="19" t="s">
        <v>536</v>
      </c>
      <c r="D121" s="170"/>
      <c r="E121" s="101" t="str">
        <f>+IFERROR(INDEX([4]CONSOLIDADO!$D$4:$D$108,MATCH('Concur - Exp. Especifica'!C121,[4]CONSOLIDADO!$C$4:$C$108,0)),"")</f>
        <v>D &amp; B INGENIEROS CIVILES S.A.S.</v>
      </c>
      <c r="F121" s="22" t="s">
        <v>1872</v>
      </c>
      <c r="G121" s="23" t="s">
        <v>1873</v>
      </c>
      <c r="H121" s="1388" t="s">
        <v>129</v>
      </c>
      <c r="I121" s="1388" t="s">
        <v>129</v>
      </c>
      <c r="J121" s="1388" t="s">
        <v>22</v>
      </c>
      <c r="K121" s="1388" t="s">
        <v>129</v>
      </c>
      <c r="L121" s="24">
        <v>1</v>
      </c>
      <c r="M121" s="25">
        <v>39353</v>
      </c>
      <c r="N121" s="25">
        <v>41273</v>
      </c>
      <c r="O121" s="26">
        <f t="shared" si="13"/>
        <v>2012</v>
      </c>
      <c r="P121" s="27">
        <f>+IFERROR(INDEX([9]PARÁMETROS!$B$11:$B$37,MATCH(O121,[9]PARÁMETROS!$A$11:$A$37,0)),"")</f>
        <v>566700</v>
      </c>
      <c r="Q121" s="177">
        <v>25074000000</v>
      </c>
      <c r="R121" s="29" t="s">
        <v>415</v>
      </c>
      <c r="S121" s="288">
        <v>2.3000000000000001E-4</v>
      </c>
      <c r="T121" s="289">
        <f>+Q121*S121</f>
        <v>5767020</v>
      </c>
      <c r="U121" s="276">
        <v>1768.23</v>
      </c>
      <c r="V121" s="279">
        <f>+T121*U121</f>
        <v>10197417774.6</v>
      </c>
      <c r="W121" s="16">
        <f t="shared" si="15"/>
        <v>17994.384638433035</v>
      </c>
      <c r="X121" s="16">
        <f t="shared" si="16"/>
        <v>17994.384638433035</v>
      </c>
      <c r="Y121" s="1388" t="str">
        <f>+IF(X121="","",IF(X121&gt;=[9]PARÁMETROS!$D$5,"CUMPLE","NO CUMPLE"))</f>
        <v>CUMPLE</v>
      </c>
      <c r="Z121" s="97"/>
    </row>
    <row r="122" spans="1:26" ht="129" thickBot="1">
      <c r="A122" s="1612"/>
      <c r="B122" s="1510"/>
      <c r="C122" s="19" t="s">
        <v>1874</v>
      </c>
      <c r="D122" s="170"/>
      <c r="E122" s="101" t="str">
        <f>+IFERROR(INDEX([4]CONSOLIDADO!$D$4:$D$108,MATCH('Concur - Exp. Especifica'!C122,[4]CONSOLIDADO!$C$4:$C$108,0)),"")</f>
        <v>INYPSA INFORMES Y PROYECTOS COLOMBIA S.A.S.</v>
      </c>
      <c r="F122" s="22" t="s">
        <v>517</v>
      </c>
      <c r="G122" s="296" t="s">
        <v>2382</v>
      </c>
      <c r="H122" s="1388" t="s">
        <v>22</v>
      </c>
      <c r="I122" s="1388" t="s">
        <v>22</v>
      </c>
      <c r="J122" s="1388" t="s">
        <v>22</v>
      </c>
      <c r="K122" s="1388" t="s">
        <v>129</v>
      </c>
      <c r="L122" s="24">
        <v>0.35</v>
      </c>
      <c r="M122" s="25">
        <v>41072</v>
      </c>
      <c r="N122" s="25" t="s">
        <v>440</v>
      </c>
      <c r="O122" s="26">
        <v>2015</v>
      </c>
      <c r="P122" s="27">
        <f>+IFERROR(INDEX([9]PARÁMETROS!$B$11:$B$37,MATCH(O122,[9]PARÁMETROS!$A$11:$A$37,0)),"")</f>
        <v>644350</v>
      </c>
      <c r="Q122" s="28">
        <v>7229192986</v>
      </c>
      <c r="R122" s="29" t="s">
        <v>151</v>
      </c>
      <c r="S122" s="19" t="s">
        <v>140</v>
      </c>
      <c r="T122" s="30" t="s">
        <v>140</v>
      </c>
      <c r="U122" s="31">
        <v>1</v>
      </c>
      <c r="V122" s="27">
        <f t="shared" si="14"/>
        <v>7229192986</v>
      </c>
      <c r="W122" s="16">
        <f t="shared" si="15"/>
        <v>11219.357470318926</v>
      </c>
      <c r="X122" s="16">
        <f t="shared" si="16"/>
        <v>3926.7751146116238</v>
      </c>
      <c r="Y122" s="1392" t="str">
        <f>+IF(X122="","",IF(X122&gt;=[9]PARÁMETROS!$D$5,"CUMPLE","NO CUMPLE"))</f>
        <v>CUMPLE</v>
      </c>
      <c r="Z122" s="97"/>
    </row>
    <row r="123" spans="1:26" ht="48" thickBot="1">
      <c r="A123" s="1612"/>
      <c r="B123" s="1509" t="s">
        <v>1877</v>
      </c>
      <c r="C123" s="81" t="s">
        <v>544</v>
      </c>
      <c r="D123" s="169">
        <v>3</v>
      </c>
      <c r="E123" s="101" t="str">
        <f>+IFERROR(INDEX([4]CONSOLIDADO!$D$4:$D$108,MATCH('Concur - Exp. Especifica'!C123,[4]CONSOLIDADO!$C$4:$C$108,0)),"")</f>
        <v>GARPER INGENIERÍA CIA S.A.S.</v>
      </c>
      <c r="F123" s="84" t="s">
        <v>437</v>
      </c>
      <c r="G123" s="85" t="s">
        <v>1882</v>
      </c>
      <c r="H123" s="1393" t="s">
        <v>22</v>
      </c>
      <c r="I123" s="1393" t="s">
        <v>22</v>
      </c>
      <c r="J123" s="1393" t="s">
        <v>22</v>
      </c>
      <c r="K123" s="1393" t="s">
        <v>129</v>
      </c>
      <c r="L123" s="86">
        <v>0.55000000000000004</v>
      </c>
      <c r="M123" s="87">
        <v>34338</v>
      </c>
      <c r="N123" s="87">
        <v>36305</v>
      </c>
      <c r="O123" s="88">
        <f t="shared" si="13"/>
        <v>1999</v>
      </c>
      <c r="P123" s="89">
        <f>+IFERROR(INDEX([9]PARÁMETROS!$B$11:$B$37,MATCH(O123,[9]PARÁMETROS!$A$11:$A$37,0)),"")</f>
        <v>236460</v>
      </c>
      <c r="Q123" s="90">
        <v>4491569047</v>
      </c>
      <c r="R123" s="91" t="s">
        <v>151</v>
      </c>
      <c r="S123" s="81" t="s">
        <v>140</v>
      </c>
      <c r="T123" s="92" t="s">
        <v>140</v>
      </c>
      <c r="U123" s="93">
        <v>1</v>
      </c>
      <c r="V123" s="89">
        <f t="shared" si="14"/>
        <v>4491569047</v>
      </c>
      <c r="W123" s="94">
        <f t="shared" si="15"/>
        <v>18995.04798697454</v>
      </c>
      <c r="X123" s="94">
        <f t="shared" si="16"/>
        <v>10447.276392835998</v>
      </c>
      <c r="Y123" s="1400" t="str">
        <f>+IF(X123="","",IF(X123&gt;=[9]PARÁMETROS!$D$5,"CUMPLE","NO CUMPLE"))</f>
        <v>CUMPLE</v>
      </c>
      <c r="Z123" s="96"/>
    </row>
    <row r="124" spans="1:26" ht="43.5" thickBot="1">
      <c r="A124" s="1612"/>
      <c r="B124" s="1510"/>
      <c r="C124" s="19" t="s">
        <v>540</v>
      </c>
      <c r="D124" s="170">
        <v>22</v>
      </c>
      <c r="E124" s="101" t="str">
        <f>+IFERROR(INDEX([4]CONSOLIDADO!$D$4:$D$108,MATCH('Concur - Exp. Especifica'!C124,[4]CONSOLIDADO!$C$4:$C$108,0)),"")</f>
        <v>EUROCONTROL S.A.</v>
      </c>
      <c r="F124" s="22" t="s">
        <v>1842</v>
      </c>
      <c r="G124" s="23" t="s">
        <v>1881</v>
      </c>
      <c r="H124" s="1388" t="s">
        <v>22</v>
      </c>
      <c r="I124" s="1388" t="s">
        <v>129</v>
      </c>
      <c r="J124" s="1388" t="s">
        <v>22</v>
      </c>
      <c r="K124" s="1388" t="s">
        <v>129</v>
      </c>
      <c r="L124" s="24">
        <v>1</v>
      </c>
      <c r="M124" s="25">
        <v>38296</v>
      </c>
      <c r="N124" s="25">
        <v>39360</v>
      </c>
      <c r="O124" s="26">
        <f t="shared" si="13"/>
        <v>2007</v>
      </c>
      <c r="P124" s="27">
        <f>+IFERROR(INDEX([9]PARÁMETROS!$B$11:$B$37,MATCH(O124,[9]PARÁMETROS!$A$11:$A$37,0)),"")</f>
        <v>433700</v>
      </c>
      <c r="Q124" s="177">
        <v>1248500.53</v>
      </c>
      <c r="R124" s="29" t="s">
        <v>142</v>
      </c>
      <c r="S124" s="19">
        <v>1.4105700000000001</v>
      </c>
      <c r="T124" s="289">
        <f>+Q124*S124</f>
        <v>1761097.3926021003</v>
      </c>
      <c r="U124" s="31">
        <v>2018.45</v>
      </c>
      <c r="V124" s="279">
        <f>+T124*U124</f>
        <v>3554687032.0977092</v>
      </c>
      <c r="W124" s="16">
        <f t="shared" si="15"/>
        <v>8196.188683647013</v>
      </c>
      <c r="X124" s="16">
        <f t="shared" si="16"/>
        <v>8196.188683647013</v>
      </c>
      <c r="Y124" s="1388" t="str">
        <f>+IF(X124="","",IF(X124&gt;=[9]PARÁMETROS!$D$5,"CUMPLE","NO CUMPLE"))</f>
        <v>CUMPLE</v>
      </c>
      <c r="Z124" s="97"/>
    </row>
    <row r="125" spans="1:26" ht="43.5" thickBot="1">
      <c r="A125" s="1612"/>
      <c r="B125" s="1510"/>
      <c r="C125" s="19" t="s">
        <v>540</v>
      </c>
      <c r="D125" s="170">
        <v>33</v>
      </c>
      <c r="E125" s="101" t="str">
        <f>+IFERROR(INDEX([4]CONSOLIDADO!$D$4:$D$108,MATCH('Concur - Exp. Especifica'!C125,[4]CONSOLIDADO!$C$4:$C$108,0)),"")</f>
        <v>EUROCONTROL S.A.</v>
      </c>
      <c r="F125" s="22" t="s">
        <v>1842</v>
      </c>
      <c r="G125" s="23" t="s">
        <v>1880</v>
      </c>
      <c r="H125" s="1388" t="s">
        <v>22</v>
      </c>
      <c r="I125" s="1388" t="s">
        <v>129</v>
      </c>
      <c r="J125" s="1388" t="s">
        <v>22</v>
      </c>
      <c r="K125" s="1388" t="s">
        <v>129</v>
      </c>
      <c r="L125" s="24">
        <v>1</v>
      </c>
      <c r="M125" s="25">
        <v>38661</v>
      </c>
      <c r="N125" s="25">
        <v>40122</v>
      </c>
      <c r="O125" s="26">
        <f t="shared" si="13"/>
        <v>2009</v>
      </c>
      <c r="P125" s="27">
        <f>+IFERROR(INDEX([9]PARÁMETROS!$B$11:$B$37,MATCH(O125,[9]PARÁMETROS!$A$11:$A$37,0)),"")</f>
        <v>496900</v>
      </c>
      <c r="Q125" s="177">
        <v>949157.05</v>
      </c>
      <c r="R125" s="29" t="s">
        <v>142</v>
      </c>
      <c r="S125" s="19">
        <v>1.47681</v>
      </c>
      <c r="T125" s="289">
        <f>+Q125*S125</f>
        <v>1401724.6230105001</v>
      </c>
      <c r="U125" s="31">
        <v>1963.7</v>
      </c>
      <c r="V125" s="279">
        <f>+T125*U125</f>
        <v>2752566642.205719</v>
      </c>
      <c r="W125" s="16">
        <f t="shared" si="15"/>
        <v>5539.4780483109662</v>
      </c>
      <c r="X125" s="16">
        <f t="shared" si="16"/>
        <v>5539.4780483109662</v>
      </c>
      <c r="Y125" s="1388" t="str">
        <f>+IF(X125="","",IF(X125&gt;=[9]PARÁMETROS!$D$5,"CUMPLE","NO CUMPLE"))</f>
        <v>CUMPLE</v>
      </c>
      <c r="Z125" s="97"/>
    </row>
    <row r="126" spans="1:26" ht="86.25" thickBot="1">
      <c r="A126" s="1612"/>
      <c r="B126" s="1510"/>
      <c r="C126" s="19" t="s">
        <v>549</v>
      </c>
      <c r="D126" s="170">
        <v>42</v>
      </c>
      <c r="E126" s="101" t="str">
        <f>+IFERROR(INDEX([4]CONSOLIDADO!$D$4:$D$108,MATCH('Concur - Exp. Especifica'!C126,[4]CONSOLIDADO!$C$4:$C$108,0)),"")</f>
        <v>TOP SUELOS INGENIERIA S.A.S.</v>
      </c>
      <c r="F126" s="44" t="s">
        <v>1833</v>
      </c>
      <c r="G126" s="45" t="s">
        <v>1883</v>
      </c>
      <c r="H126" s="1388" t="s">
        <v>22</v>
      </c>
      <c r="I126" s="1388" t="s">
        <v>129</v>
      </c>
      <c r="J126" s="1388" t="s">
        <v>22</v>
      </c>
      <c r="K126" s="1388" t="s">
        <v>129</v>
      </c>
      <c r="L126" s="46">
        <v>0.6</v>
      </c>
      <c r="M126" s="47">
        <v>40064</v>
      </c>
      <c r="N126" s="47">
        <v>41999</v>
      </c>
      <c r="O126" s="26">
        <f t="shared" si="13"/>
        <v>2014</v>
      </c>
      <c r="P126" s="27">
        <f>+IFERROR(INDEX([9]PARÁMETROS!$B$11:$B$37,MATCH(O126,[9]PARÁMETROS!$A$11:$A$37,0)),"")</f>
        <v>616000</v>
      </c>
      <c r="Q126" s="48">
        <v>8501000000</v>
      </c>
      <c r="R126" s="49" t="s">
        <v>151</v>
      </c>
      <c r="S126" s="19" t="s">
        <v>140</v>
      </c>
      <c r="T126" s="30" t="s">
        <v>140</v>
      </c>
      <c r="U126" s="31">
        <v>1</v>
      </c>
      <c r="V126" s="27">
        <f t="shared" si="14"/>
        <v>8501000000</v>
      </c>
      <c r="W126" s="16">
        <f t="shared" si="15"/>
        <v>13800.324675324675</v>
      </c>
      <c r="X126" s="16">
        <f t="shared" si="16"/>
        <v>8280.1948051948038</v>
      </c>
      <c r="Y126" s="1392" t="str">
        <f>+IF(X126="","",IF(X126&gt;=[9]PARÁMETROS!$D$5,"CUMPLE","NO CUMPLE"))</f>
        <v>CUMPLE</v>
      </c>
      <c r="Z126" s="98"/>
    </row>
    <row r="127" spans="1:26" ht="86.25" thickBot="1">
      <c r="A127" s="1612"/>
      <c r="B127" s="1509" t="s">
        <v>1887</v>
      </c>
      <c r="C127" s="81" t="s">
        <v>552</v>
      </c>
      <c r="D127" s="169">
        <v>3</v>
      </c>
      <c r="E127" s="101" t="str">
        <f>+IFERROR(INDEX([4]CONSOLIDADO!$D$4:$D$108,MATCH('Concur - Exp. Especifica'!C127,[4]CONSOLIDADO!$C$4:$C$108,0)),"")</f>
        <v>SERVICIOS DE INGENIERIA Y CONSTRUCCION LIMITADA "SERVINC LTDA"</v>
      </c>
      <c r="F127" s="84" t="s">
        <v>900</v>
      </c>
      <c r="G127" s="85" t="s">
        <v>1888</v>
      </c>
      <c r="H127" s="1393" t="s">
        <v>22</v>
      </c>
      <c r="I127" s="1393" t="s">
        <v>22</v>
      </c>
      <c r="J127" s="1393" t="s">
        <v>22</v>
      </c>
      <c r="K127" s="1393" t="s">
        <v>129</v>
      </c>
      <c r="L127" s="86">
        <v>0.5</v>
      </c>
      <c r="M127" s="87">
        <v>40331</v>
      </c>
      <c r="N127" s="87">
        <v>41215</v>
      </c>
      <c r="O127" s="88">
        <f t="shared" si="13"/>
        <v>2012</v>
      </c>
      <c r="P127" s="89">
        <f>+IFERROR(INDEX([9]PARÁMETROS!$B$11:$B$37,MATCH(O127,[9]PARÁMETROS!$A$11:$A$37,0)),"")</f>
        <v>566700</v>
      </c>
      <c r="Q127" s="90">
        <v>4264498383</v>
      </c>
      <c r="R127" s="91" t="s">
        <v>151</v>
      </c>
      <c r="S127" s="81" t="s">
        <v>140</v>
      </c>
      <c r="T127" s="92" t="s">
        <v>140</v>
      </c>
      <c r="U127" s="93">
        <v>1</v>
      </c>
      <c r="V127" s="89">
        <f t="shared" si="14"/>
        <v>4264498383</v>
      </c>
      <c r="W127" s="94">
        <f t="shared" si="15"/>
        <v>7525.1427263102169</v>
      </c>
      <c r="X127" s="94">
        <f t="shared" si="16"/>
        <v>3762.5713631551084</v>
      </c>
      <c r="Y127" s="1400" t="str">
        <f>+IF(X127="","",IF(X127&gt;=[9]PARÁMETROS!$D$5,"CUMPLE","NO CUMPLE"))</f>
        <v>CUMPLE</v>
      </c>
      <c r="Z127" s="96"/>
    </row>
    <row r="128" spans="1:26" ht="79.5" thickBot="1">
      <c r="A128" s="1612"/>
      <c r="B128" s="1510"/>
      <c r="C128" s="19" t="s">
        <v>552</v>
      </c>
      <c r="D128" s="170">
        <v>34</v>
      </c>
      <c r="E128" s="101" t="str">
        <f>+IFERROR(INDEX([4]CONSOLIDADO!$D$4:$D$108,MATCH('Concur - Exp. Especifica'!C128,[4]CONSOLIDADO!$C$4:$C$108,0)),"")</f>
        <v>SERVICIOS DE INGENIERIA Y CONSTRUCCION LIMITADA "SERVINC LTDA"</v>
      </c>
      <c r="F128" s="22" t="s">
        <v>517</v>
      </c>
      <c r="G128" s="23" t="s">
        <v>1889</v>
      </c>
      <c r="H128" s="1388" t="s">
        <v>22</v>
      </c>
      <c r="I128" s="1388" t="s">
        <v>22</v>
      </c>
      <c r="J128" s="1388" t="s">
        <v>22</v>
      </c>
      <c r="K128" s="1388" t="s">
        <v>129</v>
      </c>
      <c r="L128" s="24">
        <v>0.4</v>
      </c>
      <c r="M128" s="25">
        <v>41075</v>
      </c>
      <c r="N128" s="25" t="s">
        <v>440</v>
      </c>
      <c r="O128" s="26">
        <v>2015</v>
      </c>
      <c r="P128" s="27">
        <f>+IFERROR(INDEX([9]PARÁMETROS!$B$11:$B$37,MATCH(O128,[9]PARÁMETROS!$A$11:$A$37,0)),"")</f>
        <v>644350</v>
      </c>
      <c r="Q128" s="28">
        <v>23762347066</v>
      </c>
      <c r="R128" s="29" t="s">
        <v>151</v>
      </c>
      <c r="S128" s="19" t="s">
        <v>140</v>
      </c>
      <c r="T128" s="30" t="s">
        <v>140</v>
      </c>
      <c r="U128" s="31">
        <v>1</v>
      </c>
      <c r="V128" s="27">
        <f t="shared" si="14"/>
        <v>23762347066</v>
      </c>
      <c r="W128" s="16">
        <f t="shared" si="15"/>
        <v>36878.012052455961</v>
      </c>
      <c r="X128" s="16">
        <f t="shared" si="16"/>
        <v>14751.204820982384</v>
      </c>
      <c r="Y128" s="1388" t="str">
        <f>+IF(X128="","",IF(X128&gt;=[9]PARÁMETROS!$D$5,"CUMPLE","NO CUMPLE"))</f>
        <v>CUMPLE</v>
      </c>
      <c r="Z128" s="97"/>
    </row>
    <row r="129" spans="1:26" ht="57.75" thickBot="1">
      <c r="A129" s="1612"/>
      <c r="B129" s="1510"/>
      <c r="C129" s="19" t="s">
        <v>560</v>
      </c>
      <c r="D129" s="170">
        <v>37</v>
      </c>
      <c r="E129" s="101" t="str">
        <f>+IFERROR(INDEX([4]CONSOLIDADO!$D$4:$D$108,MATCH('Concur - Exp. Especifica'!C129,[4]CONSOLIDADO!$C$4:$C$108,0)),"")</f>
        <v>VQM S.A.S.</v>
      </c>
      <c r="F129" s="22" t="s">
        <v>1833</v>
      </c>
      <c r="G129" s="23" t="s">
        <v>1892</v>
      </c>
      <c r="H129" s="1388" t="s">
        <v>22</v>
      </c>
      <c r="I129" s="1388" t="s">
        <v>129</v>
      </c>
      <c r="J129" s="1388" t="s">
        <v>22</v>
      </c>
      <c r="K129" s="1388" t="s">
        <v>129</v>
      </c>
      <c r="L129" s="24">
        <v>0.75</v>
      </c>
      <c r="M129" s="25">
        <v>38672</v>
      </c>
      <c r="N129" s="25">
        <v>39756</v>
      </c>
      <c r="O129" s="26">
        <f t="shared" si="13"/>
        <v>2008</v>
      </c>
      <c r="P129" s="27">
        <f>+IFERROR(INDEX([9]PARÁMETROS!$B$11:$B$37,MATCH(O129,[9]PARÁMETROS!$A$11:$A$37,0)),"")</f>
        <v>461500</v>
      </c>
      <c r="Q129" s="28">
        <v>2323578630</v>
      </c>
      <c r="R129" s="29" t="s">
        <v>151</v>
      </c>
      <c r="S129" s="19" t="s">
        <v>140</v>
      </c>
      <c r="T129" s="30" t="s">
        <v>140</v>
      </c>
      <c r="U129" s="31">
        <v>1</v>
      </c>
      <c r="V129" s="27">
        <f t="shared" si="14"/>
        <v>2323578630</v>
      </c>
      <c r="W129" s="16">
        <f t="shared" si="15"/>
        <v>5034.839934994583</v>
      </c>
      <c r="X129" s="16">
        <f t="shared" si="16"/>
        <v>3776.1299512459373</v>
      </c>
      <c r="Y129" s="1388" t="str">
        <f>+IF(X129="","",IF(X129&gt;=[9]PARÁMETROS!$D$5,"CUMPLE","NO CUMPLE"))</f>
        <v>CUMPLE</v>
      </c>
      <c r="Z129" s="97"/>
    </row>
    <row r="130" spans="1:26" ht="57.75" thickBot="1">
      <c r="A130" s="1612"/>
      <c r="B130" s="1510"/>
      <c r="C130" s="19" t="s">
        <v>560</v>
      </c>
      <c r="D130" s="170">
        <v>59</v>
      </c>
      <c r="E130" s="101" t="str">
        <f>+IFERROR(INDEX([4]CONSOLIDADO!$D$4:$D$108,MATCH('Concur - Exp. Especifica'!C130,[4]CONSOLIDADO!$C$4:$C$108,0)),"")</f>
        <v>VQM S.A.S.</v>
      </c>
      <c r="F130" s="22" t="s">
        <v>1833</v>
      </c>
      <c r="G130" s="23" t="s">
        <v>1893</v>
      </c>
      <c r="H130" s="1388" t="s">
        <v>22</v>
      </c>
      <c r="I130" s="1388" t="s">
        <v>129</v>
      </c>
      <c r="J130" s="1388" t="s">
        <v>22</v>
      </c>
      <c r="K130" s="1388" t="s">
        <v>129</v>
      </c>
      <c r="L130" s="24">
        <v>0.75</v>
      </c>
      <c r="M130" s="25">
        <v>38673</v>
      </c>
      <c r="N130" s="25">
        <v>39960</v>
      </c>
      <c r="O130" s="26">
        <f t="shared" si="13"/>
        <v>2009</v>
      </c>
      <c r="P130" s="27">
        <f>+IFERROR(INDEX([9]PARÁMETROS!$B$11:$B$37,MATCH(O130,[9]PARÁMETROS!$A$11:$A$37,0)),"")</f>
        <v>496900</v>
      </c>
      <c r="Q130" s="28">
        <v>1992021088</v>
      </c>
      <c r="R130" s="29" t="s">
        <v>151</v>
      </c>
      <c r="S130" s="19" t="s">
        <v>140</v>
      </c>
      <c r="T130" s="30" t="s">
        <v>140</v>
      </c>
      <c r="U130" s="31">
        <v>1</v>
      </c>
      <c r="V130" s="27">
        <f t="shared" si="14"/>
        <v>1992021088</v>
      </c>
      <c r="W130" s="16">
        <f t="shared" si="15"/>
        <v>4008.8973395049306</v>
      </c>
      <c r="X130" s="16">
        <f t="shared" si="16"/>
        <v>3006.673004628698</v>
      </c>
      <c r="Y130" s="1392" t="str">
        <f>+IF(X130="","",IF(X130&gt;=[9]PARÁMETROS!$D$5,"CUMPLE","NO CUMPLE"))</f>
        <v>CUMPLE</v>
      </c>
      <c r="Z130" s="97"/>
    </row>
    <row r="131" spans="1:26" ht="129" thickBot="1">
      <c r="A131" s="1612"/>
      <c r="B131" s="1509" t="s">
        <v>1894</v>
      </c>
      <c r="C131" s="81" t="s">
        <v>569</v>
      </c>
      <c r="D131" s="82">
        <v>5</v>
      </c>
      <c r="E131" s="101" t="str">
        <f>+IFERROR(INDEX([4]CONSOLIDADO!$D$4:$D$108,MATCH('Concur - Exp. Especifica'!C131,[4]CONSOLIDADO!$C$4:$C$108,0)),"")</f>
        <v>GIC GERENCIA INTERVENTORIA Y CONSULTORIA S.A.S.</v>
      </c>
      <c r="F131" s="84" t="s">
        <v>1895</v>
      </c>
      <c r="G131" s="85" t="s">
        <v>1898</v>
      </c>
      <c r="H131" s="1393" t="s">
        <v>22</v>
      </c>
      <c r="I131" s="1393" t="s">
        <v>129</v>
      </c>
      <c r="J131" s="1393" t="s">
        <v>22</v>
      </c>
      <c r="K131" s="1393" t="s">
        <v>129</v>
      </c>
      <c r="L131" s="34">
        <v>1</v>
      </c>
      <c r="M131" s="25">
        <v>39839</v>
      </c>
      <c r="N131" s="25">
        <v>40339</v>
      </c>
      <c r="O131" s="26">
        <f>IF(N131="","",YEAR(N131))</f>
        <v>2010</v>
      </c>
      <c r="P131" s="27">
        <f>+IFERROR(INDEX([10]PARÁMETROS!$B$11:$B$37,MATCH(O131,[10]PARÁMETROS!$A$11:$A$37,0)),"")</f>
        <v>515000</v>
      </c>
      <c r="Q131" s="35">
        <v>864969.84</v>
      </c>
      <c r="R131" s="27" t="s">
        <v>142</v>
      </c>
      <c r="S131" s="19">
        <v>1.1988799999999999</v>
      </c>
      <c r="T131" s="30">
        <f>+S131*Q131</f>
        <v>1036995.0417792</v>
      </c>
      <c r="U131" s="31">
        <v>1943</v>
      </c>
      <c r="V131" s="27">
        <f>IF(U131&lt;&gt;"",T131*U131,"")</f>
        <v>2014881366.1769855</v>
      </c>
      <c r="W131" s="16">
        <f>+IFERROR(V131/P131,"")</f>
        <v>3912.3910022854088</v>
      </c>
      <c r="X131" s="16">
        <f>IFERROR(W131*L131,"")</f>
        <v>3912.3910022854088</v>
      </c>
      <c r="Y131" s="1400" t="str">
        <f>+IF(X131="","",IF(X131&gt;=[10]PARÁMETROS!$J$5,"CUMPLE","NO CUMPLE"))</f>
        <v>CUMPLE</v>
      </c>
      <c r="Z131" s="96"/>
    </row>
    <row r="132" spans="1:26" ht="129" thickBot="1">
      <c r="A132" s="1612"/>
      <c r="B132" s="1510"/>
      <c r="C132" s="19" t="s">
        <v>569</v>
      </c>
      <c r="D132" s="20">
        <v>14</v>
      </c>
      <c r="E132" s="101" t="str">
        <f>+IFERROR(INDEX([4]CONSOLIDADO!$D$4:$D$108,MATCH('Concur - Exp. Especifica'!C132,[4]CONSOLIDADO!$C$4:$C$108,0)),"")</f>
        <v>GIC GERENCIA INTERVENTORIA Y CONSULTORIA S.A.S.</v>
      </c>
      <c r="F132" s="22" t="s">
        <v>1895</v>
      </c>
      <c r="G132" s="22" t="s">
        <v>1900</v>
      </c>
      <c r="H132" s="1388" t="s">
        <v>22</v>
      </c>
      <c r="I132" s="1388" t="s">
        <v>129</v>
      </c>
      <c r="J132" s="1388" t="s">
        <v>22</v>
      </c>
      <c r="K132" s="1388" t="s">
        <v>129</v>
      </c>
      <c r="L132" s="24">
        <v>1</v>
      </c>
      <c r="M132" s="25">
        <v>37572</v>
      </c>
      <c r="N132" s="25">
        <v>38330</v>
      </c>
      <c r="O132" s="26">
        <f>IF(N132="","",YEAR(N132))</f>
        <v>2004</v>
      </c>
      <c r="P132" s="27">
        <f>+IFERROR(INDEX([10]PARÁMETROS!$B$11:$B$37,MATCH(O132,[10]PARÁMETROS!$A$11:$A$37,0)),"")</f>
        <v>358000</v>
      </c>
      <c r="Q132" s="28">
        <v>610050.4</v>
      </c>
      <c r="R132" s="27" t="s">
        <v>142</v>
      </c>
      <c r="S132" s="19">
        <v>1.3329</v>
      </c>
      <c r="T132" s="30">
        <f>+S132*Q132</f>
        <v>813136.17816000001</v>
      </c>
      <c r="U132" s="31">
        <v>2455.12</v>
      </c>
      <c r="V132" s="27">
        <f>IF(U132&lt;&gt;"",T132*U132,"")</f>
        <v>1996346893.724179</v>
      </c>
      <c r="W132" s="16">
        <f>+IFERROR(V132/P132,"")</f>
        <v>5576.3879712965891</v>
      </c>
      <c r="X132" s="16">
        <f>IFERROR(W132*L132,"")</f>
        <v>5576.3879712965891</v>
      </c>
      <c r="Y132" s="1388" t="str">
        <f>+IF(X132="","",IF(X132&gt;=[10]PARÁMETROS!$J$5,"CUMPLE","NO CUMPLE"))</f>
        <v>CUMPLE</v>
      </c>
      <c r="Z132" s="97"/>
    </row>
    <row r="133" spans="1:26" ht="43.5" thickBot="1">
      <c r="A133" s="1612"/>
      <c r="B133" s="1510"/>
      <c r="C133" s="19" t="s">
        <v>579</v>
      </c>
      <c r="D133" s="20">
        <v>20</v>
      </c>
      <c r="E133" s="101" t="str">
        <f>+IFERROR(INDEX([4]CONSOLIDADO!$D$4:$D$108,MATCH('Concur - Exp. Especifica'!C133,[4]CONSOLIDADO!$C$4:$C$108,0)),"")</f>
        <v>CONSULTORES UNIDOS S.A.</v>
      </c>
      <c r="F133" s="22" t="s">
        <v>448</v>
      </c>
      <c r="G133" s="23" t="s">
        <v>1902</v>
      </c>
      <c r="H133" s="1388" t="s">
        <v>22</v>
      </c>
      <c r="I133" s="1388" t="s">
        <v>129</v>
      </c>
      <c r="J133" s="1388" t="s">
        <v>22</v>
      </c>
      <c r="K133" s="1388" t="s">
        <v>129</v>
      </c>
      <c r="L133" s="24">
        <v>0.55000000000000004</v>
      </c>
      <c r="M133" s="25">
        <v>39860</v>
      </c>
      <c r="N133" s="25">
        <v>41213</v>
      </c>
      <c r="O133" s="26">
        <f>IF(N133="","",YEAR(N133))</f>
        <v>2012</v>
      </c>
      <c r="P133" s="27">
        <f>+IFERROR(INDEX([10]PARÁMETROS!$B$11:$B$37,MATCH(O133,[10]PARÁMETROS!$A$11:$A$37,0)),"")</f>
        <v>566700</v>
      </c>
      <c r="Q133" s="28">
        <v>8291206645</v>
      </c>
      <c r="R133" s="29" t="s">
        <v>151</v>
      </c>
      <c r="S133" s="19" t="s">
        <v>140</v>
      </c>
      <c r="T133" s="30" t="s">
        <v>140</v>
      </c>
      <c r="U133" s="31">
        <v>1</v>
      </c>
      <c r="V133" s="27">
        <f>IF(U133&lt;&gt;"",Q133*U133,"")</f>
        <v>8291206645</v>
      </c>
      <c r="W133" s="16">
        <f>+IFERROR(V133/P133,"")</f>
        <v>14630.680509970001</v>
      </c>
      <c r="X133" s="16">
        <f>IFERROR(W133*L133,"")</f>
        <v>8046.874280483501</v>
      </c>
      <c r="Y133" s="1388" t="str">
        <f>+IF(X133="","",IF(X133&gt;=[10]PARÁMETROS!$J$5,"CUMPLE","NO CUMPLE"))</f>
        <v>CUMPLE</v>
      </c>
      <c r="Z133" s="98"/>
    </row>
    <row r="134" spans="1:26" ht="72" thickBot="1">
      <c r="A134" s="1612"/>
      <c r="B134" s="1511"/>
      <c r="C134" s="99" t="s">
        <v>579</v>
      </c>
      <c r="D134" s="123">
        <v>25</v>
      </c>
      <c r="E134" s="101" t="str">
        <f>+IFERROR(INDEX([4]CONSOLIDADO!$D$4:$D$108,MATCH('Concur - Exp. Especifica'!C134,[4]CONSOLIDADO!$C$4:$C$108,0)),"")</f>
        <v>CONSULTORES UNIDOS S.A.</v>
      </c>
      <c r="F134" s="102" t="s">
        <v>517</v>
      </c>
      <c r="G134" s="103" t="s">
        <v>1901</v>
      </c>
      <c r="H134" s="1392" t="s">
        <v>22</v>
      </c>
      <c r="I134" s="1392" t="s">
        <v>22</v>
      </c>
      <c r="J134" s="1392" t="s">
        <v>22</v>
      </c>
      <c r="K134" s="1392" t="s">
        <v>129</v>
      </c>
      <c r="L134" s="73">
        <v>0.6</v>
      </c>
      <c r="M134" s="74">
        <v>41649</v>
      </c>
      <c r="N134" s="74">
        <v>42151</v>
      </c>
      <c r="O134" s="116">
        <f t="shared" ref="O134:O166" si="17">IF(N134="","",YEAR(N134))</f>
        <v>2015</v>
      </c>
      <c r="P134" s="75">
        <f>+IFERROR(INDEX([10]PARÁMETROS!$B$11:$B$37,MATCH(O134,[10]PARÁMETROS!$A$11:$A$37,0)),"")</f>
        <v>644350</v>
      </c>
      <c r="Q134" s="76">
        <v>4710651972</v>
      </c>
      <c r="R134" s="75" t="s">
        <v>151</v>
      </c>
      <c r="S134" s="68" t="s">
        <v>140</v>
      </c>
      <c r="T134" s="78" t="s">
        <v>140</v>
      </c>
      <c r="U134" s="79">
        <v>1</v>
      </c>
      <c r="V134" s="75">
        <f t="shared" ref="V134:V160" si="18">IF(U134&lt;&gt;"",Q134*U134,"")</f>
        <v>4710651972</v>
      </c>
      <c r="W134" s="80">
        <f t="shared" ref="W134:W160" si="19">+IFERROR(V134/P134,"")</f>
        <v>7310.7037665864827</v>
      </c>
      <c r="X134" s="80">
        <f t="shared" ref="X134:X166" si="20">IFERROR(W134*L134,"")</f>
        <v>4386.4222599518898</v>
      </c>
      <c r="Y134" s="1402" t="str">
        <f>+IF(X134="","",IF(X134&gt;=[10]PARÁMETROS!$D$5,"CUMPLE","NO CUMPLE"))</f>
        <v>CUMPLE</v>
      </c>
      <c r="Z134" s="124"/>
    </row>
    <row r="135" spans="1:26" ht="157.5" thickBot="1">
      <c r="A135" s="1612"/>
      <c r="B135" s="1509" t="s">
        <v>1903</v>
      </c>
      <c r="C135" s="308" t="s">
        <v>589</v>
      </c>
      <c r="D135" s="82">
        <v>5</v>
      </c>
      <c r="E135" s="101" t="str">
        <f>+IFERROR(INDEX([4]CONSOLIDADO!$D$4:$D$108,MATCH('Concur - Exp. Especifica'!C135,[4]CONSOLIDADO!$C$4:$C$108,0)),"")</f>
        <v>MAB INGENIERIA DE VALOR S.A.</v>
      </c>
      <c r="F135" s="84" t="s">
        <v>448</v>
      </c>
      <c r="G135" s="85" t="s">
        <v>1904</v>
      </c>
      <c r="H135" s="1393" t="s">
        <v>22</v>
      </c>
      <c r="I135" s="1393" t="s">
        <v>129</v>
      </c>
      <c r="J135" s="1393" t="s">
        <v>22</v>
      </c>
      <c r="K135" s="1393" t="s">
        <v>129</v>
      </c>
      <c r="L135" s="86">
        <v>0.7</v>
      </c>
      <c r="M135" s="87">
        <v>39615</v>
      </c>
      <c r="N135" s="87">
        <v>41502</v>
      </c>
      <c r="O135" s="88">
        <f>IF(N135="","",YEAR(N135))</f>
        <v>2013</v>
      </c>
      <c r="P135" s="89">
        <f>+IFERROR(INDEX([10]PARÁMETROS!$B$11:$B$37,MATCH(O135,[10]PARÁMETROS!$A$11:$A$37,0)),"")</f>
        <v>589500</v>
      </c>
      <c r="Q135" s="90">
        <v>29607256941</v>
      </c>
      <c r="R135" s="286" t="s">
        <v>151</v>
      </c>
      <c r="S135" s="308" t="s">
        <v>140</v>
      </c>
      <c r="T135" s="297" t="s">
        <v>140</v>
      </c>
      <c r="U135" s="309">
        <v>1</v>
      </c>
      <c r="V135" s="89">
        <f>IF(U135&lt;&gt;"",Q135*U135,"")</f>
        <v>29607256941</v>
      </c>
      <c r="W135" s="94">
        <f>+IFERROR(V135/P135,"")</f>
        <v>50224.354437659036</v>
      </c>
      <c r="X135" s="94">
        <f>IFERROR(W135*L135,"")</f>
        <v>35157.048106361326</v>
      </c>
      <c r="Y135" s="1400" t="str">
        <f>+IF(X135="","",IF(X135&gt;=[10]PARÁMETROS!$J$5,"CUMPLE","NO CUMPLE"))</f>
        <v>CUMPLE</v>
      </c>
      <c r="Z135" s="96"/>
    </row>
    <row r="136" spans="1:26" ht="72" thickBot="1">
      <c r="A136" s="1612"/>
      <c r="B136" s="1510"/>
      <c r="C136" s="19" t="s">
        <v>589</v>
      </c>
      <c r="D136" s="170">
        <v>32</v>
      </c>
      <c r="E136" s="101" t="str">
        <f>+IFERROR(INDEX([4]CONSOLIDADO!$D$4:$D$108,MATCH('Concur - Exp. Especifica'!C136,[4]CONSOLIDADO!$C$4:$C$108,0)),"")</f>
        <v>MAB INGENIERIA DE VALOR S.A.</v>
      </c>
      <c r="F136" s="22" t="s">
        <v>517</v>
      </c>
      <c r="G136" s="23" t="s">
        <v>2383</v>
      </c>
      <c r="H136" s="1388" t="s">
        <v>22</v>
      </c>
      <c r="I136" s="1388" t="s">
        <v>22</v>
      </c>
      <c r="J136" s="1388" t="s">
        <v>22</v>
      </c>
      <c r="K136" s="1388" t="s">
        <v>129</v>
      </c>
      <c r="L136" s="24">
        <v>0.4</v>
      </c>
      <c r="M136" s="25">
        <v>40567</v>
      </c>
      <c r="N136" s="25">
        <v>42226</v>
      </c>
      <c r="O136" s="26">
        <f t="shared" si="17"/>
        <v>2015</v>
      </c>
      <c r="P136" s="27">
        <f>+IFERROR(INDEX([10]PARÁMETROS!$B$11:$B$37,MATCH(O136,[10]PARÁMETROS!$A$11:$A$37,0)),"")</f>
        <v>644350</v>
      </c>
      <c r="Q136" s="310">
        <v>39896268072</v>
      </c>
      <c r="R136" s="29" t="s">
        <v>151</v>
      </c>
      <c r="S136" s="19" t="s">
        <v>140</v>
      </c>
      <c r="T136" s="30" t="s">
        <v>140</v>
      </c>
      <c r="U136" s="31">
        <v>1</v>
      </c>
      <c r="V136" s="257">
        <f t="shared" si="18"/>
        <v>39896268072</v>
      </c>
      <c r="W136" s="16">
        <f t="shared" si="19"/>
        <v>61917.076234965469</v>
      </c>
      <c r="X136" s="16">
        <f t="shared" si="20"/>
        <v>24766.830493986188</v>
      </c>
      <c r="Y136" s="1388" t="str">
        <f>+IF(X136="","",IF(X136&gt;=[10]PARÁMETROS!$D$5,"CUMPLE","NO CUMPLE"))</f>
        <v>CUMPLE</v>
      </c>
      <c r="Z136" s="97"/>
    </row>
    <row r="137" spans="1:26" ht="48" thickBot="1">
      <c r="A137" s="1612"/>
      <c r="B137" s="1510"/>
      <c r="C137" s="68" t="s">
        <v>589</v>
      </c>
      <c r="D137" s="170">
        <v>44</v>
      </c>
      <c r="E137" s="101" t="str">
        <f>+IFERROR(INDEX([4]CONSOLIDADO!$D$4:$D$108,MATCH('Concur - Exp. Especifica'!C137,[4]CONSOLIDADO!$C$4:$C$108,0)),"")</f>
        <v>MAB INGENIERIA DE VALOR S.A.</v>
      </c>
      <c r="F137" s="22" t="s">
        <v>949</v>
      </c>
      <c r="G137" s="23" t="s">
        <v>2384</v>
      </c>
      <c r="H137" s="1388" t="s">
        <v>22</v>
      </c>
      <c r="I137" s="1388" t="s">
        <v>129</v>
      </c>
      <c r="J137" s="1388" t="s">
        <v>22</v>
      </c>
      <c r="K137" s="1388" t="s">
        <v>129</v>
      </c>
      <c r="L137" s="24">
        <v>0.55000000000000004</v>
      </c>
      <c r="M137" s="25">
        <v>39856</v>
      </c>
      <c r="N137" s="25">
        <v>40979</v>
      </c>
      <c r="O137" s="26">
        <f t="shared" si="17"/>
        <v>2012</v>
      </c>
      <c r="P137" s="27">
        <f>+IFERROR(INDEX([10]PARÁMETROS!$B$11:$B$37,MATCH(O137,[10]PARÁMETROS!$A$11:$A$37,0)),"")</f>
        <v>566700</v>
      </c>
      <c r="Q137" s="28">
        <v>3720919329.1999998</v>
      </c>
      <c r="R137" s="29" t="s">
        <v>151</v>
      </c>
      <c r="S137" s="19" t="s">
        <v>140</v>
      </c>
      <c r="T137" s="30" t="s">
        <v>140</v>
      </c>
      <c r="U137" s="31">
        <v>1</v>
      </c>
      <c r="V137" s="27">
        <f t="shared" si="18"/>
        <v>3720919329.1999998</v>
      </c>
      <c r="W137" s="16">
        <f t="shared" si="19"/>
        <v>6565.9419961178755</v>
      </c>
      <c r="X137" s="16">
        <f t="shared" si="20"/>
        <v>3611.2680978648318</v>
      </c>
      <c r="Y137" s="1388" t="str">
        <f>+IF(X137="","",IF(X137&gt;=[10]PARÁMETROS!$D$5,"CUMPLE","NO CUMPLE"))</f>
        <v>CUMPLE</v>
      </c>
      <c r="Z137" s="97"/>
    </row>
    <row r="138" spans="1:26" ht="72" thickBot="1">
      <c r="A138" s="1612"/>
      <c r="B138" s="1511"/>
      <c r="C138" s="19" t="s">
        <v>593</v>
      </c>
      <c r="D138" s="20">
        <v>57</v>
      </c>
      <c r="E138" s="101" t="str">
        <f>+IFERROR(INDEX([4]CONSOLIDADO!$D$4:$D$108,MATCH('Concur - Exp. Especifica'!C138,[4]CONSOLIDADO!$C$4:$C$108,0)),"")</f>
        <v>MAB SERVICIOS S.A.S.</v>
      </c>
      <c r="F138" s="22" t="s">
        <v>1563</v>
      </c>
      <c r="G138" s="22" t="s">
        <v>1905</v>
      </c>
      <c r="H138" s="1388" t="s">
        <v>22</v>
      </c>
      <c r="I138" s="1388" t="s">
        <v>129</v>
      </c>
      <c r="J138" s="1388" t="s">
        <v>22</v>
      </c>
      <c r="K138" s="1388" t="s">
        <v>129</v>
      </c>
      <c r="L138" s="34">
        <v>0.45</v>
      </c>
      <c r="M138" s="25">
        <v>40339</v>
      </c>
      <c r="N138" s="25">
        <v>41182</v>
      </c>
      <c r="O138" s="26">
        <f>IF(N138="","",YEAR(N138))</f>
        <v>2012</v>
      </c>
      <c r="P138" s="27">
        <f>+IFERROR(INDEX([10]PARÁMETROS!$B$11:$B$37,MATCH(O138,[10]PARÁMETROS!$A$11:$A$37,0)),"")</f>
        <v>566700</v>
      </c>
      <c r="Q138" s="35">
        <v>3960376808</v>
      </c>
      <c r="R138" s="27" t="s">
        <v>151</v>
      </c>
      <c r="S138" s="19" t="s">
        <v>140</v>
      </c>
      <c r="T138" s="30" t="s">
        <v>140</v>
      </c>
      <c r="U138" s="31">
        <v>1</v>
      </c>
      <c r="V138" s="27">
        <f>IF(U138&lt;&gt;"",Q138*U138,"")</f>
        <v>3960376808</v>
      </c>
      <c r="W138" s="16">
        <f>+IFERROR(V138/P138,"")</f>
        <v>6988.4891618140109</v>
      </c>
      <c r="X138" s="16">
        <f>IFERROR(W138*L138,"")</f>
        <v>3144.8201228163048</v>
      </c>
      <c r="Y138" s="1388" t="str">
        <f>+IF(X138="","",IF(X138&gt;=[10]PARÁMETROS!$J$5,"CUMPLE","NO CUMPLE"))</f>
        <v>CUMPLE</v>
      </c>
      <c r="Z138" s="97"/>
    </row>
    <row r="139" spans="1:26" ht="129" thickBot="1">
      <c r="A139" s="1612"/>
      <c r="B139" s="1509" t="s">
        <v>1907</v>
      </c>
      <c r="C139" s="81" t="s">
        <v>599</v>
      </c>
      <c r="D139" s="169">
        <v>13</v>
      </c>
      <c r="E139" s="101" t="str">
        <f>+IFERROR(INDEX([4]CONSOLIDADO!$D$4:$D$108,MATCH('Concur - Exp. Especifica'!C139,[4]CONSOLIDADO!$C$4:$C$108,0)),"")</f>
        <v>PABLO EMILIO BRAVO CONSULTORES S.A.S</v>
      </c>
      <c r="F139" s="84" t="s">
        <v>517</v>
      </c>
      <c r="G139" s="85" t="s">
        <v>1908</v>
      </c>
      <c r="H139" s="1393" t="s">
        <v>22</v>
      </c>
      <c r="I139" s="1393" t="s">
        <v>22</v>
      </c>
      <c r="J139" s="1393" t="s">
        <v>22</v>
      </c>
      <c r="K139" s="1393" t="s">
        <v>129</v>
      </c>
      <c r="L139" s="284">
        <v>0.33329999999999999</v>
      </c>
      <c r="M139" s="87">
        <v>41011</v>
      </c>
      <c r="N139" s="87">
        <v>42131</v>
      </c>
      <c r="O139" s="88">
        <f>IF(N139="","",YEAR(N139))</f>
        <v>2015</v>
      </c>
      <c r="P139" s="89">
        <f>+IFERROR(INDEX([10]PARÁMETROS!$B$11:$B$37,MATCH(O139,[10]PARÁMETROS!$A$11:$A$37,0)),"")</f>
        <v>644350</v>
      </c>
      <c r="Q139" s="90">
        <v>27508341464</v>
      </c>
      <c r="R139" s="91" t="s">
        <v>151</v>
      </c>
      <c r="S139" s="81" t="s">
        <v>140</v>
      </c>
      <c r="T139" s="92" t="s">
        <v>140</v>
      </c>
      <c r="U139" s="93">
        <v>1</v>
      </c>
      <c r="V139" s="89">
        <f>IF(U139&lt;&gt;"",Q139*U139,"")</f>
        <v>27508341464</v>
      </c>
      <c r="W139" s="94">
        <f>+IFERROR(V139/P139,"")</f>
        <v>42691.613973772015</v>
      </c>
      <c r="X139" s="94">
        <f>IFERROR(W139*L139,"")</f>
        <v>14229.114937458213</v>
      </c>
      <c r="Y139" s="1400" t="str">
        <f>+IF(X139="","",IF(X139&gt;=[10]PARÁMETROS!$D$5,"CUMPLE","NO CUMPLE"))</f>
        <v>CUMPLE</v>
      </c>
      <c r="Z139" s="96"/>
    </row>
    <row r="140" spans="1:26" ht="63.75" thickBot="1">
      <c r="A140" s="1612"/>
      <c r="B140" s="1510"/>
      <c r="C140" s="19" t="s">
        <v>599</v>
      </c>
      <c r="D140" s="170">
        <v>65</v>
      </c>
      <c r="E140" s="101" t="str">
        <f>+IFERROR(INDEX([4]CONSOLIDADO!$D$4:$D$108,MATCH('Concur - Exp. Especifica'!C140,[4]CONSOLIDADO!$C$4:$C$108,0)),"")</f>
        <v>PABLO EMILIO BRAVO CONSULTORES S.A.S</v>
      </c>
      <c r="F140" s="22" t="s">
        <v>949</v>
      </c>
      <c r="G140" s="22" t="s">
        <v>1909</v>
      </c>
      <c r="H140" s="1388" t="s">
        <v>22</v>
      </c>
      <c r="I140" s="1388" t="s">
        <v>129</v>
      </c>
      <c r="J140" s="1388" t="s">
        <v>22</v>
      </c>
      <c r="K140" s="1388" t="s">
        <v>129</v>
      </c>
      <c r="L140" s="34">
        <v>0.5</v>
      </c>
      <c r="M140" s="25">
        <v>36312</v>
      </c>
      <c r="N140" s="25">
        <v>37833</v>
      </c>
      <c r="O140" s="26">
        <f>IF(N140="","",YEAR(N140))</f>
        <v>2003</v>
      </c>
      <c r="P140" s="27">
        <f>+IFERROR(INDEX([10]PARÁMETROS!$B$11:$B$37,MATCH(O140,[10]PARÁMETROS!$A$11:$A$37,0)),"")</f>
        <v>332000</v>
      </c>
      <c r="Q140" s="35">
        <v>5331439397</v>
      </c>
      <c r="R140" s="27" t="s">
        <v>151</v>
      </c>
      <c r="S140" s="19" t="s">
        <v>140</v>
      </c>
      <c r="T140" s="30" t="s">
        <v>140</v>
      </c>
      <c r="U140" s="31">
        <v>1</v>
      </c>
      <c r="V140" s="27">
        <f>IF(U140&lt;&gt;"",Q140*U140,"")</f>
        <v>5331439397</v>
      </c>
      <c r="W140" s="16">
        <f>+IFERROR(V140/P140,"")</f>
        <v>16058.55240060241</v>
      </c>
      <c r="X140" s="16">
        <f>IFERROR(W140*L140,"")</f>
        <v>8029.2762003012049</v>
      </c>
      <c r="Y140" s="1388" t="str">
        <f>+IF(X140="","",IF(X140&gt;=[10]PARÁMETROS!$D$5,"CUMPLE","NO CUMPLE"))</f>
        <v>CUMPLE</v>
      </c>
      <c r="Z140" s="97"/>
    </row>
    <row r="141" spans="1:26" ht="63.75" thickBot="1">
      <c r="A141" s="1612"/>
      <c r="B141" s="1510"/>
      <c r="C141" s="19" t="s">
        <v>599</v>
      </c>
      <c r="D141" s="170">
        <v>80</v>
      </c>
      <c r="E141" s="101" t="str">
        <f>+IFERROR(INDEX([4]CONSOLIDADO!$D$4:$D$108,MATCH('Concur - Exp. Especifica'!C141,[4]CONSOLIDADO!$C$4:$C$108,0)),"")</f>
        <v>PABLO EMILIO BRAVO CONSULTORES S.A.S</v>
      </c>
      <c r="F141" s="22" t="s">
        <v>949</v>
      </c>
      <c r="G141" s="23" t="s">
        <v>2385</v>
      </c>
      <c r="H141" s="1388" t="s">
        <v>22</v>
      </c>
      <c r="I141" s="1388" t="s">
        <v>129</v>
      </c>
      <c r="J141" s="1388" t="s">
        <v>22</v>
      </c>
      <c r="K141" s="1388" t="s">
        <v>129</v>
      </c>
      <c r="L141" s="24">
        <v>0.5</v>
      </c>
      <c r="M141" s="25">
        <v>35612</v>
      </c>
      <c r="N141" s="25">
        <v>36311</v>
      </c>
      <c r="O141" s="26">
        <f t="shared" si="17"/>
        <v>1999</v>
      </c>
      <c r="P141" s="27">
        <f>+IFERROR(INDEX([10]PARÁMETROS!$B$11:$B$37,MATCH(O141,[10]PARÁMETROS!$A$11:$A$37,0)),"")</f>
        <v>236460</v>
      </c>
      <c r="Q141" s="28">
        <v>1549994366</v>
      </c>
      <c r="R141" s="29" t="s">
        <v>151</v>
      </c>
      <c r="S141" s="19" t="s">
        <v>140</v>
      </c>
      <c r="T141" s="30" t="s">
        <v>140</v>
      </c>
      <c r="U141" s="31">
        <v>1</v>
      </c>
      <c r="V141" s="27">
        <f t="shared" si="18"/>
        <v>1549994366</v>
      </c>
      <c r="W141" s="16">
        <f t="shared" si="19"/>
        <v>6554.9960500718935</v>
      </c>
      <c r="X141" s="16">
        <f t="shared" si="20"/>
        <v>3277.4980250359467</v>
      </c>
      <c r="Y141" s="1388" t="str">
        <f>+IF(X141="","",IF(X141&gt;=[10]PARÁMETROS!$D$5,"CUMPLE","NO CUMPLE"))</f>
        <v>CUMPLE</v>
      </c>
      <c r="Z141" s="97"/>
    </row>
    <row r="142" spans="1:26" ht="63.75" thickBot="1">
      <c r="A142" s="1612"/>
      <c r="B142" s="1511"/>
      <c r="C142" s="19" t="s">
        <v>599</v>
      </c>
      <c r="D142" s="170">
        <v>90</v>
      </c>
      <c r="E142" s="101" t="str">
        <f>+IFERROR(INDEX([4]CONSOLIDADO!$D$4:$D$108,MATCH('Concur - Exp. Especifica'!C142,[4]CONSOLIDADO!$C$4:$C$108,0)),"")</f>
        <v>PABLO EMILIO BRAVO CONSULTORES S.A.S</v>
      </c>
      <c r="F142" s="22" t="s">
        <v>1910</v>
      </c>
      <c r="G142" s="23" t="s">
        <v>1911</v>
      </c>
      <c r="H142" s="1388" t="s">
        <v>22</v>
      </c>
      <c r="I142" s="1388" t="s">
        <v>22</v>
      </c>
      <c r="J142" s="1388" t="s">
        <v>22</v>
      </c>
      <c r="K142" s="1388" t="s">
        <v>129</v>
      </c>
      <c r="L142" s="24">
        <v>0.75</v>
      </c>
      <c r="M142" s="25">
        <v>39534</v>
      </c>
      <c r="N142" s="25">
        <v>40628</v>
      </c>
      <c r="O142" s="26">
        <f t="shared" si="17"/>
        <v>2011</v>
      </c>
      <c r="P142" s="27">
        <f>+IFERROR(INDEX([10]PARÁMETROS!$B$11:$B$37,MATCH(O142,[10]PARÁMETROS!$A$11:$A$37,0)),"")</f>
        <v>535600</v>
      </c>
      <c r="Q142" s="28">
        <v>3753633746</v>
      </c>
      <c r="R142" s="29" t="s">
        <v>151</v>
      </c>
      <c r="S142" s="19" t="s">
        <v>140</v>
      </c>
      <c r="T142" s="30" t="s">
        <v>140</v>
      </c>
      <c r="U142" s="31">
        <v>1</v>
      </c>
      <c r="V142" s="27">
        <f t="shared" si="18"/>
        <v>3753633746</v>
      </c>
      <c r="W142" s="16">
        <f t="shared" si="19"/>
        <v>7008.2780918595963</v>
      </c>
      <c r="X142" s="16">
        <f t="shared" si="20"/>
        <v>5256.2085688946972</v>
      </c>
      <c r="Y142" s="1392" t="str">
        <f>+IF(X142="","",IF(X142&gt;=[10]PARÁMETROS!$D$5,"CUMPLE","NO CUMPLE"))</f>
        <v>CUMPLE</v>
      </c>
      <c r="Z142" s="97"/>
    </row>
    <row r="143" spans="1:26" ht="72" thickBot="1">
      <c r="A143" s="1612"/>
      <c r="B143" s="1509" t="s">
        <v>1918</v>
      </c>
      <c r="C143" s="81" t="s">
        <v>614</v>
      </c>
      <c r="D143" s="169">
        <v>5</v>
      </c>
      <c r="E143" s="101" t="str">
        <f>+IFERROR(INDEX([4]CONSOLIDADO!$D$4:$D$108,MATCH('Concur - Exp. Especifica'!C143,[4]CONSOLIDADO!$C$4:$C$108,0)),"")</f>
        <v>CONSULTORES DE INGENIERIA UG 21 SL SUCURSAL</v>
      </c>
      <c r="F143" s="84" t="s">
        <v>2386</v>
      </c>
      <c r="G143" s="85" t="s">
        <v>1920</v>
      </c>
      <c r="H143" s="1393" t="s">
        <v>22</v>
      </c>
      <c r="I143" s="1393" t="s">
        <v>129</v>
      </c>
      <c r="J143" s="1393" t="s">
        <v>22</v>
      </c>
      <c r="K143" s="1393" t="s">
        <v>22</v>
      </c>
      <c r="L143" s="302">
        <v>1</v>
      </c>
      <c r="M143" s="303">
        <v>38338</v>
      </c>
      <c r="N143" s="304">
        <v>39082</v>
      </c>
      <c r="O143" s="88">
        <f t="shared" si="17"/>
        <v>2006</v>
      </c>
      <c r="P143" s="89">
        <f>+IFERROR(INDEX([10]PARÁMETROS!$B$11:$B$37,MATCH(O143,[10]PARÁMETROS!$A$11:$A$37,0)),"")</f>
        <v>408000</v>
      </c>
      <c r="Q143" s="90">
        <v>449899.22</v>
      </c>
      <c r="R143" s="91" t="s">
        <v>142</v>
      </c>
      <c r="S143" s="81">
        <v>1.3192999999999999</v>
      </c>
      <c r="T143" s="92">
        <f>+S143*Q143</f>
        <v>593552.04094599991</v>
      </c>
      <c r="U143" s="93">
        <v>2238.79</v>
      </c>
      <c r="V143" s="89">
        <f>IF(U143&lt;&gt;"",T143*U143,"")</f>
        <v>1328838373.749495</v>
      </c>
      <c r="W143" s="94">
        <f t="shared" si="19"/>
        <v>3256.9567984056252</v>
      </c>
      <c r="X143" s="94">
        <f t="shared" si="20"/>
        <v>3256.9567984056252</v>
      </c>
      <c r="Y143" s="1400" t="str">
        <f>+IF(X143="","",IF(X143&gt;=[10]PARÁMETROS!$D$5,"CUMPLE","NO CUMPLE"))</f>
        <v>CUMPLE</v>
      </c>
      <c r="Z143" s="96"/>
    </row>
    <row r="144" spans="1:26" ht="72" thickBot="1">
      <c r="A144" s="1612"/>
      <c r="B144" s="1510"/>
      <c r="C144" s="19" t="s">
        <v>614</v>
      </c>
      <c r="D144" s="170">
        <v>8</v>
      </c>
      <c r="E144" s="101" t="str">
        <f>+IFERROR(INDEX([4]CONSOLIDADO!$D$4:$D$108,MATCH('Concur - Exp. Especifica'!C144,[4]CONSOLIDADO!$C$4:$C$108,0)),"")</f>
        <v>CONSULTORES DE INGENIERIA UG 21 SL SUCURSAL</v>
      </c>
      <c r="F144" s="22" t="s">
        <v>2387</v>
      </c>
      <c r="G144" s="311" t="s">
        <v>1921</v>
      </c>
      <c r="H144" s="1388" t="s">
        <v>22</v>
      </c>
      <c r="I144" s="1388" t="s">
        <v>129</v>
      </c>
      <c r="J144" s="1388" t="s">
        <v>22</v>
      </c>
      <c r="K144" s="1388" t="s">
        <v>129</v>
      </c>
      <c r="L144" s="302">
        <v>0.4</v>
      </c>
      <c r="M144" s="303">
        <v>41282</v>
      </c>
      <c r="N144" s="304">
        <v>42247</v>
      </c>
      <c r="O144" s="26">
        <f t="shared" si="17"/>
        <v>2015</v>
      </c>
      <c r="P144" s="27">
        <f>+IFERROR(INDEX([10]PARÁMETROS!$B$11:$B$37,MATCH(O144,[10]PARÁMETROS!$A$11:$A$37,0)),"")</f>
        <v>644350</v>
      </c>
      <c r="Q144" s="28">
        <v>13726499698</v>
      </c>
      <c r="R144" s="29" t="s">
        <v>151</v>
      </c>
      <c r="S144" s="19" t="s">
        <v>140</v>
      </c>
      <c r="T144" s="30" t="s">
        <v>140</v>
      </c>
      <c r="U144" s="31">
        <v>1</v>
      </c>
      <c r="V144" s="27">
        <f>IF(U144&lt;&gt;"",Q144*U144,"")</f>
        <v>13726499698</v>
      </c>
      <c r="W144" s="16">
        <f t="shared" si="19"/>
        <v>21302.862881974081</v>
      </c>
      <c r="X144" s="16">
        <f t="shared" si="20"/>
        <v>8521.1451527896334</v>
      </c>
      <c r="Y144" s="1388" t="str">
        <f>+IF(X144="","",IF(X144&gt;=[10]PARÁMETROS!$D$5,"CUMPLE","NO CUMPLE"))</f>
        <v>CUMPLE</v>
      </c>
      <c r="Z144" s="97"/>
    </row>
    <row r="145" spans="1:26" ht="57.75" thickBot="1">
      <c r="A145" s="1612"/>
      <c r="B145" s="1510"/>
      <c r="C145" s="19" t="s">
        <v>626</v>
      </c>
      <c r="D145" s="170">
        <v>12</v>
      </c>
      <c r="E145" s="101" t="str">
        <f>+IFERROR(INDEX([4]CONSOLIDADO!$D$4:$D$108,MATCH('Concur - Exp. Especifica'!C145,[4]CONSOLIDADO!$C$4:$C$108,0)),"")</f>
        <v>ARDANUY COLOMBIA S.A.S.</v>
      </c>
      <c r="F145" s="22" t="s">
        <v>517</v>
      </c>
      <c r="G145" s="311" t="s">
        <v>754</v>
      </c>
      <c r="H145" s="1388" t="s">
        <v>129</v>
      </c>
      <c r="I145" s="1388" t="s">
        <v>22</v>
      </c>
      <c r="J145" s="1388" t="s">
        <v>22</v>
      </c>
      <c r="K145" s="1388" t="s">
        <v>129</v>
      </c>
      <c r="L145" s="24">
        <v>0.3</v>
      </c>
      <c r="M145" s="25">
        <v>41114</v>
      </c>
      <c r="N145" s="25">
        <v>42400</v>
      </c>
      <c r="O145" s="26">
        <f t="shared" si="17"/>
        <v>2016</v>
      </c>
      <c r="P145" s="27">
        <f>+IFERROR(INDEX([10]PARÁMETROS!$B$11:$B$37,MATCH(O145,[10]PARÁMETROS!$A$11:$A$37,0)),"")</f>
        <v>689554</v>
      </c>
      <c r="Q145" s="28">
        <v>11162869010</v>
      </c>
      <c r="R145" s="29" t="s">
        <v>151</v>
      </c>
      <c r="S145" s="19" t="s">
        <v>140</v>
      </c>
      <c r="T145" s="30" t="s">
        <v>140</v>
      </c>
      <c r="U145" s="31">
        <v>1</v>
      </c>
      <c r="V145" s="27">
        <f t="shared" si="18"/>
        <v>11162869010</v>
      </c>
      <c r="W145" s="16">
        <f t="shared" si="19"/>
        <v>16188.534922573141</v>
      </c>
      <c r="X145" s="16">
        <f t="shared" si="20"/>
        <v>4856.5604767719424</v>
      </c>
      <c r="Y145" s="1388" t="str">
        <f>+IF(X145="","",IF(X145&gt;=[10]PARÁMETROS!$D$5,"CUMPLE","NO CUMPLE"))</f>
        <v>CUMPLE</v>
      </c>
      <c r="Z145" s="97"/>
    </row>
    <row r="146" spans="1:26" ht="57.75" thickBot="1">
      <c r="A146" s="1612"/>
      <c r="B146" s="1511"/>
      <c r="C146" s="19" t="s">
        <v>1926</v>
      </c>
      <c r="D146" s="170">
        <v>14</v>
      </c>
      <c r="E146" s="101" t="str">
        <f>+IFERROR(INDEX([4]CONSOLIDADO!$D$4:$D$108,MATCH('Concur - Exp. Especifica'!C146,[4]CONSOLIDADO!$C$4:$C$108,0)),"")</f>
        <v>GNC INGENIERIA S.A.S.</v>
      </c>
      <c r="F146" s="22" t="s">
        <v>448</v>
      </c>
      <c r="G146" s="23" t="s">
        <v>1927</v>
      </c>
      <c r="H146" s="1388" t="s">
        <v>22</v>
      </c>
      <c r="I146" s="1388" t="s">
        <v>129</v>
      </c>
      <c r="J146" s="1388" t="s">
        <v>22</v>
      </c>
      <c r="K146" s="1388" t="s">
        <v>129</v>
      </c>
      <c r="L146" s="302">
        <v>1</v>
      </c>
      <c r="M146" s="304">
        <v>41686</v>
      </c>
      <c r="N146" s="304">
        <v>42160</v>
      </c>
      <c r="O146" s="26">
        <f t="shared" si="17"/>
        <v>2015</v>
      </c>
      <c r="P146" s="27">
        <f>+IFERROR(INDEX([10]PARÁMETROS!$B$11:$B$37,MATCH(O146,[10]PARÁMETROS!$A$11:$A$37,0)),"")</f>
        <v>644350</v>
      </c>
      <c r="Q146" s="28">
        <v>1686799414</v>
      </c>
      <c r="R146" s="29" t="s">
        <v>151</v>
      </c>
      <c r="S146" s="19" t="s">
        <v>140</v>
      </c>
      <c r="T146" s="30" t="s">
        <v>140</v>
      </c>
      <c r="U146" s="31">
        <v>1</v>
      </c>
      <c r="V146" s="27">
        <f t="shared" si="18"/>
        <v>1686799414</v>
      </c>
      <c r="W146" s="16">
        <f t="shared" si="19"/>
        <v>2617.831014200357</v>
      </c>
      <c r="X146" s="16">
        <f t="shared" si="20"/>
        <v>2617.831014200357</v>
      </c>
      <c r="Y146" s="1392" t="str">
        <f>+IF(X146="","",IF(X146&gt;=[10]PARÁMETROS!$D$5,"CUMPLE","NO CUMPLE"))</f>
        <v>CUMPLE</v>
      </c>
      <c r="Z146" s="97"/>
    </row>
    <row r="147" spans="1:26" ht="57.75" thickBot="1">
      <c r="A147" s="1612"/>
      <c r="B147" s="1509" t="s">
        <v>1928</v>
      </c>
      <c r="C147" s="81" t="s">
        <v>638</v>
      </c>
      <c r="D147" s="169">
        <v>3</v>
      </c>
      <c r="E147" s="101" t="str">
        <f>+IFERROR(INDEX([4]CONSOLIDADO!$D$4:$D$108,MATCH('Concur - Exp. Especifica'!C147,[4]CONSOLIDADO!$C$4:$C$108,0)),"")</f>
        <v>INTERPRO S.A.S.</v>
      </c>
      <c r="F147" s="84" t="s">
        <v>517</v>
      </c>
      <c r="G147" s="85" t="s">
        <v>2388</v>
      </c>
      <c r="H147" s="1393" t="s">
        <v>22</v>
      </c>
      <c r="I147" s="1393" t="s">
        <v>22</v>
      </c>
      <c r="J147" s="1393" t="s">
        <v>22</v>
      </c>
      <c r="K147" s="1393" t="s">
        <v>129</v>
      </c>
      <c r="L147" s="312">
        <v>0.6</v>
      </c>
      <c r="M147" s="313">
        <v>41576</v>
      </c>
      <c r="N147" s="313">
        <v>42341</v>
      </c>
      <c r="O147" s="314">
        <f>IF(N147="","",YEAR(N147))</f>
        <v>2015</v>
      </c>
      <c r="P147" s="315">
        <f>+IFERROR(INDEX([20]PARÁMETROS!$B$11:$B$37,MATCH(O147,[20]PARÁMETROS!$A$11:$A$37,0)),"")</f>
        <v>644350</v>
      </c>
      <c r="Q147" s="316">
        <f>3104766426+777673535+114783566</f>
        <v>3997223527</v>
      </c>
      <c r="R147" s="317" t="s">
        <v>151</v>
      </c>
      <c r="S147" s="318" t="s">
        <v>326</v>
      </c>
      <c r="T147" s="319" t="s">
        <v>326</v>
      </c>
      <c r="U147" s="320">
        <v>1</v>
      </c>
      <c r="V147" s="315">
        <f>IF(U147&lt;&gt;"",Q147*U147,"")</f>
        <v>3997223527</v>
      </c>
      <c r="W147" s="321">
        <f>+IFERROR(V147/P147,"")</f>
        <v>6203.4973647862189</v>
      </c>
      <c r="X147" s="321">
        <f>IFERROR(W147*L147,"")</f>
        <v>3722.0984188717312</v>
      </c>
      <c r="Y147" s="1400" t="str">
        <f>+IF(X147="","",IF(X147&gt;=[10]PARÁMETROS!$D$5,"CUMPLE","NO CUMPLE"))</f>
        <v>CUMPLE</v>
      </c>
      <c r="Z147" s="96" t="s">
        <v>2389</v>
      </c>
    </row>
    <row r="148" spans="1:26" ht="57.75" thickBot="1">
      <c r="A148" s="1612"/>
      <c r="B148" s="1510"/>
      <c r="C148" s="19" t="s">
        <v>631</v>
      </c>
      <c r="D148" s="170">
        <v>54</v>
      </c>
      <c r="E148" s="101" t="str">
        <f>+IFERROR(INDEX([4]CONSOLIDADO!$D$4:$D$108,MATCH('Concur - Exp. Especifica'!C148,[4]CONSOLIDADO!$C$4:$C$108,0)),"")</f>
        <v>ETA S.A.</v>
      </c>
      <c r="F148" s="22" t="s">
        <v>448</v>
      </c>
      <c r="G148" s="23" t="s">
        <v>2390</v>
      </c>
      <c r="H148" s="1388" t="s">
        <v>22</v>
      </c>
      <c r="I148" s="1388" t="s">
        <v>129</v>
      </c>
      <c r="J148" s="1388" t="s">
        <v>22</v>
      </c>
      <c r="K148" s="1388" t="s">
        <v>129</v>
      </c>
      <c r="L148" s="24">
        <v>0.6</v>
      </c>
      <c r="M148" s="25">
        <v>37432</v>
      </c>
      <c r="N148" s="25">
        <v>38352</v>
      </c>
      <c r="O148" s="26">
        <f t="shared" si="17"/>
        <v>2004</v>
      </c>
      <c r="P148" s="27">
        <f>+IFERROR(INDEX([10]PARÁMETROS!$B$11:$B$37,MATCH(O148,[10]PARÁMETROS!$A$11:$A$37,0)),"")</f>
        <v>358000</v>
      </c>
      <c r="Q148" s="28">
        <v>2437834762</v>
      </c>
      <c r="R148" s="29" t="s">
        <v>151</v>
      </c>
      <c r="S148" s="19" t="s">
        <v>140</v>
      </c>
      <c r="T148" s="30" t="s">
        <v>140</v>
      </c>
      <c r="U148" s="31">
        <v>1</v>
      </c>
      <c r="V148" s="27">
        <f t="shared" si="18"/>
        <v>2437834762</v>
      </c>
      <c r="W148" s="16">
        <f t="shared" si="19"/>
        <v>6809.5943072625696</v>
      </c>
      <c r="X148" s="16">
        <f t="shared" si="20"/>
        <v>4085.7565843575417</v>
      </c>
      <c r="Y148" s="1388" t="str">
        <f>+IF(X148="","",IF(X148&gt;=[10]PARÁMETROS!$D$5,"CUMPLE","NO CUMPLE"))</f>
        <v>CUMPLE</v>
      </c>
      <c r="Z148" s="97"/>
    </row>
    <row r="149" spans="1:26" ht="114.75" thickBot="1">
      <c r="A149" s="1612"/>
      <c r="B149" s="1510"/>
      <c r="C149" s="19" t="s">
        <v>631</v>
      </c>
      <c r="D149" s="170">
        <v>63</v>
      </c>
      <c r="E149" s="101" t="str">
        <f>+IFERROR(INDEX([4]CONSOLIDADO!$D$4:$D$108,MATCH('Concur - Exp. Especifica'!C149,[4]CONSOLIDADO!$C$4:$C$108,0)),"")</f>
        <v>ETA S.A.</v>
      </c>
      <c r="F149" s="37" t="s">
        <v>1929</v>
      </c>
      <c r="G149" s="23" t="s">
        <v>2391</v>
      </c>
      <c r="H149" s="1388" t="s">
        <v>22</v>
      </c>
      <c r="I149" s="1388" t="s">
        <v>129</v>
      </c>
      <c r="J149" s="1388" t="s">
        <v>22</v>
      </c>
      <c r="K149" s="1388" t="s">
        <v>129</v>
      </c>
      <c r="L149" s="24">
        <v>0.5</v>
      </c>
      <c r="M149" s="25">
        <v>39004</v>
      </c>
      <c r="N149" s="25">
        <v>39667</v>
      </c>
      <c r="O149" s="26">
        <f t="shared" si="17"/>
        <v>2008</v>
      </c>
      <c r="P149" s="27">
        <f>+IFERROR(INDEX([22]PARÁMETROS!$B$11:$B$37,MATCH(O149,[22]PARÁMETROS!$A$11:$A$37,0)),"")</f>
        <v>461500</v>
      </c>
      <c r="Q149" s="28">
        <v>3848051306</v>
      </c>
      <c r="R149" s="29" t="s">
        <v>151</v>
      </c>
      <c r="S149" s="19" t="s">
        <v>140</v>
      </c>
      <c r="T149" s="30" t="s">
        <v>140</v>
      </c>
      <c r="U149" s="31">
        <v>1</v>
      </c>
      <c r="V149" s="27">
        <f t="shared" si="18"/>
        <v>3848051306</v>
      </c>
      <c r="W149" s="16">
        <f t="shared" si="19"/>
        <v>8338.13934127844</v>
      </c>
      <c r="X149" s="16">
        <f t="shared" si="20"/>
        <v>4169.06967063922</v>
      </c>
      <c r="Y149" s="1388" t="str">
        <f>+IF(X149="","",IF(X149&gt;=[22]PARÁMETROS!$D$5,"CUMPLE","NO CUMPLE"))</f>
        <v>CUMPLE</v>
      </c>
      <c r="Z149" s="322" t="s">
        <v>2392</v>
      </c>
    </row>
    <row r="150" spans="1:26" ht="114.75" thickBot="1">
      <c r="A150" s="1612"/>
      <c r="B150" s="1511"/>
      <c r="C150" s="99" t="s">
        <v>638</v>
      </c>
      <c r="D150" s="178">
        <v>63</v>
      </c>
      <c r="E150" s="101" t="str">
        <f>+IFERROR(INDEX([4]CONSOLIDADO!$D$4:$D$108,MATCH('Concur - Exp. Especifica'!C150,[4]CONSOLIDADO!$C$4:$C$108,0)),"")</f>
        <v>INTERPRO S.A.S.</v>
      </c>
      <c r="F150" s="102" t="s">
        <v>1929</v>
      </c>
      <c r="G150" s="103" t="s">
        <v>2391</v>
      </c>
      <c r="H150" s="1392" t="s">
        <v>22</v>
      </c>
      <c r="I150" s="1392" t="s">
        <v>129</v>
      </c>
      <c r="J150" s="1392" t="s">
        <v>22</v>
      </c>
      <c r="K150" s="1392" t="s">
        <v>129</v>
      </c>
      <c r="L150" s="104">
        <v>0.5</v>
      </c>
      <c r="M150" s="105">
        <v>39004</v>
      </c>
      <c r="N150" s="105">
        <v>39667</v>
      </c>
      <c r="O150" s="106">
        <f>IF(N150="","",YEAR(N150))</f>
        <v>2008</v>
      </c>
      <c r="P150" s="107">
        <f>+IFERROR(INDEX([22]PARÁMETROS!$B$11:$B$37,MATCH(O150,[22]PARÁMETROS!$A$11:$A$37,0)),"")</f>
        <v>461500</v>
      </c>
      <c r="Q150" s="108">
        <v>3848051306</v>
      </c>
      <c r="R150" s="109" t="s">
        <v>151</v>
      </c>
      <c r="S150" s="99" t="s">
        <v>140</v>
      </c>
      <c r="T150" s="110" t="s">
        <v>140</v>
      </c>
      <c r="U150" s="111">
        <v>1</v>
      </c>
      <c r="V150" s="107">
        <f>IF(U150&lt;&gt;"",Q150*U150,"")</f>
        <v>3848051306</v>
      </c>
      <c r="W150" s="112">
        <f>+IFERROR(V150/P150,"")</f>
        <v>8338.13934127844</v>
      </c>
      <c r="X150" s="112">
        <f>IFERROR(W150*L150,"")</f>
        <v>4169.06967063922</v>
      </c>
      <c r="Y150" s="1392" t="str">
        <f>+IF(X150="","",IF(X150&gt;=[22]PARÁMETROS!$D$5,"CUMPLE","NO CUMPLE"))</f>
        <v>CUMPLE</v>
      </c>
      <c r="Z150" s="323" t="s">
        <v>2392</v>
      </c>
    </row>
    <row r="151" spans="1:26" ht="57.75" thickBot="1">
      <c r="A151" s="1612"/>
      <c r="B151" s="1509" t="s">
        <v>1934</v>
      </c>
      <c r="C151" s="81" t="s">
        <v>644</v>
      </c>
      <c r="D151" s="169">
        <v>4</v>
      </c>
      <c r="E151" s="101" t="str">
        <f>+IFERROR(INDEX([4]CONSOLIDADO!$D$4:$D$108,MATCH('Concur - Exp. Especifica'!C151,[4]CONSOLIDADO!$C$4:$C$108,0)),"")</f>
        <v>SERINCO COLOMBIA</v>
      </c>
      <c r="F151" s="84" t="s">
        <v>214</v>
      </c>
      <c r="G151" s="85" t="s">
        <v>2393</v>
      </c>
      <c r="H151" s="1393" t="s">
        <v>129</v>
      </c>
      <c r="I151" s="1393" t="s">
        <v>129</v>
      </c>
      <c r="J151" s="1393" t="s">
        <v>22</v>
      </c>
      <c r="K151" s="1393" t="s">
        <v>129</v>
      </c>
      <c r="L151" s="86">
        <v>0.5</v>
      </c>
      <c r="M151" s="87">
        <v>36564</v>
      </c>
      <c r="N151" s="87">
        <v>38175</v>
      </c>
      <c r="O151" s="88">
        <f t="shared" si="17"/>
        <v>2004</v>
      </c>
      <c r="P151" s="89">
        <f>+IFERROR(INDEX([10]PARÁMETROS!$B$11:$B$37,MATCH(O151,[10]PARÁMETROS!$A$11:$A$37,0)),"")</f>
        <v>358000</v>
      </c>
      <c r="Q151" s="90">
        <v>1913345.14</v>
      </c>
      <c r="R151" s="91" t="s">
        <v>142</v>
      </c>
      <c r="S151" s="81">
        <v>1.2287999999999999</v>
      </c>
      <c r="T151" s="92">
        <f>+S151*Q151</f>
        <v>2351118.5080319997</v>
      </c>
      <c r="U151" s="93">
        <v>2672.95</v>
      </c>
      <c r="V151" s="89">
        <f t="shared" si="18"/>
        <v>5114275891.9629993</v>
      </c>
      <c r="W151" s="94">
        <f t="shared" si="19"/>
        <v>14285.686849058657</v>
      </c>
      <c r="X151" s="94">
        <f t="shared" si="20"/>
        <v>7142.8434245293283</v>
      </c>
      <c r="Y151" s="1400" t="str">
        <f>+IF(X151="","",IF(X151&gt;=[10]PARÁMETROS!$D$5,"CUMPLE","NO CUMPLE"))</f>
        <v>CUMPLE</v>
      </c>
      <c r="Z151" s="96"/>
    </row>
    <row r="152" spans="1:26" ht="57.75" thickBot="1">
      <c r="A152" s="1612"/>
      <c r="B152" s="1510"/>
      <c r="C152" s="19" t="s">
        <v>653</v>
      </c>
      <c r="D152" s="170">
        <v>8</v>
      </c>
      <c r="E152" s="101" t="str">
        <f>+IFERROR(INDEX([4]CONSOLIDADO!$D$4:$D$108,MATCH('Concur - Exp. Especifica'!C152,[4]CONSOLIDADO!$C$4:$C$108,0)),"")</f>
        <v>DICONSULTORIA S.A.</v>
      </c>
      <c r="F152" s="22" t="s">
        <v>2394</v>
      </c>
      <c r="G152" s="23" t="s">
        <v>2395</v>
      </c>
      <c r="H152" s="1388" t="s">
        <v>22</v>
      </c>
      <c r="I152" s="1388" t="s">
        <v>129</v>
      </c>
      <c r="J152" s="1388" t="s">
        <v>22</v>
      </c>
      <c r="K152" s="1388" t="s">
        <v>129</v>
      </c>
      <c r="L152" s="24">
        <v>1</v>
      </c>
      <c r="M152" s="25">
        <v>40792</v>
      </c>
      <c r="N152" s="25">
        <v>41325</v>
      </c>
      <c r="O152" s="26">
        <f t="shared" si="17"/>
        <v>2013</v>
      </c>
      <c r="P152" s="27">
        <f>+IFERROR(INDEX([10]PARÁMETROS!$B$11:$B$37,MATCH(O152,[10]PARÁMETROS!$A$11:$A$37,0)),"")</f>
        <v>589500</v>
      </c>
      <c r="Q152" s="28">
        <v>1708675592</v>
      </c>
      <c r="R152" s="29" t="s">
        <v>151</v>
      </c>
      <c r="S152" s="19" t="s">
        <v>140</v>
      </c>
      <c r="T152" s="30" t="s">
        <v>140</v>
      </c>
      <c r="U152" s="31">
        <v>1</v>
      </c>
      <c r="V152" s="27">
        <f t="shared" si="18"/>
        <v>1708675592</v>
      </c>
      <c r="W152" s="16">
        <f t="shared" si="19"/>
        <v>2898.5166955046648</v>
      </c>
      <c r="X152" s="16">
        <f t="shared" si="20"/>
        <v>2898.5166955046648</v>
      </c>
      <c r="Y152" s="1388" t="str">
        <f>+IF(X152="","",IF(X152&gt;=[10]PARÁMETROS!$D$5,"CUMPLE","NO CUMPLE"))</f>
        <v>CUMPLE</v>
      </c>
      <c r="Z152" s="97"/>
    </row>
    <row r="153" spans="1:26" ht="43.5" thickBot="1">
      <c r="A153" s="1612"/>
      <c r="B153" s="1510"/>
      <c r="C153" s="19" t="s">
        <v>653</v>
      </c>
      <c r="D153" s="170">
        <v>17</v>
      </c>
      <c r="E153" s="101" t="str">
        <f>+IFERROR(INDEX([4]CONSOLIDADO!$D$4:$D$108,MATCH('Concur - Exp. Especifica'!C153,[4]CONSOLIDADO!$C$4:$C$108,0)),"")</f>
        <v>DICONSULTORIA S.A.</v>
      </c>
      <c r="F153" s="22" t="s">
        <v>949</v>
      </c>
      <c r="G153" s="23" t="s">
        <v>2396</v>
      </c>
      <c r="H153" s="1388" t="s">
        <v>22</v>
      </c>
      <c r="I153" s="1388" t="s">
        <v>129</v>
      </c>
      <c r="J153" s="1388" t="s">
        <v>22</v>
      </c>
      <c r="K153" s="1388" t="s">
        <v>129</v>
      </c>
      <c r="L153" s="24">
        <v>0.5</v>
      </c>
      <c r="M153" s="25">
        <v>37411</v>
      </c>
      <c r="N153" s="25">
        <v>38776</v>
      </c>
      <c r="O153" s="26">
        <f t="shared" si="17"/>
        <v>2006</v>
      </c>
      <c r="P153" s="27">
        <f>+IFERROR(INDEX([10]PARÁMETROS!$B$11:$B$37,MATCH(O153,[10]PARÁMETROS!$A$11:$A$37,0)),"")</f>
        <v>408000</v>
      </c>
      <c r="Q153" s="28">
        <v>3791186168</v>
      </c>
      <c r="R153" s="29" t="s">
        <v>151</v>
      </c>
      <c r="S153" s="19" t="s">
        <v>140</v>
      </c>
      <c r="T153" s="30" t="s">
        <v>140</v>
      </c>
      <c r="U153" s="31">
        <v>1</v>
      </c>
      <c r="V153" s="27">
        <f t="shared" si="18"/>
        <v>3791186168</v>
      </c>
      <c r="W153" s="16">
        <f t="shared" si="19"/>
        <v>9292.1229607843143</v>
      </c>
      <c r="X153" s="16">
        <f t="shared" si="20"/>
        <v>4646.0614803921571</v>
      </c>
      <c r="Y153" s="1388" t="str">
        <f>+IF(X153="","",IF(X153&gt;=[10]PARÁMETROS!$D$5,"CUMPLE","NO CUMPLE"))</f>
        <v>CUMPLE</v>
      </c>
      <c r="Z153" s="97"/>
    </row>
    <row r="154" spans="1:26" ht="57.75" thickBot="1">
      <c r="A154" s="1612"/>
      <c r="B154" s="1553"/>
      <c r="C154" s="151" t="s">
        <v>653</v>
      </c>
      <c r="D154" s="172">
        <v>23</v>
      </c>
      <c r="E154" s="101" t="str">
        <f>+IFERROR(INDEX([4]CONSOLIDADO!$D$4:$D$108,MATCH('Concur - Exp. Especifica'!C154,[4]CONSOLIDADO!$C$4:$C$108,0)),"")</f>
        <v>DICONSULTORIA S.A.</v>
      </c>
      <c r="F154" s="154" t="s">
        <v>1910</v>
      </c>
      <c r="G154" s="155" t="s">
        <v>2397</v>
      </c>
      <c r="H154" s="1419" t="s">
        <v>22</v>
      </c>
      <c r="I154" s="1419" t="s">
        <v>22</v>
      </c>
      <c r="J154" s="1419" t="s">
        <v>22</v>
      </c>
      <c r="K154" s="1419" t="s">
        <v>129</v>
      </c>
      <c r="L154" s="156">
        <v>0.6</v>
      </c>
      <c r="M154" s="157">
        <v>37188</v>
      </c>
      <c r="N154" s="157">
        <v>38771</v>
      </c>
      <c r="O154" s="158">
        <f t="shared" si="17"/>
        <v>2006</v>
      </c>
      <c r="P154" s="159">
        <f>+IFERROR(INDEX([10]PARÁMETROS!$B$11:$B$37,MATCH(O154,[10]PARÁMETROS!$A$11:$A$37,0)),"")</f>
        <v>408000</v>
      </c>
      <c r="Q154" s="160">
        <v>2111434083</v>
      </c>
      <c r="R154" s="161" t="s">
        <v>151</v>
      </c>
      <c r="S154" s="151" t="s">
        <v>140</v>
      </c>
      <c r="T154" s="162" t="s">
        <v>140</v>
      </c>
      <c r="U154" s="163">
        <v>1</v>
      </c>
      <c r="V154" s="159">
        <f t="shared" si="18"/>
        <v>2111434083</v>
      </c>
      <c r="W154" s="164">
        <f t="shared" si="19"/>
        <v>5175.083536764706</v>
      </c>
      <c r="X154" s="164">
        <f t="shared" si="20"/>
        <v>3105.0501220588235</v>
      </c>
      <c r="Y154" s="1419" t="str">
        <f>+IF(X154="","",IF(X154&gt;=[10]PARÁMETROS!$D$5,"CUMPLE","NO CUMPLE"))</f>
        <v>CUMPLE</v>
      </c>
      <c r="Z154" s="195"/>
    </row>
    <row r="155" spans="1:26" ht="57.75" thickBot="1">
      <c r="A155" s="1612"/>
      <c r="B155" s="1509" t="s">
        <v>1941</v>
      </c>
      <c r="C155" s="81" t="s">
        <v>1944</v>
      </c>
      <c r="D155" s="169">
        <v>5</v>
      </c>
      <c r="E155" s="101" t="str">
        <f>+IFERROR(INDEX([4]CONSOLIDADO!$D$4:$D$108,MATCH('Concur - Exp. Especifica'!C155,[4]CONSOLIDADO!$C$4:$C$108,0)),"")</f>
        <v>WSP SERVICIOS S.A.S.</v>
      </c>
      <c r="F155" s="84" t="s">
        <v>1910</v>
      </c>
      <c r="G155" s="85" t="s">
        <v>1945</v>
      </c>
      <c r="H155" s="1393" t="s">
        <v>22</v>
      </c>
      <c r="I155" s="1393" t="s">
        <v>22</v>
      </c>
      <c r="J155" s="1393" t="s">
        <v>22</v>
      </c>
      <c r="K155" s="1393" t="s">
        <v>129</v>
      </c>
      <c r="L155" s="86">
        <v>1</v>
      </c>
      <c r="M155" s="87">
        <v>38279</v>
      </c>
      <c r="N155" s="87">
        <v>39813</v>
      </c>
      <c r="O155" s="88">
        <f t="shared" si="17"/>
        <v>2008</v>
      </c>
      <c r="P155" s="89">
        <f>+IFERROR(INDEX([11]PARÁMETROS!$B$11:$B$37,MATCH(O155,[11]PARÁMETROS!$A$11:$A$37,0)),"")</f>
        <v>461500</v>
      </c>
      <c r="Q155" s="90">
        <v>3975262277</v>
      </c>
      <c r="R155" s="91" t="s">
        <v>151</v>
      </c>
      <c r="S155" s="81" t="s">
        <v>140</v>
      </c>
      <c r="T155" s="92" t="s">
        <v>140</v>
      </c>
      <c r="U155" s="93">
        <v>1</v>
      </c>
      <c r="V155" s="89">
        <f t="shared" si="18"/>
        <v>3975262277</v>
      </c>
      <c r="W155" s="94">
        <f t="shared" si="19"/>
        <v>8613.7860823401952</v>
      </c>
      <c r="X155" s="94">
        <f t="shared" si="20"/>
        <v>8613.7860823401952</v>
      </c>
      <c r="Y155" s="1400" t="str">
        <f>+IF(X155="","",IF(X155&gt;=[10]PARÁMETROS!$D$5,"CUMPLE","NO CUMPLE"))</f>
        <v>CUMPLE</v>
      </c>
      <c r="Z155" s="96"/>
    </row>
    <row r="156" spans="1:26" ht="57.75" thickBot="1">
      <c r="A156" s="1612"/>
      <c r="B156" s="1510"/>
      <c r="C156" s="19" t="s">
        <v>1944</v>
      </c>
      <c r="D156" s="170">
        <v>9</v>
      </c>
      <c r="E156" s="101" t="str">
        <f>+IFERROR(INDEX([4]CONSOLIDADO!$D$4:$D$108,MATCH('Concur - Exp. Especifica'!C156,[4]CONSOLIDADO!$C$4:$C$108,0)),"")</f>
        <v>WSP SERVICIOS S.A.S.</v>
      </c>
      <c r="F156" s="22" t="s">
        <v>1946</v>
      </c>
      <c r="G156" s="23" t="s">
        <v>1947</v>
      </c>
      <c r="H156" s="1388" t="s">
        <v>22</v>
      </c>
      <c r="I156" s="1388" t="s">
        <v>129</v>
      </c>
      <c r="J156" s="1388" t="s">
        <v>22</v>
      </c>
      <c r="K156" s="1388" t="s">
        <v>129</v>
      </c>
      <c r="L156" s="24">
        <v>1</v>
      </c>
      <c r="M156" s="25">
        <v>40498</v>
      </c>
      <c r="N156" s="25">
        <v>40973</v>
      </c>
      <c r="O156" s="26">
        <f t="shared" si="17"/>
        <v>2012</v>
      </c>
      <c r="P156" s="27">
        <f>+IFERROR(INDEX([11]PARÁMETROS!$B$11:$B$37,MATCH(O156,[11]PARÁMETROS!$A$11:$A$37,0)),"")</f>
        <v>566700</v>
      </c>
      <c r="Q156" s="28">
        <v>2159476666</v>
      </c>
      <c r="R156" s="29" t="s">
        <v>151</v>
      </c>
      <c r="S156" s="19" t="s">
        <v>140</v>
      </c>
      <c r="T156" s="30" t="s">
        <v>140</v>
      </c>
      <c r="U156" s="31">
        <v>1</v>
      </c>
      <c r="V156" s="27">
        <f t="shared" si="18"/>
        <v>2159476666</v>
      </c>
      <c r="W156" s="16">
        <f t="shared" si="19"/>
        <v>3810.6170213516853</v>
      </c>
      <c r="X156" s="16">
        <f t="shared" si="20"/>
        <v>3810.6170213516853</v>
      </c>
      <c r="Y156" s="1388" t="str">
        <f>+IF(X156="","",IF(X156&gt;=[10]PARÁMETROS!$D$5,"CUMPLE","NO CUMPLE"))</f>
        <v>CUMPLE</v>
      </c>
      <c r="Z156" s="97"/>
    </row>
    <row r="157" spans="1:26" ht="72" thickBot="1">
      <c r="A157" s="1612"/>
      <c r="B157" s="1510"/>
      <c r="C157" s="19" t="s">
        <v>1944</v>
      </c>
      <c r="D157" s="170">
        <v>26</v>
      </c>
      <c r="E157" s="101" t="str">
        <f>+IFERROR(INDEX([4]CONSOLIDADO!$D$4:$D$108,MATCH('Concur - Exp. Especifica'!C157,[4]CONSOLIDADO!$C$4:$C$108,0)),"")</f>
        <v>WSP SERVICIOS S.A.S.</v>
      </c>
      <c r="F157" s="22" t="s">
        <v>448</v>
      </c>
      <c r="G157" s="23" t="s">
        <v>1949</v>
      </c>
      <c r="H157" s="1388" t="s">
        <v>22</v>
      </c>
      <c r="I157" s="1388" t="s">
        <v>129</v>
      </c>
      <c r="J157" s="1388" t="s">
        <v>22</v>
      </c>
      <c r="K157" s="1388" t="s">
        <v>129</v>
      </c>
      <c r="L157" s="24">
        <v>0.5</v>
      </c>
      <c r="M157" s="25">
        <v>42694</v>
      </c>
      <c r="N157" s="25">
        <v>41232</v>
      </c>
      <c r="O157" s="26">
        <f t="shared" si="17"/>
        <v>2012</v>
      </c>
      <c r="P157" s="27">
        <f>+IFERROR(INDEX([11]PARÁMETROS!$B$11:$B$37,MATCH(O157,[11]PARÁMETROS!$A$11:$A$37,0)),"")</f>
        <v>566700</v>
      </c>
      <c r="Q157" s="28">
        <v>4761160509</v>
      </c>
      <c r="R157" s="29" t="s">
        <v>151</v>
      </c>
      <c r="S157" s="19" t="s">
        <v>140</v>
      </c>
      <c r="T157" s="30" t="s">
        <v>140</v>
      </c>
      <c r="U157" s="31">
        <v>1</v>
      </c>
      <c r="V157" s="27">
        <f t="shared" si="18"/>
        <v>4761160509</v>
      </c>
      <c r="W157" s="16">
        <f t="shared" si="19"/>
        <v>8401.5537480148232</v>
      </c>
      <c r="X157" s="16">
        <f t="shared" si="20"/>
        <v>4200.7768740074116</v>
      </c>
      <c r="Y157" s="1388" t="str">
        <f>+IF(X157="","",IF(X157&gt;=[10]PARÁMETROS!$D$5,"CUMPLE","NO CUMPLE"))</f>
        <v>CUMPLE</v>
      </c>
      <c r="Z157" s="97"/>
    </row>
    <row r="158" spans="1:26" ht="29.25" thickBot="1">
      <c r="A158" s="1612"/>
      <c r="B158" s="1511"/>
      <c r="C158" s="99" t="s">
        <v>1942</v>
      </c>
      <c r="D158" s="178">
        <v>58</v>
      </c>
      <c r="E158" s="101" t="str">
        <f>+IFERROR(INDEX([4]CONSOLIDADO!$D$4:$D$108,MATCH('Concur - Exp. Especifica'!C158,[4]CONSOLIDADO!$C$4:$C$108,0)),"")</f>
        <v>SMA S.A.</v>
      </c>
      <c r="F158" s="324" t="s">
        <v>437</v>
      </c>
      <c r="G158" s="325" t="s">
        <v>1943</v>
      </c>
      <c r="H158" s="1392" t="s">
        <v>22</v>
      </c>
      <c r="I158" s="1392" t="s">
        <v>129</v>
      </c>
      <c r="J158" s="1392" t="s">
        <v>22</v>
      </c>
      <c r="K158" s="1392" t="s">
        <v>129</v>
      </c>
      <c r="L158" s="326">
        <v>0.45</v>
      </c>
      <c r="M158" s="327">
        <v>39125</v>
      </c>
      <c r="N158" s="327">
        <v>42012</v>
      </c>
      <c r="O158" s="1391">
        <f t="shared" si="17"/>
        <v>2015</v>
      </c>
      <c r="P158" s="328">
        <f>+IFERROR(INDEX([11]PARÁMETROS!$B$11:$B$37,MATCH(O158,[11]PARÁMETROS!$A$11:$A$37,0)),"")</f>
        <v>644350</v>
      </c>
      <c r="Q158" s="329">
        <v>15319357761</v>
      </c>
      <c r="R158" s="330" t="s">
        <v>151</v>
      </c>
      <c r="S158" s="331" t="s">
        <v>140</v>
      </c>
      <c r="T158" s="332" t="s">
        <v>140</v>
      </c>
      <c r="U158" s="333">
        <v>1</v>
      </c>
      <c r="V158" s="328">
        <f t="shared" si="18"/>
        <v>15319357761</v>
      </c>
      <c r="W158" s="334">
        <f t="shared" si="19"/>
        <v>23774.901468146192</v>
      </c>
      <c r="X158" s="334">
        <f t="shared" si="20"/>
        <v>10698.705660665786</v>
      </c>
      <c r="Y158" s="1392" t="str">
        <f>+IF(X158="","",IF(X158&gt;=[10]PARÁMETROS!$D$5,"CUMPLE","NO CUMPLE"))</f>
        <v>CUMPLE</v>
      </c>
      <c r="Z158" s="124"/>
    </row>
    <row r="159" spans="1:26" ht="57.75" thickBot="1">
      <c r="A159" s="1612"/>
      <c r="B159" s="1509" t="s">
        <v>1950</v>
      </c>
      <c r="C159" s="81" t="s">
        <v>1951</v>
      </c>
      <c r="D159" s="169">
        <v>4</v>
      </c>
      <c r="E159" s="101" t="str">
        <f>+IFERROR(INDEX([4]CONSOLIDADO!$D$4:$D$108,MATCH('Concur - Exp. Especifica'!C159,[4]CONSOLIDADO!$C$4:$C$108,0)),"")</f>
        <v>PLANES S.A.</v>
      </c>
      <c r="F159" s="84" t="s">
        <v>1935</v>
      </c>
      <c r="G159" s="85" t="s">
        <v>1952</v>
      </c>
      <c r="H159" s="1393" t="s">
        <v>22</v>
      </c>
      <c r="I159" s="1393" t="s">
        <v>129</v>
      </c>
      <c r="J159" s="1393" t="s">
        <v>22</v>
      </c>
      <c r="K159" s="1393" t="s">
        <v>129</v>
      </c>
      <c r="L159" s="307">
        <v>0.245</v>
      </c>
      <c r="M159" s="87">
        <v>40186</v>
      </c>
      <c r="N159" s="87">
        <v>41913</v>
      </c>
      <c r="O159" s="88">
        <f t="shared" si="17"/>
        <v>2014</v>
      </c>
      <c r="P159" s="89">
        <f>+IFERROR(INDEX([10]PARÁMETROS!$B$11:$B$37,MATCH(O159,[10]PARÁMETROS!$A$11:$A$37,0)),"")</f>
        <v>616000</v>
      </c>
      <c r="Q159" s="90">
        <v>10922423850.5</v>
      </c>
      <c r="R159" s="91" t="s">
        <v>151</v>
      </c>
      <c r="S159" s="81" t="s">
        <v>140</v>
      </c>
      <c r="T159" s="92" t="s">
        <v>140</v>
      </c>
      <c r="U159" s="93">
        <v>1</v>
      </c>
      <c r="V159" s="89">
        <f t="shared" si="18"/>
        <v>10922423850.5</v>
      </c>
      <c r="W159" s="94">
        <f t="shared" si="19"/>
        <v>17731.207549512987</v>
      </c>
      <c r="X159" s="94">
        <f t="shared" si="20"/>
        <v>4344.1458496306814</v>
      </c>
      <c r="Y159" s="1400" t="str">
        <f>+IF(X159="","",IF(X159&gt;=[10]PARÁMETROS!$D$5,"CUMPLE","NO CUMPLE"))</f>
        <v>CUMPLE</v>
      </c>
      <c r="Z159" s="96"/>
    </row>
    <row r="160" spans="1:26" ht="57.75" thickBot="1">
      <c r="A160" s="1612"/>
      <c r="B160" s="1510"/>
      <c r="C160" s="19" t="s">
        <v>1951</v>
      </c>
      <c r="D160" s="170">
        <v>7</v>
      </c>
      <c r="E160" s="101" t="str">
        <f>+IFERROR(INDEX([4]CONSOLIDADO!$D$4:$D$108,MATCH('Concur - Exp. Especifica'!C160,[4]CONSOLIDADO!$C$4:$C$108,0)),"")</f>
        <v>PLANES S.A.</v>
      </c>
      <c r="F160" s="22" t="s">
        <v>1652</v>
      </c>
      <c r="G160" s="23" t="s">
        <v>1955</v>
      </c>
      <c r="H160" s="1388" t="s">
        <v>22</v>
      </c>
      <c r="I160" s="1388" t="s">
        <v>22</v>
      </c>
      <c r="J160" s="1388" t="s">
        <v>22</v>
      </c>
      <c r="K160" s="1388" t="s">
        <v>129</v>
      </c>
      <c r="L160" s="24">
        <v>0.25</v>
      </c>
      <c r="M160" s="25">
        <v>38718</v>
      </c>
      <c r="N160" s="25">
        <v>42063</v>
      </c>
      <c r="O160" s="26">
        <f t="shared" si="17"/>
        <v>2015</v>
      </c>
      <c r="P160" s="27">
        <f>+IFERROR(INDEX([10]PARÁMETROS!$B$11:$B$37,MATCH(O160,[10]PARÁMETROS!$A$11:$A$37,0)),"")</f>
        <v>644350</v>
      </c>
      <c r="Q160" s="28">
        <v>8567960679</v>
      </c>
      <c r="R160" s="29" t="s">
        <v>151</v>
      </c>
      <c r="S160" s="19" t="s">
        <v>140</v>
      </c>
      <c r="T160" s="30" t="s">
        <v>140</v>
      </c>
      <c r="U160" s="31">
        <v>1</v>
      </c>
      <c r="V160" s="27">
        <f t="shared" si="18"/>
        <v>8567960679</v>
      </c>
      <c r="W160" s="16">
        <f t="shared" si="19"/>
        <v>13297.060105532708</v>
      </c>
      <c r="X160" s="16">
        <f t="shared" si="20"/>
        <v>3324.265026383177</v>
      </c>
      <c r="Y160" s="1388" t="str">
        <f>+IF(X160="","",IF(X160&gt;=[10]PARÁMETROS!$D$5,"CUMPLE","NO CUMPLE"))</f>
        <v>CUMPLE</v>
      </c>
      <c r="Z160" s="97"/>
    </row>
    <row r="161" spans="1:26" ht="72" thickBot="1">
      <c r="A161" s="1612"/>
      <c r="B161" s="1510"/>
      <c r="C161" s="19" t="s">
        <v>1951</v>
      </c>
      <c r="D161" s="170">
        <v>11</v>
      </c>
      <c r="E161" s="101" t="str">
        <f>+IFERROR(INDEX([4]CONSOLIDADO!$D$4:$D$108,MATCH('Concur - Exp. Especifica'!C161,[4]CONSOLIDADO!$C$4:$C$108,0)),"")</f>
        <v>PLANES S.A.</v>
      </c>
      <c r="F161" s="22" t="s">
        <v>1953</v>
      </c>
      <c r="G161" s="23" t="s">
        <v>1954</v>
      </c>
      <c r="H161" s="1388" t="s">
        <v>22</v>
      </c>
      <c r="I161" s="1388" t="s">
        <v>129</v>
      </c>
      <c r="J161" s="1388" t="s">
        <v>22</v>
      </c>
      <c r="K161" s="1388" t="s">
        <v>129</v>
      </c>
      <c r="L161" s="24">
        <v>0.5</v>
      </c>
      <c r="M161" s="25">
        <v>37288</v>
      </c>
      <c r="N161" s="25">
        <v>41779</v>
      </c>
      <c r="O161" s="26">
        <f t="shared" si="17"/>
        <v>2014</v>
      </c>
      <c r="P161" s="27">
        <f>+IFERROR(INDEX([10]PARÁMETROS!$B$11:$B$37,MATCH(O161,[10]PARÁMETROS!$A$11:$A$37,0)),"")</f>
        <v>616000</v>
      </c>
      <c r="Q161" s="28"/>
      <c r="R161" s="29" t="s">
        <v>151</v>
      </c>
      <c r="S161" s="19" t="s">
        <v>140</v>
      </c>
      <c r="T161" s="30" t="s">
        <v>140</v>
      </c>
      <c r="U161" s="31">
        <v>1</v>
      </c>
      <c r="V161" s="27"/>
      <c r="W161" s="16">
        <v>15268.54</v>
      </c>
      <c r="X161" s="16">
        <f t="shared" si="20"/>
        <v>7634.27</v>
      </c>
      <c r="Y161" s="1388" t="str">
        <f>+IF(X161="","",IF(X161&gt;=[10]PARÁMETROS!$D$5,"CUMPLE","NO CUMPLE"))</f>
        <v>CUMPLE</v>
      </c>
      <c r="Z161" s="97"/>
    </row>
    <row r="162" spans="1:26" ht="43.5" thickBot="1">
      <c r="A162" s="1612"/>
      <c r="B162" s="1511"/>
      <c r="C162" s="19" t="s">
        <v>1958</v>
      </c>
      <c r="D162" s="170">
        <v>13</v>
      </c>
      <c r="E162" s="101" t="str">
        <f>+IFERROR(INDEX([4]CONSOLIDADO!$D$4:$D$108,MATCH('Concur - Exp. Especifica'!C162,[4]CONSOLIDADO!$C$4:$C$108,0)),"")</f>
        <v>HIDROCONSULTA S.A.S.</v>
      </c>
      <c r="F162" s="22" t="s">
        <v>949</v>
      </c>
      <c r="G162" s="22" t="s">
        <v>1959</v>
      </c>
      <c r="H162" s="1388" t="s">
        <v>22</v>
      </c>
      <c r="I162" s="1388" t="s">
        <v>129</v>
      </c>
      <c r="J162" s="1388" t="s">
        <v>22</v>
      </c>
      <c r="K162" s="1388" t="s">
        <v>129</v>
      </c>
      <c r="L162" s="34">
        <v>0.35</v>
      </c>
      <c r="M162" s="25">
        <v>40063</v>
      </c>
      <c r="N162" s="25">
        <v>42004</v>
      </c>
      <c r="O162" s="26">
        <f t="shared" si="17"/>
        <v>2014</v>
      </c>
      <c r="P162" s="27">
        <f>+IFERROR(INDEX([10]PARÁMETROS!$B$11:$B$37,MATCH(O162,[10]PARÁMETROS!$A$11:$A$37,0)),"")</f>
        <v>616000</v>
      </c>
      <c r="Q162" s="35">
        <v>7687232827</v>
      </c>
      <c r="R162" s="27" t="s">
        <v>151</v>
      </c>
      <c r="S162" s="19" t="s">
        <v>140</v>
      </c>
      <c r="T162" s="30" t="s">
        <v>140</v>
      </c>
      <c r="U162" s="31">
        <v>1</v>
      </c>
      <c r="V162" s="27">
        <f>IF(U162&lt;&gt;"",Q162*U162,"")</f>
        <v>7687232827</v>
      </c>
      <c r="W162" s="16">
        <f t="shared" ref="W162:W167" si="21">+IFERROR(V162/P162,"")</f>
        <v>12479.274069805195</v>
      </c>
      <c r="X162" s="16">
        <f t="shared" si="20"/>
        <v>4367.7459244318179</v>
      </c>
      <c r="Y162" s="1392" t="str">
        <f>+IF(X162="","",IF(X162&gt;=[10]PARÁMETROS!$D$5,"CUMPLE","NO CUMPLE"))</f>
        <v>CUMPLE</v>
      </c>
      <c r="Z162" s="97"/>
    </row>
    <row r="163" spans="1:26" ht="43.5" thickBot="1">
      <c r="A163" s="1612"/>
      <c r="B163" s="1509" t="s">
        <v>2398</v>
      </c>
      <c r="C163" s="81" t="s">
        <v>1963</v>
      </c>
      <c r="D163" s="114"/>
      <c r="E163" s="101" t="str">
        <f>+IFERROR(INDEX([4]CONSOLIDADO!$D$4:$D$108,MATCH('Concur - Exp. Especifica'!C163,[4]CONSOLIDADO!$C$4:$C$108,0)),"")</f>
        <v>ECOVIAS S.A.S.</v>
      </c>
      <c r="F163" s="84" t="s">
        <v>1964</v>
      </c>
      <c r="G163" s="84" t="s">
        <v>1965</v>
      </c>
      <c r="H163" s="1393" t="s">
        <v>22</v>
      </c>
      <c r="I163" s="1393" t="s">
        <v>129</v>
      </c>
      <c r="J163" s="1393" t="s">
        <v>22</v>
      </c>
      <c r="K163" s="1393" t="s">
        <v>129</v>
      </c>
      <c r="L163" s="118">
        <v>0.5</v>
      </c>
      <c r="M163" s="87">
        <v>36752</v>
      </c>
      <c r="N163" s="87">
        <v>42109</v>
      </c>
      <c r="O163" s="88">
        <f t="shared" si="17"/>
        <v>2015</v>
      </c>
      <c r="P163" s="89">
        <f>+IFERROR(INDEX([12]PARÁMETROS!$B$11:$B$37,MATCH(O163,[12]PARÁMETROS!$A$11:$A$37,0)),"")</f>
        <v>644350</v>
      </c>
      <c r="Q163" s="337">
        <v>5014683563</v>
      </c>
      <c r="R163" s="89" t="s">
        <v>151</v>
      </c>
      <c r="S163" s="81" t="s">
        <v>140</v>
      </c>
      <c r="T163" s="92" t="s">
        <v>140</v>
      </c>
      <c r="U163" s="93">
        <v>1</v>
      </c>
      <c r="V163" s="89">
        <f>IF(U163&lt;&gt;"",Q163*U163,"")</f>
        <v>5014683563</v>
      </c>
      <c r="W163" s="94">
        <f t="shared" si="21"/>
        <v>7782.546074338481</v>
      </c>
      <c r="X163" s="94">
        <f t="shared" si="20"/>
        <v>3891.2730371692405</v>
      </c>
      <c r="Y163" s="1393" t="str">
        <f>+IF(X163="","",IF(X163&gt;=[13]PARÁMETROS!$J$5,"CUMPLE","NO CUMPLE"))</f>
        <v>CUMPLE</v>
      </c>
      <c r="Z163" s="96"/>
    </row>
    <row r="164" spans="1:26" ht="72" thickBot="1">
      <c r="A164" s="1612"/>
      <c r="B164" s="1510"/>
      <c r="C164" s="19" t="s">
        <v>1963</v>
      </c>
      <c r="D164" s="36"/>
      <c r="E164" s="101" t="str">
        <f>+IFERROR(INDEX([4]CONSOLIDADO!$D$4:$D$108,MATCH('Concur - Exp. Especifica'!C164,[4]CONSOLIDADO!$C$4:$C$108,0)),"")</f>
        <v>ECOVIAS S.A.S.</v>
      </c>
      <c r="F164" s="154" t="s">
        <v>1966</v>
      </c>
      <c r="G164" s="154" t="s">
        <v>1967</v>
      </c>
      <c r="H164" s="1419" t="s">
        <v>22</v>
      </c>
      <c r="I164" s="1419" t="s">
        <v>129</v>
      </c>
      <c r="J164" s="1419" t="s">
        <v>22</v>
      </c>
      <c r="K164" s="1419" t="s">
        <v>129</v>
      </c>
      <c r="L164" s="355">
        <v>0.5</v>
      </c>
      <c r="M164" s="157">
        <v>40099</v>
      </c>
      <c r="N164" s="157">
        <v>40558</v>
      </c>
      <c r="O164" s="158">
        <f t="shared" si="17"/>
        <v>2011</v>
      </c>
      <c r="P164" s="159">
        <f>+IFERROR(INDEX([12]PARÁMETROS!$B$11:$B$37,MATCH(O164,[12]PARÁMETROS!$A$11:$A$37,0)),"")</f>
        <v>535600</v>
      </c>
      <c r="Q164" s="356">
        <v>4561047955</v>
      </c>
      <c r="R164" s="159" t="s">
        <v>151</v>
      </c>
      <c r="S164" s="151" t="s">
        <v>140</v>
      </c>
      <c r="T164" s="162" t="s">
        <v>140</v>
      </c>
      <c r="U164" s="163">
        <v>1</v>
      </c>
      <c r="V164" s="159">
        <f>IF(U164&lt;&gt;"",Q164*U164,"")</f>
        <v>4561047955</v>
      </c>
      <c r="W164" s="164">
        <f t="shared" si="21"/>
        <v>8515.7728808812553</v>
      </c>
      <c r="X164" s="16">
        <f t="shared" si="20"/>
        <v>4257.8864404406277</v>
      </c>
      <c r="Y164" s="1388" t="str">
        <f>+IF(X164="","",IF(X164&gt;=[13]PARÁMETROS!$J$5,"CUMPLE","NO CUMPLE"))</f>
        <v>CUMPLE</v>
      </c>
      <c r="Z164" s="97"/>
    </row>
    <row r="165" spans="1:26" ht="43.5" thickBot="1">
      <c r="A165" s="1612"/>
      <c r="B165" s="1510"/>
      <c r="C165" s="19" t="s">
        <v>1972</v>
      </c>
      <c r="D165" s="36"/>
      <c r="E165" s="101" t="str">
        <f>+IFERROR(INDEX([4]CONSOLIDADO!$D$4:$D$108,MATCH('Concur - Exp. Especifica'!C165,[4]CONSOLIDADO!$C$4:$C$108,0)),"")</f>
        <v>BATEMAN INGENIERIA S.A.</v>
      </c>
      <c r="F165" s="22" t="s">
        <v>319</v>
      </c>
      <c r="G165" s="247" t="s">
        <v>2399</v>
      </c>
      <c r="H165" s="1388" t="s">
        <v>22</v>
      </c>
      <c r="I165" s="1388" t="s">
        <v>129</v>
      </c>
      <c r="J165" s="1388" t="s">
        <v>22</v>
      </c>
      <c r="K165" s="1388" t="s">
        <v>129</v>
      </c>
      <c r="L165" s="24">
        <v>0.75</v>
      </c>
      <c r="M165" s="249">
        <v>35730</v>
      </c>
      <c r="N165" s="249">
        <v>36218</v>
      </c>
      <c r="O165" s="26">
        <f t="shared" si="17"/>
        <v>1999</v>
      </c>
      <c r="P165" s="27">
        <f>+IFERROR(INDEX([23]PARÁMETROS!$B$11:$B$37,MATCH(O165,[23]PARÁMETROS!$A$11:$A$37,0)),"")</f>
        <v>236460</v>
      </c>
      <c r="Q165" s="35">
        <v>901387596</v>
      </c>
      <c r="R165" s="29" t="s">
        <v>151</v>
      </c>
      <c r="S165" s="19" t="s">
        <v>140</v>
      </c>
      <c r="T165" s="30" t="s">
        <v>140</v>
      </c>
      <c r="U165" s="31">
        <v>1</v>
      </c>
      <c r="V165" s="27">
        <f>IF(U165&lt;&gt;"",Q165*U165,"")</f>
        <v>901387596</v>
      </c>
      <c r="W165" s="16">
        <f t="shared" si="21"/>
        <v>3812.0087794975893</v>
      </c>
      <c r="X165" s="16">
        <f t="shared" si="20"/>
        <v>2859.0065846231919</v>
      </c>
      <c r="Y165" s="1388" t="str">
        <f>+IF(X165="","",IF(X165&gt;=[13]PARÁMETROS!$J$5,"CUMPLE","NO CUMPLE"))</f>
        <v>CUMPLE</v>
      </c>
      <c r="Z165" s="98"/>
    </row>
    <row r="166" spans="1:26" ht="57.75" thickBot="1">
      <c r="A166" s="1612"/>
      <c r="B166" s="1511"/>
      <c r="C166" s="99" t="s">
        <v>1972</v>
      </c>
      <c r="D166" s="100"/>
      <c r="E166" s="101" t="str">
        <f>+IFERROR(INDEX([4]CONSOLIDADO!$D$4:$D$108,MATCH('Concur - Exp. Especifica'!C166,[4]CONSOLIDADO!$C$4:$C$108,0)),"")</f>
        <v>BATEMAN INGENIERIA S.A.</v>
      </c>
      <c r="F166" s="102" t="s">
        <v>442</v>
      </c>
      <c r="G166" s="261" t="s">
        <v>2400</v>
      </c>
      <c r="H166" s="1392" t="s">
        <v>22</v>
      </c>
      <c r="I166" s="1392" t="s">
        <v>22</v>
      </c>
      <c r="J166" s="1392" t="s">
        <v>22</v>
      </c>
      <c r="K166" s="1392" t="s">
        <v>129</v>
      </c>
      <c r="L166" s="358">
        <v>0.75</v>
      </c>
      <c r="M166" s="264">
        <v>38343</v>
      </c>
      <c r="N166" s="264">
        <v>39804</v>
      </c>
      <c r="O166" s="265">
        <f t="shared" si="17"/>
        <v>2008</v>
      </c>
      <c r="P166" s="266">
        <f>+IFERROR(INDEX([23]PARÁMETROS!$B$11:$B$37,MATCH(O166,[23]PARÁMETROS!$A$11:$A$37,0)),"")</f>
        <v>461500</v>
      </c>
      <c r="Q166" s="120">
        <v>2538978678</v>
      </c>
      <c r="R166" s="359" t="s">
        <v>151</v>
      </c>
      <c r="S166" s="99" t="s">
        <v>140</v>
      </c>
      <c r="T166" s="110" t="s">
        <v>140</v>
      </c>
      <c r="U166" s="111">
        <v>1</v>
      </c>
      <c r="V166" s="107">
        <f>IF(U166&lt;&gt;"",Q166*U166,"")</f>
        <v>2538978678</v>
      </c>
      <c r="W166" s="112">
        <f t="shared" si="21"/>
        <v>5501.5789339111589</v>
      </c>
      <c r="X166" s="112">
        <f t="shared" si="20"/>
        <v>4126.1842004333694</v>
      </c>
      <c r="Y166" s="1392" t="str">
        <f>+IF(X166="","",IF(X166&gt;=[13]PARÁMETROS!$J$5,"CUMPLE","NO CUMPLE"))</f>
        <v>CUMPLE</v>
      </c>
      <c r="Z166" s="124"/>
    </row>
    <row r="167" spans="1:26" ht="57.75" thickBot="1">
      <c r="A167" s="1612"/>
      <c r="B167" s="1509" t="s">
        <v>2401</v>
      </c>
      <c r="C167" s="81" t="s">
        <v>1976</v>
      </c>
      <c r="D167" s="82">
        <v>6</v>
      </c>
      <c r="E167" s="101" t="str">
        <f>+IFERROR(INDEX([4]CONSOLIDADO!$D$4:$D$108,MATCH('Concur - Exp. Especifica'!C167,[4]CONSOLIDADO!$C$4:$C$108,0)),"")</f>
        <v>3 B PROYECTOS S.A.S.</v>
      </c>
      <c r="F167" s="84" t="s">
        <v>1978</v>
      </c>
      <c r="G167" s="85" t="s">
        <v>2402</v>
      </c>
      <c r="H167" s="1393" t="s">
        <v>22</v>
      </c>
      <c r="I167" s="1393" t="s">
        <v>129</v>
      </c>
      <c r="J167" s="1393" t="s">
        <v>22</v>
      </c>
      <c r="K167" s="1393" t="s">
        <v>129</v>
      </c>
      <c r="L167" s="86">
        <v>1</v>
      </c>
      <c r="M167" s="87">
        <v>38929</v>
      </c>
      <c r="N167" s="87">
        <v>39553</v>
      </c>
      <c r="O167" s="88">
        <f>IF(N167="","",YEAR(N167))</f>
        <v>2008</v>
      </c>
      <c r="P167" s="89">
        <f>+IFERROR(INDEX([13]PARÁMETROS!$B$11:$B$37,MATCH(O167,[13]PARÁMETROS!$A$11:$A$37,0)),"")</f>
        <v>461500</v>
      </c>
      <c r="Q167" s="90">
        <v>3010928835</v>
      </c>
      <c r="R167" s="91" t="s">
        <v>151</v>
      </c>
      <c r="S167" s="81" t="s">
        <v>140</v>
      </c>
      <c r="T167" s="92" t="s">
        <v>140</v>
      </c>
      <c r="U167" s="93">
        <v>1</v>
      </c>
      <c r="V167" s="89">
        <v>3010928835</v>
      </c>
      <c r="W167" s="94">
        <f t="shared" si="21"/>
        <v>6524.2228277356444</v>
      </c>
      <c r="X167" s="94">
        <f>IFERROR(W167*L167,"")</f>
        <v>6524.2228277356444</v>
      </c>
      <c r="Y167" s="1393" t="str">
        <f>+IF(X167="","",IF(X167&gt;=[13]PARÁMETROS!$J$5,"CUMPLE","NO CUMPLE"))</f>
        <v>CUMPLE</v>
      </c>
      <c r="Z167" s="96"/>
    </row>
    <row r="168" spans="1:26" ht="129" thickBot="1">
      <c r="A168" s="1612"/>
      <c r="B168" s="1510"/>
      <c r="C168" s="19" t="s">
        <v>2403</v>
      </c>
      <c r="D168" s="20">
        <v>9</v>
      </c>
      <c r="E168" s="101" t="str">
        <f>+IFERROR(INDEX([4]CONSOLIDADO!$D$4:$D$108,MATCH('Concur - Exp. Especifica'!C168,[4]CONSOLIDADO!$C$4:$C$108,0)),"")</f>
        <v/>
      </c>
      <c r="F168" s="22" t="s">
        <v>147</v>
      </c>
      <c r="G168" s="23" t="s">
        <v>1980</v>
      </c>
      <c r="H168" s="1388" t="s">
        <v>22</v>
      </c>
      <c r="I168" s="1388" t="s">
        <v>22</v>
      </c>
      <c r="J168" s="1388" t="s">
        <v>22</v>
      </c>
      <c r="K168" s="1388" t="s">
        <v>129</v>
      </c>
      <c r="L168" s="360">
        <v>0.83499999999999996</v>
      </c>
      <c r="M168" s="25">
        <v>38337</v>
      </c>
      <c r="N168" s="25">
        <v>41440</v>
      </c>
      <c r="O168" s="26">
        <f t="shared" ref="O168:O202" si="22">IF(N168="","",YEAR(N168))</f>
        <v>2013</v>
      </c>
      <c r="P168" s="27">
        <f>+IFERROR(INDEX([13]PARÁMETROS!$B$11:$B$37,MATCH(O168,[13]PARÁMETROS!$A$11:$A$37,0)),"")</f>
        <v>589500</v>
      </c>
      <c r="Q168" s="35">
        <v>9865877743</v>
      </c>
      <c r="R168" s="27" t="s">
        <v>151</v>
      </c>
      <c r="S168" s="19" t="s">
        <v>140</v>
      </c>
      <c r="T168" s="30" t="s">
        <v>140</v>
      </c>
      <c r="U168" s="31">
        <v>1</v>
      </c>
      <c r="V168" s="27">
        <f t="shared" ref="V168:V202" si="23">IF(U168&lt;&gt;"",Q168*U168,"")</f>
        <v>9865877743</v>
      </c>
      <c r="W168" s="16">
        <f t="shared" ref="W168:W202" si="24">+IFERROR(V168/P168,"")</f>
        <v>16736.009742154369</v>
      </c>
      <c r="X168" s="16">
        <f t="shared" ref="X168:X202" si="25">IFERROR(W168*L168,"")</f>
        <v>13974.568134698897</v>
      </c>
      <c r="Y168" s="1388" t="str">
        <f>+IF(X168="","",IF(X168&gt;=[13]PARÁMETROS!$J$5,"CUMPLE","NO CUMPLE"))</f>
        <v>CUMPLE</v>
      </c>
      <c r="Z168" s="97"/>
    </row>
    <row r="169" spans="1:26" ht="57.75" thickBot="1">
      <c r="A169" s="1612"/>
      <c r="B169" s="1510"/>
      <c r="C169" s="19" t="s">
        <v>2404</v>
      </c>
      <c r="D169" s="20">
        <v>12</v>
      </c>
      <c r="E169" s="101" t="str">
        <f>+IFERROR(INDEX([4]CONSOLIDADO!$D$4:$D$108,MATCH('Concur - Exp. Especifica'!C169,[4]CONSOLIDADO!$C$4:$C$108,0)),"")</f>
        <v/>
      </c>
      <c r="F169" s="22" t="s">
        <v>1563</v>
      </c>
      <c r="G169" s="23" t="s">
        <v>2405</v>
      </c>
      <c r="H169" s="1388" t="s">
        <v>22</v>
      </c>
      <c r="I169" s="1388" t="s">
        <v>129</v>
      </c>
      <c r="J169" s="1388" t="s">
        <v>22</v>
      </c>
      <c r="K169" s="1388" t="s">
        <v>129</v>
      </c>
      <c r="L169" s="24">
        <v>0.5</v>
      </c>
      <c r="M169" s="25">
        <v>39694</v>
      </c>
      <c r="N169" s="25">
        <v>40283</v>
      </c>
      <c r="O169" s="26">
        <f t="shared" si="22"/>
        <v>2010</v>
      </c>
      <c r="P169" s="27">
        <f>+IFERROR(INDEX([13]PARÁMETROS!$B$11:$B$37,MATCH(O169,[13]PARÁMETROS!$A$11:$A$37,0)),"")</f>
        <v>515000</v>
      </c>
      <c r="Q169" s="28">
        <v>3136622318</v>
      </c>
      <c r="R169" s="29" t="s">
        <v>151</v>
      </c>
      <c r="S169" s="19" t="s">
        <v>140</v>
      </c>
      <c r="T169" s="30" t="s">
        <v>140</v>
      </c>
      <c r="U169" s="31">
        <v>1</v>
      </c>
      <c r="V169" s="27">
        <f t="shared" si="23"/>
        <v>3136622318</v>
      </c>
      <c r="W169" s="16">
        <f t="shared" si="24"/>
        <v>6090.5287728155336</v>
      </c>
      <c r="X169" s="16">
        <f t="shared" si="25"/>
        <v>3045.2643864077668</v>
      </c>
      <c r="Y169" s="1388" t="str">
        <f>+IF(X169="","",IF(X169&gt;=[13]PARÁMETROS!$J$5,"CUMPLE","NO CUMPLE"))</f>
        <v>CUMPLE</v>
      </c>
      <c r="Z169" s="98"/>
    </row>
    <row r="170" spans="1:26" ht="72" thickBot="1">
      <c r="A170" s="1612"/>
      <c r="B170" s="1511"/>
      <c r="C170" s="99" t="s">
        <v>2406</v>
      </c>
      <c r="D170" s="123">
        <v>18</v>
      </c>
      <c r="E170" s="101" t="str">
        <f>+IFERROR(INDEX([4]CONSOLIDADO!$D$4:$D$108,MATCH('Concur - Exp. Especifica'!C170,[4]CONSOLIDADO!$C$4:$C$108,0)),"")</f>
        <v/>
      </c>
      <c r="F170" s="102" t="s">
        <v>448</v>
      </c>
      <c r="G170" s="103" t="s">
        <v>1981</v>
      </c>
      <c r="H170" s="1392" t="s">
        <v>22</v>
      </c>
      <c r="I170" s="1392" t="s">
        <v>129</v>
      </c>
      <c r="J170" s="1392" t="s">
        <v>22</v>
      </c>
      <c r="K170" s="1392" t="s">
        <v>129</v>
      </c>
      <c r="L170" s="104">
        <v>1</v>
      </c>
      <c r="M170" s="105">
        <v>39148</v>
      </c>
      <c r="N170" s="105">
        <v>40072</v>
      </c>
      <c r="O170" s="106">
        <f t="shared" si="22"/>
        <v>2009</v>
      </c>
      <c r="P170" s="107">
        <f>+IFERROR(INDEX([13]PARÁMETROS!$B$11:$B$37,MATCH(O170,[13]PARÁMETROS!$A$11:$A$37,0)),"")</f>
        <v>496900</v>
      </c>
      <c r="Q170" s="108">
        <f>1690448539+901877829</f>
        <v>2592326368</v>
      </c>
      <c r="R170" s="109" t="s">
        <v>151</v>
      </c>
      <c r="S170" s="99" t="s">
        <v>140</v>
      </c>
      <c r="T170" s="110" t="s">
        <v>140</v>
      </c>
      <c r="U170" s="111">
        <v>1</v>
      </c>
      <c r="V170" s="107">
        <f t="shared" si="23"/>
        <v>2592326368</v>
      </c>
      <c r="W170" s="112">
        <f t="shared" si="24"/>
        <v>5216.9981243711009</v>
      </c>
      <c r="X170" s="112">
        <f t="shared" si="25"/>
        <v>5216.9981243711009</v>
      </c>
      <c r="Y170" s="1392" t="str">
        <f>+IF(X170="","",IF(X170&gt;=[13]PARÁMETROS!$J$5,"CUMPLE","NO CUMPLE"))</f>
        <v>CUMPLE</v>
      </c>
      <c r="Z170" s="124"/>
    </row>
    <row r="171" spans="1:26" ht="57.75" thickBot="1">
      <c r="A171" s="1612"/>
      <c r="B171" s="1509" t="s">
        <v>2407</v>
      </c>
      <c r="C171" s="81" t="s">
        <v>1983</v>
      </c>
      <c r="D171" s="169">
        <v>6</v>
      </c>
      <c r="E171" s="101" t="str">
        <f>+IFERROR(INDEX([4]CONSOLIDADO!$D$4:$D$108,MATCH('Concur - Exp. Especifica'!C171,[4]CONSOLIDADO!$C$4:$C$108,0)),"")</f>
        <v>CANO JIMENEZ ESTUDIOS S.A.</v>
      </c>
      <c r="F171" s="84" t="s">
        <v>442</v>
      </c>
      <c r="G171" s="85" t="s">
        <v>1984</v>
      </c>
      <c r="H171" s="1393" t="s">
        <v>22</v>
      </c>
      <c r="I171" s="1393" t="s">
        <v>22</v>
      </c>
      <c r="J171" s="1393" t="s">
        <v>22</v>
      </c>
      <c r="K171" s="1393" t="s">
        <v>129</v>
      </c>
      <c r="L171" s="86">
        <v>1</v>
      </c>
      <c r="M171" s="87">
        <v>38622</v>
      </c>
      <c r="N171" s="87">
        <v>39930</v>
      </c>
      <c r="O171" s="88">
        <f t="shared" si="22"/>
        <v>2009</v>
      </c>
      <c r="P171" s="89">
        <f>+IFERROR(INDEX([13]PARÁMETROS!$B$11:$B$37,MATCH(O171,[13]PARÁMETROS!$A$11:$A$37,0)),"")</f>
        <v>496900</v>
      </c>
      <c r="Q171" s="90">
        <v>7034470356</v>
      </c>
      <c r="R171" s="91" t="s">
        <v>151</v>
      </c>
      <c r="S171" s="81" t="s">
        <v>140</v>
      </c>
      <c r="T171" s="92" t="s">
        <v>140</v>
      </c>
      <c r="U171" s="93">
        <v>1</v>
      </c>
      <c r="V171" s="89">
        <f t="shared" si="23"/>
        <v>7034470356</v>
      </c>
      <c r="W171" s="94">
        <f t="shared" si="24"/>
        <v>14156.712328436304</v>
      </c>
      <c r="X171" s="94">
        <f t="shared" si="25"/>
        <v>14156.712328436304</v>
      </c>
      <c r="Y171" s="1393" t="str">
        <f>+IF(X171="","",IF(X171&gt;=[13]PARÁMETROS!$D$5,"CUMPLE","NO CUMPLE"))</f>
        <v>CUMPLE</v>
      </c>
      <c r="Z171" s="96"/>
    </row>
    <row r="172" spans="1:26" ht="57.75" thickBot="1">
      <c r="A172" s="1612"/>
      <c r="B172" s="1510"/>
      <c r="C172" s="19" t="s">
        <v>1983</v>
      </c>
      <c r="D172" s="170">
        <v>14</v>
      </c>
      <c r="E172" s="101" t="str">
        <f>+IFERROR(INDEX([4]CONSOLIDADO!$D$4:$D$108,MATCH('Concur - Exp. Especifica'!C172,[4]CONSOLIDADO!$C$4:$C$108,0)),"")</f>
        <v>CANO JIMENEZ ESTUDIOS S.A.</v>
      </c>
      <c r="F172" s="22" t="s">
        <v>442</v>
      </c>
      <c r="G172" s="23" t="s">
        <v>1985</v>
      </c>
      <c r="H172" s="1388" t="s">
        <v>22</v>
      </c>
      <c r="I172" s="1388" t="s">
        <v>22</v>
      </c>
      <c r="J172" s="1388" t="s">
        <v>22</v>
      </c>
      <c r="K172" s="1388" t="s">
        <v>129</v>
      </c>
      <c r="L172" s="24">
        <v>1</v>
      </c>
      <c r="M172" s="25">
        <v>39909</v>
      </c>
      <c r="N172" s="25">
        <v>41186</v>
      </c>
      <c r="O172" s="26">
        <f t="shared" si="22"/>
        <v>2012</v>
      </c>
      <c r="P172" s="27">
        <f>+IFERROR(INDEX([13]PARÁMETROS!$B$11:$B$37,MATCH(O172,[13]PARÁMETROS!$A$11:$A$37,0)),"")</f>
        <v>566700</v>
      </c>
      <c r="Q172" s="28">
        <v>10196977946</v>
      </c>
      <c r="R172" s="29" t="s">
        <v>151</v>
      </c>
      <c r="S172" s="19" t="s">
        <v>140</v>
      </c>
      <c r="T172" s="30" t="s">
        <v>140</v>
      </c>
      <c r="U172" s="31">
        <v>1</v>
      </c>
      <c r="V172" s="27">
        <f t="shared" si="23"/>
        <v>10196977946</v>
      </c>
      <c r="W172" s="16">
        <f t="shared" si="24"/>
        <v>17993.608515969649</v>
      </c>
      <c r="X172" s="16">
        <f t="shared" si="25"/>
        <v>17993.608515969649</v>
      </c>
      <c r="Y172" s="1388" t="str">
        <f>+IF(X172="","",IF(X172&gt;=[13]PARÁMETROS!$D$5,"CUMPLE","NO CUMPLE"))</f>
        <v>CUMPLE</v>
      </c>
      <c r="Z172" s="97"/>
    </row>
    <row r="173" spans="1:26" ht="57.75" thickBot="1">
      <c r="A173" s="1612"/>
      <c r="B173" s="1510"/>
      <c r="C173" s="19" t="s">
        <v>1983</v>
      </c>
      <c r="D173" s="170">
        <v>21</v>
      </c>
      <c r="E173" s="101" t="str">
        <f>+IFERROR(INDEX([4]CONSOLIDADO!$D$4:$D$108,MATCH('Concur - Exp. Especifica'!C173,[4]CONSOLIDADO!$C$4:$C$108,0)),"")</f>
        <v>CANO JIMENEZ ESTUDIOS S.A.</v>
      </c>
      <c r="F173" s="22" t="s">
        <v>147</v>
      </c>
      <c r="G173" s="23" t="s">
        <v>2408</v>
      </c>
      <c r="H173" s="1388" t="s">
        <v>22</v>
      </c>
      <c r="I173" s="1388" t="s">
        <v>22</v>
      </c>
      <c r="J173" s="1388" t="s">
        <v>22</v>
      </c>
      <c r="K173" s="1388" t="s">
        <v>129</v>
      </c>
      <c r="L173" s="24">
        <v>1</v>
      </c>
      <c r="M173" s="25">
        <v>39542</v>
      </c>
      <c r="N173" s="25">
        <v>40669</v>
      </c>
      <c r="O173" s="26">
        <f t="shared" si="22"/>
        <v>2011</v>
      </c>
      <c r="P173" s="27">
        <f>+IFERROR(INDEX([13]PARÁMETROS!$B$11:$B$37,MATCH(O173,[13]PARÁMETROS!$A$11:$A$37,0)),"")</f>
        <v>535600</v>
      </c>
      <c r="Q173" s="28">
        <v>4384894733</v>
      </c>
      <c r="R173" s="29" t="s">
        <v>151</v>
      </c>
      <c r="S173" s="19" t="s">
        <v>140</v>
      </c>
      <c r="T173" s="30" t="s">
        <v>140</v>
      </c>
      <c r="U173" s="31">
        <v>1</v>
      </c>
      <c r="V173" s="27">
        <f t="shared" si="23"/>
        <v>4384894733</v>
      </c>
      <c r="W173" s="16">
        <f t="shared" si="24"/>
        <v>8186.8833700522782</v>
      </c>
      <c r="X173" s="16">
        <f t="shared" si="25"/>
        <v>8186.8833700522782</v>
      </c>
      <c r="Y173" s="1388" t="str">
        <f>+IF(X173="","",IF(X173&gt;=[13]PARÁMETROS!$D$5,"CUMPLE","NO CUMPLE"))</f>
        <v>CUMPLE</v>
      </c>
      <c r="Z173" s="97"/>
    </row>
    <row r="174" spans="1:26" ht="72" thickBot="1">
      <c r="A174" s="1612"/>
      <c r="B174" s="1511"/>
      <c r="C174" s="99" t="s">
        <v>1983</v>
      </c>
      <c r="D174" s="178">
        <v>24</v>
      </c>
      <c r="E174" s="101" t="str">
        <f>+IFERROR(INDEX([4]CONSOLIDADO!$D$4:$D$108,MATCH('Concur - Exp. Especifica'!C174,[4]CONSOLIDADO!$C$4:$C$108,0)),"")</f>
        <v>CANO JIMENEZ ESTUDIOS S.A.</v>
      </c>
      <c r="F174" s="102" t="s">
        <v>147</v>
      </c>
      <c r="G174" s="103" t="s">
        <v>2409</v>
      </c>
      <c r="H174" s="1392" t="s">
        <v>22</v>
      </c>
      <c r="I174" s="1392" t="s">
        <v>22</v>
      </c>
      <c r="J174" s="1392" t="s">
        <v>22</v>
      </c>
      <c r="K174" s="1392" t="s">
        <v>129</v>
      </c>
      <c r="L174" s="104">
        <v>1</v>
      </c>
      <c r="M174" s="105">
        <v>39906</v>
      </c>
      <c r="N174" s="105">
        <v>41482</v>
      </c>
      <c r="O174" s="106">
        <f t="shared" si="22"/>
        <v>2013</v>
      </c>
      <c r="P174" s="107">
        <f>+IFERROR(INDEX([13]PARÁMETROS!$B$11:$B$37,MATCH(O174,[13]PARÁMETROS!$A$11:$A$37,0)),"")</f>
        <v>589500</v>
      </c>
      <c r="Q174" s="108">
        <v>3610468316</v>
      </c>
      <c r="R174" s="109" t="s">
        <v>151</v>
      </c>
      <c r="S174" s="99" t="s">
        <v>140</v>
      </c>
      <c r="T174" s="110" t="s">
        <v>140</v>
      </c>
      <c r="U174" s="111">
        <v>1</v>
      </c>
      <c r="V174" s="107">
        <f t="shared" si="23"/>
        <v>3610468316</v>
      </c>
      <c r="W174" s="112">
        <f t="shared" si="24"/>
        <v>6124.6281865988121</v>
      </c>
      <c r="X174" s="112">
        <f t="shared" si="25"/>
        <v>6124.6281865988121</v>
      </c>
      <c r="Y174" s="1392" t="str">
        <f>+IF(X174="","",IF(X174&gt;=[13]PARÁMETROS!$D$5,"CUMPLE","NO CUMPLE"))</f>
        <v>CUMPLE</v>
      </c>
      <c r="Z174" s="113"/>
    </row>
    <row r="175" spans="1:26" ht="72" thickBot="1">
      <c r="A175" s="1612"/>
      <c r="B175" s="1509" t="s">
        <v>2410</v>
      </c>
      <c r="C175" s="81" t="s">
        <v>1991</v>
      </c>
      <c r="D175" s="169">
        <v>3</v>
      </c>
      <c r="E175" s="101" t="str">
        <f>+IFERROR(INDEX([4]CONSOLIDADO!$D$4:$D$108,MATCH('Concur - Exp. Especifica'!C175,[4]CONSOLIDADO!$C$4:$C$108,0)),"")</f>
        <v>CONSULTORES TECNICOS Y ECONOMICOS S.A.</v>
      </c>
      <c r="F175" s="84" t="s">
        <v>207</v>
      </c>
      <c r="G175" s="85" t="s">
        <v>287</v>
      </c>
      <c r="H175" s="1393" t="s">
        <v>22</v>
      </c>
      <c r="I175" s="1393" t="s">
        <v>129</v>
      </c>
      <c r="J175" s="1393" t="s">
        <v>22</v>
      </c>
      <c r="K175" s="1393" t="s">
        <v>129</v>
      </c>
      <c r="L175" s="86">
        <v>0.5</v>
      </c>
      <c r="M175" s="87">
        <v>38034</v>
      </c>
      <c r="N175" s="87">
        <v>40770</v>
      </c>
      <c r="O175" s="88">
        <f t="shared" si="22"/>
        <v>2011</v>
      </c>
      <c r="P175" s="89">
        <f>+IFERROR(INDEX([13]PARÁMETROS!$B$11:$B$37,MATCH(O175,[13]PARÁMETROS!$A$11:$A$37,0)),"")</f>
        <v>535600</v>
      </c>
      <c r="Q175" s="90">
        <v>9131630030</v>
      </c>
      <c r="R175" s="91" t="s">
        <v>151</v>
      </c>
      <c r="S175" s="81" t="s">
        <v>140</v>
      </c>
      <c r="T175" s="92" t="s">
        <v>140</v>
      </c>
      <c r="U175" s="93">
        <v>1</v>
      </c>
      <c r="V175" s="89">
        <f t="shared" si="23"/>
        <v>9131630030</v>
      </c>
      <c r="W175" s="94">
        <f t="shared" si="24"/>
        <v>17049.346583271097</v>
      </c>
      <c r="X175" s="94">
        <f t="shared" si="25"/>
        <v>8524.6732916355486</v>
      </c>
      <c r="Y175" s="1393" t="str">
        <f>+IF(X175="","",IF(X175&gt;=[13]PARÁMETROS!$D$5,"CUMPLE","NO CUMPLE"))</f>
        <v>CUMPLE</v>
      </c>
      <c r="Z175" s="96"/>
    </row>
    <row r="176" spans="1:26" ht="86.25" thickBot="1">
      <c r="A176" s="1612"/>
      <c r="B176" s="1510"/>
      <c r="C176" s="19" t="s">
        <v>1991</v>
      </c>
      <c r="D176" s="170">
        <v>10</v>
      </c>
      <c r="E176" s="101" t="str">
        <f>+IFERROR(INDEX([4]CONSOLIDADO!$D$4:$D$108,MATCH('Concur - Exp. Especifica'!C176,[4]CONSOLIDADO!$C$4:$C$108,0)),"")</f>
        <v>CONSULTORES TECNICOS Y ECONOMICOS S.A.</v>
      </c>
      <c r="F176" s="22" t="s">
        <v>281</v>
      </c>
      <c r="G176" s="22" t="s">
        <v>283</v>
      </c>
      <c r="H176" s="1388" t="s">
        <v>22</v>
      </c>
      <c r="I176" s="1388" t="s">
        <v>22</v>
      </c>
      <c r="J176" s="1388" t="s">
        <v>22</v>
      </c>
      <c r="K176" s="1388" t="s">
        <v>129</v>
      </c>
      <c r="L176" s="34">
        <v>0.75</v>
      </c>
      <c r="M176" s="25">
        <v>38374</v>
      </c>
      <c r="N176" s="25">
        <v>39571</v>
      </c>
      <c r="O176" s="26">
        <f t="shared" si="22"/>
        <v>2008</v>
      </c>
      <c r="P176" s="27">
        <f>+IFERROR(INDEX([13]PARÁMETROS!$B$11:$B$37,MATCH(O176,[13]PARÁMETROS!$A$11:$A$37,0)),"")</f>
        <v>461500</v>
      </c>
      <c r="Q176" s="35">
        <v>4505935152</v>
      </c>
      <c r="R176" s="29" t="s">
        <v>151</v>
      </c>
      <c r="S176" s="19" t="s">
        <v>140</v>
      </c>
      <c r="T176" s="30" t="s">
        <v>140</v>
      </c>
      <c r="U176" s="31">
        <v>1</v>
      </c>
      <c r="V176" s="27">
        <f t="shared" si="23"/>
        <v>4505935152</v>
      </c>
      <c r="W176" s="16">
        <f t="shared" si="24"/>
        <v>9763.6731354279527</v>
      </c>
      <c r="X176" s="16">
        <f t="shared" si="25"/>
        <v>7322.7548515709641</v>
      </c>
      <c r="Y176" s="1388" t="str">
        <f>+IF(X176="","",IF(X176&gt;=[13]PARÁMETROS!$D$5,"CUMPLE","NO CUMPLE"))</f>
        <v>CUMPLE</v>
      </c>
      <c r="Z176" s="97"/>
    </row>
    <row r="177" spans="1:26" ht="100.5" thickBot="1">
      <c r="A177" s="1612"/>
      <c r="B177" s="1510"/>
      <c r="C177" s="19" t="s">
        <v>1991</v>
      </c>
      <c r="D177" s="170">
        <v>15</v>
      </c>
      <c r="E177" s="101" t="str">
        <f>+IFERROR(INDEX([4]CONSOLIDADO!$D$4:$D$108,MATCH('Concur - Exp. Especifica'!C177,[4]CONSOLIDADO!$C$4:$C$108,0)),"")</f>
        <v>CONSULTORES TECNICOS Y ECONOMICOS S.A.</v>
      </c>
      <c r="F177" s="22" t="s">
        <v>281</v>
      </c>
      <c r="G177" s="23" t="s">
        <v>1315</v>
      </c>
      <c r="H177" s="1388" t="s">
        <v>22</v>
      </c>
      <c r="I177" s="1388" t="s">
        <v>22</v>
      </c>
      <c r="J177" s="1388" t="s">
        <v>22</v>
      </c>
      <c r="K177" s="1388" t="s">
        <v>129</v>
      </c>
      <c r="L177" s="24">
        <v>0.75</v>
      </c>
      <c r="M177" s="25">
        <v>38177</v>
      </c>
      <c r="N177" s="25">
        <v>38177</v>
      </c>
      <c r="O177" s="26">
        <f t="shared" si="22"/>
        <v>2004</v>
      </c>
      <c r="P177" s="27">
        <f>+IFERROR(INDEX([13]PARÁMETROS!$B$11:$B$37,MATCH(O177,[13]PARÁMETROS!$A$11:$A$37,0)),"")</f>
        <v>358000</v>
      </c>
      <c r="Q177" s="28">
        <v>2288853387</v>
      </c>
      <c r="R177" s="29" t="s">
        <v>151</v>
      </c>
      <c r="S177" s="19" t="s">
        <v>140</v>
      </c>
      <c r="T177" s="30" t="s">
        <v>140</v>
      </c>
      <c r="U177" s="31">
        <v>1</v>
      </c>
      <c r="V177" s="27">
        <f t="shared" si="23"/>
        <v>2288853387</v>
      </c>
      <c r="W177" s="16">
        <f t="shared" si="24"/>
        <v>6393.4452150837988</v>
      </c>
      <c r="X177" s="16">
        <f t="shared" si="25"/>
        <v>4795.0839113128495</v>
      </c>
      <c r="Y177" s="1388" t="str">
        <f>+IF(X177="","",IF(X177&gt;=[13]PARÁMETROS!$D$5,"CUMPLE","NO CUMPLE"))</f>
        <v>CUMPLE</v>
      </c>
      <c r="Z177" s="97"/>
    </row>
    <row r="178" spans="1:26" ht="63.75" thickBot="1">
      <c r="A178" s="1612"/>
      <c r="B178" s="1511"/>
      <c r="C178" s="99" t="s">
        <v>1991</v>
      </c>
      <c r="D178" s="178">
        <v>26</v>
      </c>
      <c r="E178" s="101" t="str">
        <f>+IFERROR(INDEX([4]CONSOLIDADO!$D$4:$D$108,MATCH('Concur - Exp. Especifica'!C178,[4]CONSOLIDADO!$C$4:$C$108,0)),"")</f>
        <v>CONSULTORES TECNICOS Y ECONOMICOS S.A.</v>
      </c>
      <c r="F178" s="102" t="s">
        <v>2411</v>
      </c>
      <c r="G178" s="191" t="s">
        <v>1319</v>
      </c>
      <c r="H178" s="1392" t="s">
        <v>22</v>
      </c>
      <c r="I178" s="1392" t="s">
        <v>129</v>
      </c>
      <c r="J178" s="1392" t="s">
        <v>22</v>
      </c>
      <c r="K178" s="1392" t="s">
        <v>129</v>
      </c>
      <c r="L178" s="104">
        <v>0.5</v>
      </c>
      <c r="M178" s="105">
        <v>40329</v>
      </c>
      <c r="N178" s="105">
        <v>41076</v>
      </c>
      <c r="O178" s="106">
        <f t="shared" si="22"/>
        <v>2012</v>
      </c>
      <c r="P178" s="107">
        <f>+IFERROR(INDEX([13]PARÁMETROS!$B$11:$B$37,MATCH(O178,[13]PARÁMETROS!$A$11:$A$37,0)),"")</f>
        <v>566700</v>
      </c>
      <c r="Q178" s="108">
        <v>4660189234</v>
      </c>
      <c r="R178" s="109" t="s">
        <v>151</v>
      </c>
      <c r="S178" s="99" t="s">
        <v>140</v>
      </c>
      <c r="T178" s="110" t="s">
        <v>140</v>
      </c>
      <c r="U178" s="111">
        <v>1</v>
      </c>
      <c r="V178" s="107">
        <f t="shared" si="23"/>
        <v>4660189234</v>
      </c>
      <c r="W178" s="112">
        <f t="shared" si="24"/>
        <v>8223.3796259043593</v>
      </c>
      <c r="X178" s="112">
        <f t="shared" si="25"/>
        <v>4111.6898129521796</v>
      </c>
      <c r="Y178" s="1392" t="str">
        <f>+IF(X178="","",IF(X178&gt;=[13]PARÁMETROS!$D$5,"CUMPLE","NO CUMPLE"))</f>
        <v>CUMPLE</v>
      </c>
      <c r="Z178" s="113"/>
    </row>
    <row r="179" spans="1:26" ht="114.75" thickBot="1">
      <c r="A179" s="1612"/>
      <c r="B179" s="1509" t="s">
        <v>2412</v>
      </c>
      <c r="C179" s="81" t="s">
        <v>1997</v>
      </c>
      <c r="D179" s="169">
        <v>11</v>
      </c>
      <c r="E179" s="101" t="str">
        <f>+IFERROR(INDEX([4]CONSOLIDADO!$D$4:$D$108,MATCH('Concur - Exp. Especifica'!C179,[4]CONSOLIDADO!$C$4:$C$108,0)),"")</f>
        <v>INTEGRAL DISEÑOS E INTERVENTORIA S.A.S.</v>
      </c>
      <c r="F179" s="84" t="s">
        <v>2413</v>
      </c>
      <c r="G179" s="85" t="s">
        <v>2414</v>
      </c>
      <c r="H179" s="1393" t="s">
        <v>22</v>
      </c>
      <c r="I179" s="1393" t="s">
        <v>22</v>
      </c>
      <c r="J179" s="1393" t="s">
        <v>22</v>
      </c>
      <c r="K179" s="1393" t="s">
        <v>129</v>
      </c>
      <c r="L179" s="86">
        <v>1</v>
      </c>
      <c r="M179" s="87">
        <v>35886</v>
      </c>
      <c r="N179" s="87">
        <v>36953</v>
      </c>
      <c r="O179" s="88">
        <f t="shared" si="22"/>
        <v>2001</v>
      </c>
      <c r="P179" s="89">
        <f>+IFERROR(INDEX([13]PARÁMETROS!$B$11:$B$37,MATCH(O179,[13]PARÁMETROS!$A$11:$A$37,0)),"")</f>
        <v>286000</v>
      </c>
      <c r="Q179" s="90">
        <v>2216664177</v>
      </c>
      <c r="R179" s="91" t="s">
        <v>151</v>
      </c>
      <c r="S179" s="81" t="s">
        <v>140</v>
      </c>
      <c r="T179" s="92" t="s">
        <v>140</v>
      </c>
      <c r="U179" s="93">
        <v>1</v>
      </c>
      <c r="V179" s="89">
        <f t="shared" si="23"/>
        <v>2216664177</v>
      </c>
      <c r="W179" s="94">
        <f t="shared" si="24"/>
        <v>7750.5740454545457</v>
      </c>
      <c r="X179" s="94">
        <f t="shared" si="25"/>
        <v>7750.5740454545457</v>
      </c>
      <c r="Y179" s="1393" t="str">
        <f>+IF(X179="","",IF(X179&gt;=[13]PARÁMETROS!$D$5,"CUMPLE","NO CUMPLE"))</f>
        <v>CUMPLE</v>
      </c>
      <c r="Z179" s="96"/>
    </row>
    <row r="180" spans="1:26" ht="63.75" thickBot="1">
      <c r="A180" s="1612"/>
      <c r="B180" s="1510"/>
      <c r="C180" s="19" t="s">
        <v>1997</v>
      </c>
      <c r="D180" s="170">
        <v>13</v>
      </c>
      <c r="E180" s="101" t="str">
        <f>+IFERROR(INDEX([4]CONSOLIDADO!$D$4:$D$108,MATCH('Concur - Exp. Especifica'!C180,[4]CONSOLIDADO!$C$4:$C$108,0)),"")</f>
        <v>INTEGRAL DISEÑOS E INTERVENTORIA S.A.S.</v>
      </c>
      <c r="F180" s="22" t="s">
        <v>155</v>
      </c>
      <c r="G180" s="23" t="s">
        <v>1423</v>
      </c>
      <c r="H180" s="1388" t="s">
        <v>22</v>
      </c>
      <c r="I180" s="1388" t="s">
        <v>129</v>
      </c>
      <c r="J180" s="1388" t="s">
        <v>22</v>
      </c>
      <c r="K180" s="1388" t="s">
        <v>129</v>
      </c>
      <c r="L180" s="24">
        <v>1</v>
      </c>
      <c r="M180" s="25">
        <v>37792</v>
      </c>
      <c r="N180" s="25">
        <v>38429</v>
      </c>
      <c r="O180" s="26">
        <f t="shared" si="22"/>
        <v>2005</v>
      </c>
      <c r="P180" s="27">
        <f>+IFERROR(INDEX([13]PARÁMETROS!$B$11:$B$37,MATCH(O180,[13]PARÁMETROS!$A$11:$A$37,0)),"")</f>
        <v>381500</v>
      </c>
      <c r="Q180" s="28">
        <v>1691644728</v>
      </c>
      <c r="R180" s="29" t="s">
        <v>151</v>
      </c>
      <c r="S180" s="19" t="s">
        <v>140</v>
      </c>
      <c r="T180" s="30" t="s">
        <v>140</v>
      </c>
      <c r="U180" s="31">
        <v>1</v>
      </c>
      <c r="V180" s="27">
        <f t="shared" si="23"/>
        <v>1691644728</v>
      </c>
      <c r="W180" s="16">
        <f t="shared" si="24"/>
        <v>4434.1932581913497</v>
      </c>
      <c r="X180" s="16">
        <f t="shared" si="25"/>
        <v>4434.1932581913497</v>
      </c>
      <c r="Y180" s="1388" t="str">
        <f>+IF(X180="","",IF(X180&gt;=[13]PARÁMETROS!$D$5,"CUMPLE","NO CUMPLE"))</f>
        <v>CUMPLE</v>
      </c>
      <c r="Z180" s="97"/>
    </row>
    <row r="181" spans="1:26" ht="171.75" thickBot="1">
      <c r="A181" s="1612"/>
      <c r="B181" s="1510"/>
      <c r="C181" s="19" t="s">
        <v>1997</v>
      </c>
      <c r="D181" s="170">
        <v>20</v>
      </c>
      <c r="E181" s="101" t="str">
        <f>+IFERROR(INDEX([4]CONSOLIDADO!$D$4:$D$108,MATCH('Concur - Exp. Especifica'!C181,[4]CONSOLIDADO!$C$4:$C$108,0)),"")</f>
        <v>INTEGRAL DISEÑOS E INTERVENTORIA S.A.S.</v>
      </c>
      <c r="F181" s="22" t="s">
        <v>1005</v>
      </c>
      <c r="G181" s="23" t="s">
        <v>2415</v>
      </c>
      <c r="H181" s="1388" t="s">
        <v>22</v>
      </c>
      <c r="I181" s="1388" t="s">
        <v>22</v>
      </c>
      <c r="J181" s="1388" t="s">
        <v>22</v>
      </c>
      <c r="K181" s="1388" t="s">
        <v>129</v>
      </c>
      <c r="L181" s="24">
        <v>1</v>
      </c>
      <c r="M181" s="25">
        <v>41204</v>
      </c>
      <c r="N181" s="25">
        <v>42215</v>
      </c>
      <c r="O181" s="26">
        <f t="shared" si="22"/>
        <v>2015</v>
      </c>
      <c r="P181" s="27">
        <f>+IFERROR(INDEX([13]PARÁMETROS!$B$11:$B$37,MATCH(O181,[13]PARÁMETROS!$A$11:$A$37,0)),"")</f>
        <v>644350</v>
      </c>
      <c r="Q181" s="28">
        <v>5638074758</v>
      </c>
      <c r="R181" s="29" t="s">
        <v>151</v>
      </c>
      <c r="S181" s="19" t="s">
        <v>140</v>
      </c>
      <c r="T181" s="30" t="s">
        <v>140</v>
      </c>
      <c r="U181" s="31">
        <v>1</v>
      </c>
      <c r="V181" s="27">
        <f t="shared" si="23"/>
        <v>5638074758</v>
      </c>
      <c r="W181" s="16">
        <f t="shared" si="24"/>
        <v>8750.0190238224568</v>
      </c>
      <c r="X181" s="16">
        <f t="shared" si="25"/>
        <v>8750.0190238224568</v>
      </c>
      <c r="Y181" s="1388" t="str">
        <f>+IF(X181="","",IF(X181&gt;=[13]PARÁMETROS!$D$5,"CUMPLE","NO CUMPLE"))</f>
        <v>CUMPLE</v>
      </c>
      <c r="Z181" s="97"/>
    </row>
    <row r="182" spans="1:26" ht="72" thickBot="1">
      <c r="A182" s="1612"/>
      <c r="B182" s="1511"/>
      <c r="C182" s="99" t="s">
        <v>1997</v>
      </c>
      <c r="D182" s="178">
        <v>23</v>
      </c>
      <c r="E182" s="101" t="str">
        <f>+IFERROR(INDEX([4]CONSOLIDADO!$D$4:$D$108,MATCH('Concur - Exp. Especifica'!C182,[4]CONSOLIDADO!$C$4:$C$108,0)),"")</f>
        <v>INTEGRAL DISEÑOS E INTERVENTORIA S.A.S.</v>
      </c>
      <c r="F182" s="102" t="s">
        <v>2416</v>
      </c>
      <c r="G182" s="103" t="s">
        <v>1999</v>
      </c>
      <c r="H182" s="1392" t="s">
        <v>22</v>
      </c>
      <c r="I182" s="1392" t="s">
        <v>129</v>
      </c>
      <c r="J182" s="1392" t="s">
        <v>22</v>
      </c>
      <c r="K182" s="1392" t="s">
        <v>129</v>
      </c>
      <c r="L182" s="104">
        <v>1</v>
      </c>
      <c r="M182" s="105">
        <v>37453</v>
      </c>
      <c r="N182" s="105">
        <v>38087</v>
      </c>
      <c r="O182" s="106">
        <f t="shared" si="22"/>
        <v>2004</v>
      </c>
      <c r="P182" s="107">
        <f>+IFERROR(INDEX([13]PARÁMETROS!$B$11:$B$37,MATCH(O182,[13]PARÁMETROS!$A$11:$A$37,0)),"")</f>
        <v>358000</v>
      </c>
      <c r="Q182" s="108">
        <v>2256694426</v>
      </c>
      <c r="R182" s="109" t="s">
        <v>151</v>
      </c>
      <c r="S182" s="99" t="s">
        <v>140</v>
      </c>
      <c r="T182" s="110" t="s">
        <v>140</v>
      </c>
      <c r="U182" s="111">
        <v>1</v>
      </c>
      <c r="V182" s="107">
        <f t="shared" si="23"/>
        <v>2256694426</v>
      </c>
      <c r="W182" s="112">
        <f t="shared" si="24"/>
        <v>6303.6157150837989</v>
      </c>
      <c r="X182" s="112">
        <f t="shared" si="25"/>
        <v>6303.6157150837989</v>
      </c>
      <c r="Y182" s="1392" t="str">
        <f>+IF(X182="","",IF(X182&gt;=[13]PARÁMETROS!$D$5,"CUMPLE","NO CUMPLE"))</f>
        <v>CUMPLE</v>
      </c>
      <c r="Z182" s="113"/>
    </row>
    <row r="183" spans="1:26" ht="43.5" thickBot="1">
      <c r="A183" s="1612"/>
      <c r="B183" s="1509" t="s">
        <v>2417</v>
      </c>
      <c r="C183" s="81" t="s">
        <v>2004</v>
      </c>
      <c r="D183" s="169">
        <v>4</v>
      </c>
      <c r="E183" s="101" t="str">
        <f>+IFERROR(INDEX([4]CONSOLIDADO!$D$4:$D$108,MATCH('Concur - Exp. Especifica'!C183,[4]CONSOLIDADO!$C$4:$C$108,0)),"")</f>
        <v>INGETEC G &amp; C</v>
      </c>
      <c r="F183" s="84" t="s">
        <v>155</v>
      </c>
      <c r="G183" s="85" t="s">
        <v>1598</v>
      </c>
      <c r="H183" s="1393" t="s">
        <v>22</v>
      </c>
      <c r="I183" s="1393" t="s">
        <v>129</v>
      </c>
      <c r="J183" s="1393" t="s">
        <v>22</v>
      </c>
      <c r="K183" s="1393" t="s">
        <v>129</v>
      </c>
      <c r="L183" s="86">
        <v>1</v>
      </c>
      <c r="M183" s="346">
        <v>36523</v>
      </c>
      <c r="N183" s="346">
        <v>37769</v>
      </c>
      <c r="O183" s="88">
        <f t="shared" si="22"/>
        <v>2003</v>
      </c>
      <c r="P183" s="89">
        <f>+IFERROR(INDEX([13]PARÁMETROS!$B$11:$B$37,MATCH(O183,[13]PARÁMETROS!$A$11:$A$37,0)),"")</f>
        <v>332000</v>
      </c>
      <c r="Q183" s="361">
        <v>2582274473</v>
      </c>
      <c r="R183" s="91" t="s">
        <v>151</v>
      </c>
      <c r="S183" s="81" t="s">
        <v>140</v>
      </c>
      <c r="T183" s="92" t="s">
        <v>140</v>
      </c>
      <c r="U183" s="93">
        <v>1</v>
      </c>
      <c r="V183" s="89">
        <f t="shared" si="23"/>
        <v>2582274473</v>
      </c>
      <c r="W183" s="94">
        <f t="shared" si="24"/>
        <v>7777.9351596385541</v>
      </c>
      <c r="X183" s="94">
        <f t="shared" si="25"/>
        <v>7777.9351596385541</v>
      </c>
      <c r="Y183" s="1393" t="str">
        <f>+IF(X183="","",IF(X183&gt;=[13]PARÁMETROS!$D$5,"CUMPLE","NO CUMPLE"))</f>
        <v>CUMPLE</v>
      </c>
      <c r="Z183" s="96"/>
    </row>
    <row r="184" spans="1:26" ht="57.75" thickBot="1">
      <c r="A184" s="1612"/>
      <c r="B184" s="1510"/>
      <c r="C184" s="19" t="s">
        <v>2004</v>
      </c>
      <c r="D184" s="170">
        <v>8</v>
      </c>
      <c r="E184" s="101" t="str">
        <f>+IFERROR(INDEX([4]CONSOLIDADO!$D$4:$D$108,MATCH('Concur - Exp. Especifica'!C184,[4]CONSOLIDADO!$C$4:$C$108,0)),"")</f>
        <v>INGETEC G &amp; C</v>
      </c>
      <c r="F184" s="22" t="s">
        <v>207</v>
      </c>
      <c r="G184" s="23" t="s">
        <v>2418</v>
      </c>
      <c r="H184" s="1388" t="s">
        <v>22</v>
      </c>
      <c r="I184" s="1388" t="s">
        <v>22</v>
      </c>
      <c r="J184" s="1388" t="s">
        <v>22</v>
      </c>
      <c r="K184" s="1388" t="s">
        <v>129</v>
      </c>
      <c r="L184" s="24">
        <v>0.65</v>
      </c>
      <c r="M184" s="348">
        <v>37986</v>
      </c>
      <c r="N184" s="348">
        <v>40748</v>
      </c>
      <c r="O184" s="26">
        <f t="shared" si="22"/>
        <v>2011</v>
      </c>
      <c r="P184" s="27">
        <f>+IFERROR(INDEX([13]PARÁMETROS!$B$11:$B$37,MATCH(O184,[13]PARÁMETROS!$A$11:$A$37,0)),"")</f>
        <v>535600</v>
      </c>
      <c r="Q184" s="362">
        <v>6087540759</v>
      </c>
      <c r="R184" s="29" t="s">
        <v>151</v>
      </c>
      <c r="S184" s="19" t="s">
        <v>140</v>
      </c>
      <c r="T184" s="30" t="s">
        <v>140</v>
      </c>
      <c r="U184" s="31">
        <v>1</v>
      </c>
      <c r="V184" s="27">
        <f t="shared" si="23"/>
        <v>6087540759</v>
      </c>
      <c r="W184" s="16">
        <f t="shared" si="24"/>
        <v>11365.834128080658</v>
      </c>
      <c r="X184" s="16">
        <f t="shared" si="25"/>
        <v>7387.792183252428</v>
      </c>
      <c r="Y184" s="1388" t="str">
        <f>+IF(X184="","",IF(X184&gt;=[13]PARÁMETROS!$D$5,"CUMPLE","NO CUMPLE"))</f>
        <v>CUMPLE</v>
      </c>
      <c r="Z184" s="97"/>
    </row>
    <row r="185" spans="1:26" ht="48" thickBot="1">
      <c r="A185" s="1612"/>
      <c r="B185" s="1510"/>
      <c r="C185" s="19" t="s">
        <v>2004</v>
      </c>
      <c r="D185" s="170">
        <v>14</v>
      </c>
      <c r="E185" s="101" t="str">
        <f>+IFERROR(INDEX([4]CONSOLIDADO!$D$4:$D$108,MATCH('Concur - Exp. Especifica'!C185,[4]CONSOLIDADO!$C$4:$C$108,0)),"")</f>
        <v>INGETEC G &amp; C</v>
      </c>
      <c r="F185" s="37" t="s">
        <v>155</v>
      </c>
      <c r="G185" s="37" t="s">
        <v>2005</v>
      </c>
      <c r="H185" s="1388" t="s">
        <v>22</v>
      </c>
      <c r="I185" s="1388" t="s">
        <v>129</v>
      </c>
      <c r="J185" s="1388" t="s">
        <v>22</v>
      </c>
      <c r="K185" s="1388" t="s">
        <v>129</v>
      </c>
      <c r="L185" s="38">
        <v>1</v>
      </c>
      <c r="M185" s="348">
        <v>38366</v>
      </c>
      <c r="N185" s="348">
        <v>39064</v>
      </c>
      <c r="O185" s="26">
        <f t="shared" si="22"/>
        <v>2006</v>
      </c>
      <c r="P185" s="27">
        <f>+IFERROR(INDEX([13]PARÁMETROS!$B$11:$B$37,MATCH(O185,[13]PARÁMETROS!$A$11:$A$37,0)),"")</f>
        <v>408000</v>
      </c>
      <c r="Q185" s="362">
        <v>1473683024</v>
      </c>
      <c r="R185" s="29" t="s">
        <v>151</v>
      </c>
      <c r="S185" s="19" t="s">
        <v>140</v>
      </c>
      <c r="T185" s="30" t="s">
        <v>140</v>
      </c>
      <c r="U185" s="31">
        <v>1</v>
      </c>
      <c r="V185" s="27">
        <f t="shared" si="23"/>
        <v>1473683024</v>
      </c>
      <c r="W185" s="16">
        <f t="shared" si="24"/>
        <v>3611.9681960784314</v>
      </c>
      <c r="X185" s="16">
        <f t="shared" si="25"/>
        <v>3611.9681960784314</v>
      </c>
      <c r="Y185" s="1388" t="str">
        <f>+IF(X185="","",IF(X185&gt;=[13]PARÁMETROS!$D$5,"CUMPLE","NO CUMPLE"))</f>
        <v>CUMPLE</v>
      </c>
      <c r="Z185" s="121"/>
    </row>
    <row r="186" spans="1:26" ht="86.25" thickBot="1">
      <c r="A186" s="1612"/>
      <c r="B186" s="1511"/>
      <c r="C186" s="99" t="s">
        <v>2007</v>
      </c>
      <c r="D186" s="178">
        <v>17</v>
      </c>
      <c r="E186" s="101" t="str">
        <f>+IFERROR(INDEX([4]CONSOLIDADO!$D$4:$D$108,MATCH('Concur - Exp. Especifica'!C186,[4]CONSOLIDADO!$C$4:$C$108,0)),"")</f>
        <v>CEAS</v>
      </c>
      <c r="F186" s="102" t="s">
        <v>155</v>
      </c>
      <c r="G186" s="103" t="s">
        <v>2419</v>
      </c>
      <c r="H186" s="1392" t="s">
        <v>22</v>
      </c>
      <c r="I186" s="1392" t="s">
        <v>129</v>
      </c>
      <c r="J186" s="1392" t="s">
        <v>22</v>
      </c>
      <c r="K186" s="1392" t="s">
        <v>129</v>
      </c>
      <c r="L186" s="292">
        <v>0.75</v>
      </c>
      <c r="M186" s="363">
        <v>38678</v>
      </c>
      <c r="N186" s="364">
        <v>39690</v>
      </c>
      <c r="O186" s="106">
        <f t="shared" si="22"/>
        <v>2008</v>
      </c>
      <c r="P186" s="107">
        <f>+IFERROR(INDEX([13]PARÁMETROS!$B$11:$B$37,MATCH(O186,[13]PARÁMETROS!$A$11:$A$37,0)),"")</f>
        <v>461500</v>
      </c>
      <c r="Q186" s="365">
        <v>1702409736</v>
      </c>
      <c r="R186" s="109" t="s">
        <v>151</v>
      </c>
      <c r="S186" s="109" t="s">
        <v>140</v>
      </c>
      <c r="T186" s="109" t="s">
        <v>140</v>
      </c>
      <c r="U186" s="109">
        <v>1</v>
      </c>
      <c r="V186" s="107">
        <f t="shared" si="23"/>
        <v>1702409736</v>
      </c>
      <c r="W186" s="112">
        <f t="shared" si="24"/>
        <v>3688.8618331527628</v>
      </c>
      <c r="X186" s="112">
        <f t="shared" si="25"/>
        <v>2766.646374864572</v>
      </c>
      <c r="Y186" s="1392" t="str">
        <f>+IF(X186="","",IF(X186&gt;=[13]PARÁMETROS!$D$5,"CUMPLE","NO CUMPLE"))</f>
        <v>CUMPLE</v>
      </c>
      <c r="Z186" s="113"/>
    </row>
    <row r="187" spans="1:26" ht="63.75" thickBot="1">
      <c r="A187" s="1612"/>
      <c r="B187" s="1509" t="s">
        <v>2420</v>
      </c>
      <c r="C187" s="84" t="s">
        <v>2012</v>
      </c>
      <c r="D187" s="169">
        <v>4</v>
      </c>
      <c r="E187" s="101" t="str">
        <f>+IFERROR(INDEX([4]CONSOLIDADO!$D$4:$D$108,MATCH('Concur - Exp. Especifica'!C187,[4]CONSOLIDADO!$C$4:$C$108,0)),"")</f>
        <v>SONDEOS ESTRUCTURAS Y GEOTECNIA SUCURSAL S.A.</v>
      </c>
      <c r="F187" s="84" t="s">
        <v>2421</v>
      </c>
      <c r="G187" s="85" t="s">
        <v>2422</v>
      </c>
      <c r="H187" s="1393" t="s">
        <v>22</v>
      </c>
      <c r="I187" s="1393" t="s">
        <v>129</v>
      </c>
      <c r="J187" s="1393" t="s">
        <v>22</v>
      </c>
      <c r="K187" s="1393" t="s">
        <v>129</v>
      </c>
      <c r="L187" s="86">
        <v>0.25</v>
      </c>
      <c r="M187" s="342">
        <v>40487</v>
      </c>
      <c r="N187" s="342">
        <v>42369</v>
      </c>
      <c r="O187" s="88">
        <f t="shared" si="22"/>
        <v>2015</v>
      </c>
      <c r="P187" s="89">
        <f>+IFERROR(INDEX([13]PARÁMETROS!$B$11:$B$37,MATCH(O187,[13]PARÁMETROS!$A$11:$A$37,0)),"")</f>
        <v>644350</v>
      </c>
      <c r="Q187" s="343">
        <v>25305101612</v>
      </c>
      <c r="R187" s="91" t="s">
        <v>151</v>
      </c>
      <c r="S187" s="81"/>
      <c r="T187" s="92"/>
      <c r="U187" s="93">
        <v>1</v>
      </c>
      <c r="V187" s="89">
        <f t="shared" si="23"/>
        <v>25305101612</v>
      </c>
      <c r="W187" s="94">
        <f t="shared" si="24"/>
        <v>39272.292406300927</v>
      </c>
      <c r="X187" s="94">
        <f t="shared" si="25"/>
        <v>9818.0731015752317</v>
      </c>
      <c r="Y187" s="1393" t="str">
        <f>+IF(X187="","",IF(X187&gt;=[13]PARÁMETROS!$D$5,"CUMPLE","NO CUMPLE"))</f>
        <v>CUMPLE</v>
      </c>
      <c r="Z187" s="96"/>
    </row>
    <row r="188" spans="1:26" ht="63.75" thickBot="1">
      <c r="A188" s="1612"/>
      <c r="B188" s="1510"/>
      <c r="C188" s="22" t="s">
        <v>2012</v>
      </c>
      <c r="D188" s="170">
        <v>11</v>
      </c>
      <c r="E188" s="101" t="str">
        <f>+IFERROR(INDEX([4]CONSOLIDADO!$D$4:$D$108,MATCH('Concur - Exp. Especifica'!C188,[4]CONSOLIDADO!$C$4:$C$108,0)),"")</f>
        <v>SONDEOS ESTRUCTURAS Y GEOTECNIA SUCURSAL S.A.</v>
      </c>
      <c r="F188" s="22" t="s">
        <v>2015</v>
      </c>
      <c r="G188" s="23" t="s">
        <v>2423</v>
      </c>
      <c r="H188" s="1388" t="s">
        <v>22</v>
      </c>
      <c r="I188" s="1388" t="s">
        <v>129</v>
      </c>
      <c r="J188" s="1388" t="s">
        <v>22</v>
      </c>
      <c r="K188" s="1388" t="s">
        <v>129</v>
      </c>
      <c r="L188" s="24">
        <v>0.5</v>
      </c>
      <c r="M188" s="249">
        <v>38811</v>
      </c>
      <c r="N188" s="249">
        <v>39792</v>
      </c>
      <c r="O188" s="26">
        <f t="shared" si="22"/>
        <v>2008</v>
      </c>
      <c r="P188" s="27">
        <f>+IFERROR(INDEX([13]PARÁMETROS!$B$11:$B$37,MATCH(O188,[13]PARÁMETROS!$A$11:$A$37,0)),"")</f>
        <v>461500</v>
      </c>
      <c r="Q188" s="344">
        <v>3195934611</v>
      </c>
      <c r="R188" s="29" t="s">
        <v>179</v>
      </c>
      <c r="S188" s="19">
        <v>2311.6999999999998</v>
      </c>
      <c r="T188" s="30">
        <f>1072506.71*1.2989</f>
        <v>1393078.9656189999</v>
      </c>
      <c r="U188" s="31">
        <v>1</v>
      </c>
      <c r="V188" s="27">
        <f t="shared" si="23"/>
        <v>3195934611</v>
      </c>
      <c r="W188" s="16">
        <f t="shared" si="24"/>
        <v>6925.102082340195</v>
      </c>
      <c r="X188" s="16">
        <f t="shared" si="25"/>
        <v>3462.5510411700975</v>
      </c>
      <c r="Y188" s="1388" t="str">
        <f>+IF(X188="","",IF(X188&gt;=[13]PARÁMETROS!$D$5,"CUMPLE","NO CUMPLE"))</f>
        <v>CUMPLE</v>
      </c>
      <c r="Z188" s="97"/>
    </row>
    <row r="189" spans="1:26" ht="72" thickBot="1">
      <c r="A189" s="1612"/>
      <c r="B189" s="1510"/>
      <c r="C189" s="22" t="s">
        <v>2012</v>
      </c>
      <c r="D189" s="170">
        <v>20</v>
      </c>
      <c r="E189" s="101" t="str">
        <f>+IFERROR(INDEX([4]CONSOLIDADO!$D$4:$D$108,MATCH('Concur - Exp. Especifica'!C189,[4]CONSOLIDADO!$C$4:$C$108,0)),"")</f>
        <v>SONDEOS ESTRUCTURAS Y GEOTECNIA SUCURSAL S.A.</v>
      </c>
      <c r="F189" s="22" t="s">
        <v>2015</v>
      </c>
      <c r="G189" s="23" t="s">
        <v>2424</v>
      </c>
      <c r="H189" s="1388" t="s">
        <v>22</v>
      </c>
      <c r="I189" s="1388" t="s">
        <v>129</v>
      </c>
      <c r="J189" s="1388" t="s">
        <v>22</v>
      </c>
      <c r="K189" s="1388" t="s">
        <v>129</v>
      </c>
      <c r="L189" s="24">
        <v>0.5</v>
      </c>
      <c r="M189" s="249">
        <v>37939</v>
      </c>
      <c r="N189" s="249">
        <v>39339</v>
      </c>
      <c r="O189" s="26">
        <f t="shared" si="22"/>
        <v>2007</v>
      </c>
      <c r="P189" s="27">
        <f>+IFERROR(INDEX([13]PARÁMETROS!$B$11:$B$37,MATCH(O189,[13]PARÁMETROS!$A$11:$A$37,0)),"")</f>
        <v>433700</v>
      </c>
      <c r="Q189" s="344">
        <v>7566557408</v>
      </c>
      <c r="R189" s="29" t="s">
        <v>179</v>
      </c>
      <c r="S189" s="19">
        <v>2157.75</v>
      </c>
      <c r="T189" s="30">
        <f>2523923.36*1.3849</f>
        <v>3495381.4612639998</v>
      </c>
      <c r="U189" s="31">
        <v>1</v>
      </c>
      <c r="V189" s="27">
        <f t="shared" si="23"/>
        <v>7566557408</v>
      </c>
      <c r="W189" s="16">
        <f t="shared" si="24"/>
        <v>17446.523882868343</v>
      </c>
      <c r="X189" s="16">
        <f t="shared" si="25"/>
        <v>8723.2619414341716</v>
      </c>
      <c r="Y189" s="1388" t="str">
        <f>+IF(X189="","",IF(X189&gt;=[13]PARÁMETROS!$D$5,"CUMPLE","NO CUMPLE"))</f>
        <v>CUMPLE</v>
      </c>
      <c r="Z189" s="97"/>
    </row>
    <row r="190" spans="1:26" ht="79.5" thickBot="1">
      <c r="A190" s="1612"/>
      <c r="B190" s="1511"/>
      <c r="C190" s="102" t="s">
        <v>2017</v>
      </c>
      <c r="D190" s="178">
        <v>31</v>
      </c>
      <c r="E190" s="101" t="str">
        <f>+IFERROR(INDEX([4]CONSOLIDADO!$D$4:$D$108,MATCH('Concur - Exp. Especifica'!C190,[4]CONSOLIDADO!$C$4:$C$108,0)),"")</f>
        <v>INGENIERIA CONSULTORIA Y PLANEACION S.A. INCOPLAN S.A.</v>
      </c>
      <c r="F190" s="102" t="s">
        <v>2020</v>
      </c>
      <c r="G190" s="103" t="s">
        <v>2425</v>
      </c>
      <c r="H190" s="1392" t="s">
        <v>129</v>
      </c>
      <c r="I190" s="1392" t="s">
        <v>22</v>
      </c>
      <c r="J190" s="1392" t="s">
        <v>22</v>
      </c>
      <c r="K190" s="1392" t="s">
        <v>129</v>
      </c>
      <c r="L190" s="104">
        <v>0.45</v>
      </c>
      <c r="M190" s="264">
        <v>40954</v>
      </c>
      <c r="N190" s="264">
        <v>42331</v>
      </c>
      <c r="O190" s="106">
        <f t="shared" si="22"/>
        <v>2015</v>
      </c>
      <c r="P190" s="107">
        <f>+IFERROR(INDEX([13]PARÁMETROS!$B$11:$B$37,MATCH(O190,[13]PARÁMETROS!$A$11:$A$37,0)),"")</f>
        <v>644350</v>
      </c>
      <c r="Q190" s="345">
        <v>6670475572</v>
      </c>
      <c r="R190" s="109" t="s">
        <v>151</v>
      </c>
      <c r="S190" s="99" t="s">
        <v>140</v>
      </c>
      <c r="T190" s="110" t="s">
        <v>140</v>
      </c>
      <c r="U190" s="111">
        <v>1</v>
      </c>
      <c r="V190" s="107">
        <f t="shared" si="23"/>
        <v>6670475572</v>
      </c>
      <c r="W190" s="112">
        <f t="shared" si="24"/>
        <v>10352.255097384961</v>
      </c>
      <c r="X190" s="112">
        <f t="shared" si="25"/>
        <v>4658.514793823233</v>
      </c>
      <c r="Y190" s="1392" t="str">
        <f>+IF(X190="","",IF(X190&gt;=[13]PARÁMETROS!$D$5,"CUMPLE","NO CUMPLE"))</f>
        <v>CUMPLE</v>
      </c>
      <c r="Z190" s="113"/>
    </row>
    <row r="191" spans="1:26" ht="86.25" thickBot="1">
      <c r="A191" s="1612"/>
      <c r="B191" s="1509" t="s">
        <v>2426</v>
      </c>
      <c r="C191" s="81" t="s">
        <v>2023</v>
      </c>
      <c r="D191" s="169">
        <v>5</v>
      </c>
      <c r="E191" s="101" t="str">
        <f>+IFERROR(INDEX([4]CONSOLIDADO!$D$4:$D$108,MATCH('Concur - Exp. Especifica'!C191,[4]CONSOLIDADO!$C$4:$C$108,0)),"")</f>
        <v>HMV CONSULTORIA</v>
      </c>
      <c r="F191" s="84" t="s">
        <v>1602</v>
      </c>
      <c r="G191" s="85" t="s">
        <v>790</v>
      </c>
      <c r="H191" s="1393" t="s">
        <v>22</v>
      </c>
      <c r="I191" s="1393" t="s">
        <v>22</v>
      </c>
      <c r="J191" s="1393" t="s">
        <v>22</v>
      </c>
      <c r="K191" s="1393" t="s">
        <v>129</v>
      </c>
      <c r="L191" s="86">
        <v>1</v>
      </c>
      <c r="M191" s="346">
        <v>37204</v>
      </c>
      <c r="N191" s="346">
        <v>38299</v>
      </c>
      <c r="O191" s="88">
        <f t="shared" si="22"/>
        <v>2004</v>
      </c>
      <c r="P191" s="89">
        <f>+IFERROR(INDEX([13]PARÁMETROS!$B$11:$B$37,MATCH(O191,[13]PARÁMETROS!$A$11:$A$37,0)),"")</f>
        <v>358000</v>
      </c>
      <c r="Q191" s="347">
        <v>1278307085</v>
      </c>
      <c r="R191" s="91" t="s">
        <v>151</v>
      </c>
      <c r="S191" s="81" t="s">
        <v>140</v>
      </c>
      <c r="T191" s="92" t="s">
        <v>140</v>
      </c>
      <c r="U191" s="93">
        <v>1</v>
      </c>
      <c r="V191" s="89">
        <f t="shared" si="23"/>
        <v>1278307085</v>
      </c>
      <c r="W191" s="94">
        <f t="shared" si="24"/>
        <v>3570.6901815642459</v>
      </c>
      <c r="X191" s="94">
        <f t="shared" si="25"/>
        <v>3570.6901815642459</v>
      </c>
      <c r="Y191" s="1393" t="str">
        <f>+IF(X191="","",IF(X191&gt;=[13]PARÁMETROS!$D$5,"CUMPLE","NO CUMPLE"))</f>
        <v>CUMPLE</v>
      </c>
      <c r="Z191" s="96"/>
    </row>
    <row r="192" spans="1:26" ht="57.75" thickBot="1">
      <c r="A192" s="1612"/>
      <c r="B192" s="1510"/>
      <c r="C192" s="19" t="s">
        <v>2023</v>
      </c>
      <c r="D192" s="170">
        <v>19</v>
      </c>
      <c r="E192" s="101" t="str">
        <f>+IFERROR(INDEX([4]CONSOLIDADO!$D$4:$D$108,MATCH('Concur - Exp. Especifica'!C192,[4]CONSOLIDADO!$C$4:$C$108,0)),"")</f>
        <v>HMV CONSULTORIA</v>
      </c>
      <c r="F192" s="22" t="s">
        <v>1362</v>
      </c>
      <c r="G192" s="23" t="s">
        <v>605</v>
      </c>
      <c r="H192" s="1388" t="s">
        <v>22</v>
      </c>
      <c r="I192" s="1388" t="s">
        <v>129</v>
      </c>
      <c r="J192" s="1388" t="s">
        <v>22</v>
      </c>
      <c r="K192" s="1388" t="s">
        <v>129</v>
      </c>
      <c r="L192" s="24">
        <v>0.5</v>
      </c>
      <c r="M192" s="348">
        <v>36312</v>
      </c>
      <c r="N192" s="348">
        <v>37833</v>
      </c>
      <c r="O192" s="26">
        <f t="shared" si="22"/>
        <v>2003</v>
      </c>
      <c r="P192" s="27">
        <f>+IFERROR(INDEX([13]PARÁMETROS!$B$11:$B$37,MATCH(O192,[13]PARÁMETROS!$A$11:$A$37,0)),"")</f>
        <v>332000</v>
      </c>
      <c r="Q192" s="349">
        <v>5331439397</v>
      </c>
      <c r="R192" s="29" t="s">
        <v>151</v>
      </c>
      <c r="S192" s="19" t="s">
        <v>140</v>
      </c>
      <c r="T192" s="30" t="s">
        <v>140</v>
      </c>
      <c r="U192" s="31">
        <v>1</v>
      </c>
      <c r="V192" s="27">
        <f t="shared" si="23"/>
        <v>5331439397</v>
      </c>
      <c r="W192" s="16">
        <f t="shared" si="24"/>
        <v>16058.55240060241</v>
      </c>
      <c r="X192" s="16">
        <f t="shared" si="25"/>
        <v>8029.2762003012049</v>
      </c>
      <c r="Y192" s="1388" t="str">
        <f>+IF(X192="","",IF(X192&gt;=[13]PARÁMETROS!$D$5,"CUMPLE","NO CUMPLE"))</f>
        <v>CUMPLE</v>
      </c>
      <c r="Z192" s="97"/>
    </row>
    <row r="193" spans="1:26" ht="57.75" thickBot="1">
      <c r="A193" s="1612"/>
      <c r="B193" s="1510"/>
      <c r="C193" s="19" t="s">
        <v>2023</v>
      </c>
      <c r="D193" s="170">
        <v>25</v>
      </c>
      <c r="E193" s="101" t="str">
        <f>+IFERROR(INDEX([4]CONSOLIDADO!$D$4:$D$108,MATCH('Concur - Exp. Especifica'!C193,[4]CONSOLIDADO!$C$4:$C$108,0)),"")</f>
        <v>HMV CONSULTORIA</v>
      </c>
      <c r="F193" s="22" t="s">
        <v>1362</v>
      </c>
      <c r="G193" s="23" t="s">
        <v>602</v>
      </c>
      <c r="H193" s="1388" t="s">
        <v>22</v>
      </c>
      <c r="I193" s="1388" t="s">
        <v>129</v>
      </c>
      <c r="J193" s="1388" t="s">
        <v>22</v>
      </c>
      <c r="K193" s="1388" t="s">
        <v>129</v>
      </c>
      <c r="L193" s="24">
        <v>1</v>
      </c>
      <c r="M193" s="348">
        <v>38323</v>
      </c>
      <c r="N193" s="348">
        <v>40694</v>
      </c>
      <c r="O193" s="26">
        <f t="shared" si="22"/>
        <v>2011</v>
      </c>
      <c r="P193" s="27">
        <f>+IFERROR(INDEX([13]PARÁMETROS!$B$11:$B$37,MATCH(O193,[13]PARÁMETROS!$A$11:$A$37,0)),"")</f>
        <v>535600</v>
      </c>
      <c r="Q193" s="349">
        <v>8415351165</v>
      </c>
      <c r="R193" s="29" t="s">
        <v>151</v>
      </c>
      <c r="S193" s="19" t="s">
        <v>140</v>
      </c>
      <c r="T193" s="30" t="s">
        <v>140</v>
      </c>
      <c r="U193" s="31">
        <v>1</v>
      </c>
      <c r="V193" s="27">
        <f t="shared" si="23"/>
        <v>8415351165</v>
      </c>
      <c r="W193" s="16">
        <f t="shared" si="24"/>
        <v>15712.007402912621</v>
      </c>
      <c r="X193" s="16">
        <f t="shared" si="25"/>
        <v>15712.007402912621</v>
      </c>
      <c r="Y193" s="1388" t="str">
        <f>+IF(X193="","",IF(X193&gt;=[13]PARÁMETROS!$D$5,"CUMPLE","NO CUMPLE"))</f>
        <v>CUMPLE</v>
      </c>
      <c r="Z193" s="97"/>
    </row>
    <row r="194" spans="1:26" ht="57.75" thickBot="1">
      <c r="A194" s="1612"/>
      <c r="B194" s="1511"/>
      <c r="C194" s="99" t="s">
        <v>2023</v>
      </c>
      <c r="D194" s="178">
        <v>32</v>
      </c>
      <c r="E194" s="101" t="str">
        <f>+IFERROR(INDEX([4]CONSOLIDADO!$D$4:$D$108,MATCH('Concur - Exp. Especifica'!C194,[4]CONSOLIDADO!$C$4:$C$108,0)),"")</f>
        <v>HMV CONSULTORIA</v>
      </c>
      <c r="F194" s="366" t="s">
        <v>1364</v>
      </c>
      <c r="G194" s="367" t="s">
        <v>2024</v>
      </c>
      <c r="H194" s="1392" t="s">
        <v>22</v>
      </c>
      <c r="I194" s="1392" t="s">
        <v>129</v>
      </c>
      <c r="J194" s="1392" t="s">
        <v>22</v>
      </c>
      <c r="K194" s="1392" t="s">
        <v>129</v>
      </c>
      <c r="L194" s="368">
        <v>1</v>
      </c>
      <c r="M194" s="369">
        <v>39246</v>
      </c>
      <c r="N194" s="369">
        <v>40311</v>
      </c>
      <c r="O194" s="106">
        <f t="shared" si="22"/>
        <v>2010</v>
      </c>
      <c r="P194" s="107">
        <f>+IFERROR(INDEX([13]PARÁMETROS!$B$11:$B$37,MATCH(O194,[13]PARÁMETROS!$A$11:$A$37,0)),"")</f>
        <v>515000</v>
      </c>
      <c r="Q194" s="370">
        <v>4653247176</v>
      </c>
      <c r="R194" s="371" t="s">
        <v>151</v>
      </c>
      <c r="S194" s="99" t="s">
        <v>140</v>
      </c>
      <c r="T194" s="110" t="s">
        <v>140</v>
      </c>
      <c r="U194" s="111">
        <v>1</v>
      </c>
      <c r="V194" s="107">
        <f t="shared" si="23"/>
        <v>4653247176</v>
      </c>
      <c r="W194" s="112">
        <f t="shared" si="24"/>
        <v>9035.4314097087372</v>
      </c>
      <c r="X194" s="112">
        <f t="shared" si="25"/>
        <v>9035.4314097087372</v>
      </c>
      <c r="Y194" s="1392" t="str">
        <f>+IF(X194="","",IF(X194&gt;=[13]PARÁMETROS!$D$5,"CUMPLE","NO CUMPLE"))</f>
        <v>CUMPLE</v>
      </c>
      <c r="Z194" s="124"/>
    </row>
    <row r="195" spans="1:26" ht="63.75" thickBot="1">
      <c r="A195" s="1612"/>
      <c r="B195" s="1605" t="s">
        <v>2427</v>
      </c>
      <c r="C195" s="81" t="s">
        <v>2033</v>
      </c>
      <c r="D195" s="169">
        <v>5</v>
      </c>
      <c r="E195" s="101" t="str">
        <f>+IFERROR(INDEX([4]CONSOLIDADO!$D$4:$D$108,MATCH('Concur - Exp. Especifica'!C195,[4]CONSOLIDADO!$C$4:$C$108,0)),"")</f>
        <v>ARENAS DE LA HOZ CONSULTORES S.A.S.</v>
      </c>
      <c r="F195" s="336" t="s">
        <v>1744</v>
      </c>
      <c r="G195" s="84" t="s">
        <v>2034</v>
      </c>
      <c r="H195" s="1393" t="s">
        <v>22</v>
      </c>
      <c r="I195" s="1393" t="s">
        <v>129</v>
      </c>
      <c r="J195" s="1393" t="s">
        <v>22</v>
      </c>
      <c r="K195" s="1393" t="s">
        <v>129</v>
      </c>
      <c r="L195" s="118">
        <v>1</v>
      </c>
      <c r="M195" s="87">
        <v>41123</v>
      </c>
      <c r="N195" s="87">
        <v>41779</v>
      </c>
      <c r="O195" s="88">
        <f t="shared" si="22"/>
        <v>2014</v>
      </c>
      <c r="P195" s="89">
        <f>+IFERROR(INDEX([5]PARÁMETROS!$B$11:$B$37,MATCH(O195,[5]PARÁMETROS!$A$11:$A$37,0)),"")</f>
        <v>616000</v>
      </c>
      <c r="Q195" s="337">
        <v>1605385195.3199999</v>
      </c>
      <c r="R195" s="89" t="s">
        <v>151</v>
      </c>
      <c r="S195" s="81" t="s">
        <v>140</v>
      </c>
      <c r="T195" s="92" t="s">
        <v>140</v>
      </c>
      <c r="U195" s="93">
        <v>1</v>
      </c>
      <c r="V195" s="89">
        <f t="shared" si="23"/>
        <v>1605385195.3199999</v>
      </c>
      <c r="W195" s="94">
        <f t="shared" si="24"/>
        <v>2606.1447975974024</v>
      </c>
      <c r="X195" s="94">
        <f t="shared" si="25"/>
        <v>2606.1447975974024</v>
      </c>
      <c r="Y195" s="1393" t="str">
        <f>+IF(X195="","",IF(X195&gt;=[5]PARÁMETROS!$D$5,"CUMPLE","NO CUMPLE"))</f>
        <v>CUMPLE</v>
      </c>
      <c r="Z195" s="122"/>
    </row>
    <row r="196" spans="1:26" ht="57.75" thickBot="1">
      <c r="A196" s="1612"/>
      <c r="B196" s="1510"/>
      <c r="C196" s="19" t="s">
        <v>2030</v>
      </c>
      <c r="D196" s="170">
        <v>12</v>
      </c>
      <c r="E196" s="101" t="str">
        <f>+IFERROR(INDEX([4]CONSOLIDADO!$D$4:$D$108,MATCH('Concur - Exp. Especifica'!C196,[4]CONSOLIDADO!$C$4:$C$108,0)),"")</f>
        <v>LA VIALIDAD LIMITADA</v>
      </c>
      <c r="F196" s="22" t="s">
        <v>1744</v>
      </c>
      <c r="G196" s="22" t="s">
        <v>2031</v>
      </c>
      <c r="H196" s="1388" t="s">
        <v>22</v>
      </c>
      <c r="I196" s="1388" t="s">
        <v>129</v>
      </c>
      <c r="J196" s="1388" t="s">
        <v>22</v>
      </c>
      <c r="K196" s="1388" t="s">
        <v>129</v>
      </c>
      <c r="L196" s="34">
        <v>1</v>
      </c>
      <c r="M196" s="25">
        <v>38331</v>
      </c>
      <c r="N196" s="25">
        <v>40329</v>
      </c>
      <c r="O196" s="26">
        <f t="shared" si="22"/>
        <v>2010</v>
      </c>
      <c r="P196" s="27">
        <f>+IFERROR(INDEX([5]PARÁMETROS!$B$11:$B$37,MATCH(O196,[5]PARÁMETROS!$A$11:$A$37,0)),"")</f>
        <v>515000</v>
      </c>
      <c r="Q196" s="205">
        <v>4862658335</v>
      </c>
      <c r="R196" s="27" t="s">
        <v>151</v>
      </c>
      <c r="S196" s="19" t="s">
        <v>140</v>
      </c>
      <c r="T196" s="30" t="s">
        <v>140</v>
      </c>
      <c r="U196" s="31">
        <v>1</v>
      </c>
      <c r="V196" s="27">
        <f t="shared" si="23"/>
        <v>4862658335</v>
      </c>
      <c r="W196" s="16">
        <f t="shared" si="24"/>
        <v>9442.0550194174757</v>
      </c>
      <c r="X196" s="16">
        <f t="shared" si="25"/>
        <v>9442.0550194174757</v>
      </c>
      <c r="Y196" s="1388" t="str">
        <f>+IF(X196="","",IF(X196&gt;=[5]PARÁMETROS!$D$5,"CUMPLE","NO CUMPLE"))</f>
        <v>CUMPLE</v>
      </c>
      <c r="Z196" s="97"/>
    </row>
    <row r="197" spans="1:26" ht="48" thickBot="1">
      <c r="A197" s="1612"/>
      <c r="B197" s="1510"/>
      <c r="C197" s="19" t="s">
        <v>2038</v>
      </c>
      <c r="D197" s="170">
        <v>23</v>
      </c>
      <c r="E197" s="101" t="str">
        <f>+IFERROR(INDEX([4]CONSOLIDADO!$D$4:$D$108,MATCH('Concur - Exp. Especifica'!C197,[4]CONSOLIDADO!$C$4:$C$108,0)),"")</f>
        <v>SILVA CARREÑO Y ASOCIADOS S.A.S.</v>
      </c>
      <c r="F197" s="22" t="s">
        <v>1744</v>
      </c>
      <c r="G197" s="22" t="s">
        <v>2039</v>
      </c>
      <c r="H197" s="1388" t="s">
        <v>22</v>
      </c>
      <c r="I197" s="1388" t="s">
        <v>129</v>
      </c>
      <c r="J197" s="1388" t="s">
        <v>22</v>
      </c>
      <c r="K197" s="1388" t="s">
        <v>129</v>
      </c>
      <c r="L197" s="34">
        <v>1</v>
      </c>
      <c r="M197" s="25">
        <v>36992</v>
      </c>
      <c r="N197" s="25">
        <v>37636</v>
      </c>
      <c r="O197" s="26">
        <f t="shared" si="22"/>
        <v>2003</v>
      </c>
      <c r="P197" s="27">
        <f>+IFERROR(INDEX([5]PARÁMETROS!$B$11:$B$37,MATCH(O197,[5]PARÁMETROS!$A$11:$A$37,0)),"")</f>
        <v>332000</v>
      </c>
      <c r="Q197" s="205">
        <v>1135751411</v>
      </c>
      <c r="R197" s="27" t="s">
        <v>151</v>
      </c>
      <c r="S197" s="19" t="s">
        <v>140</v>
      </c>
      <c r="T197" s="30" t="s">
        <v>140</v>
      </c>
      <c r="U197" s="31">
        <v>1</v>
      </c>
      <c r="V197" s="27">
        <f t="shared" si="23"/>
        <v>1135751411</v>
      </c>
      <c r="W197" s="16">
        <f t="shared" si="24"/>
        <v>3420.9379849397592</v>
      </c>
      <c r="X197" s="16">
        <f t="shared" si="25"/>
        <v>3420.9379849397592</v>
      </c>
      <c r="Y197" s="1388" t="str">
        <f>+IF(X197="","",IF(X197&gt;=[5]PARÁMETROS!$D$5,"CUMPLE","NO CUMPLE"))</f>
        <v>CUMPLE</v>
      </c>
      <c r="Z197" s="97"/>
    </row>
    <row r="198" spans="1:26" ht="72" thickBot="1">
      <c r="A198" s="1612"/>
      <c r="B198" s="1511"/>
      <c r="C198" s="99" t="s">
        <v>2038</v>
      </c>
      <c r="D198" s="178">
        <v>25</v>
      </c>
      <c r="E198" s="101" t="str">
        <f>+IFERROR(INDEX([4]CONSOLIDADO!$D$4:$D$108,MATCH('Concur - Exp. Especifica'!C198,[4]CONSOLIDADO!$C$4:$C$108,0)),"")</f>
        <v>SILVA CARREÑO Y ASOCIADOS S.A.S.</v>
      </c>
      <c r="F198" s="372" t="s">
        <v>517</v>
      </c>
      <c r="G198" s="103" t="s">
        <v>2428</v>
      </c>
      <c r="H198" s="1392" t="s">
        <v>22</v>
      </c>
      <c r="I198" s="1392" t="s">
        <v>22</v>
      </c>
      <c r="J198" s="1392" t="s">
        <v>22</v>
      </c>
      <c r="K198" s="1392" t="s">
        <v>129</v>
      </c>
      <c r="L198" s="119">
        <v>0.6</v>
      </c>
      <c r="M198" s="105">
        <v>41198</v>
      </c>
      <c r="N198" s="105">
        <v>41699</v>
      </c>
      <c r="O198" s="106">
        <f t="shared" si="22"/>
        <v>2014</v>
      </c>
      <c r="P198" s="107">
        <f>+IFERROR(INDEX([5]PARÁMETROS!$B$11:$B$37,MATCH(O198,[5]PARÁMETROS!$A$11:$A$37,0)),"")</f>
        <v>616000</v>
      </c>
      <c r="Q198" s="120">
        <v>2668542300</v>
      </c>
      <c r="R198" s="107" t="s">
        <v>151</v>
      </c>
      <c r="S198" s="99" t="s">
        <v>140</v>
      </c>
      <c r="T198" s="110" t="s">
        <v>140</v>
      </c>
      <c r="U198" s="111">
        <v>1</v>
      </c>
      <c r="V198" s="107">
        <f t="shared" si="23"/>
        <v>2668542300</v>
      </c>
      <c r="W198" s="112">
        <f t="shared" si="24"/>
        <v>4332.0491883116883</v>
      </c>
      <c r="X198" s="112">
        <f t="shared" si="25"/>
        <v>2599.2295129870131</v>
      </c>
      <c r="Y198" s="1392" t="str">
        <f>+IF(X198="","",IF(X198&gt;=[5]PARÁMETROS!$D$5,"CUMPLE","NO CUMPLE"))</f>
        <v>CUMPLE</v>
      </c>
      <c r="Z198" s="97"/>
    </row>
    <row r="199" spans="1:26" ht="72" thickBot="1">
      <c r="A199" s="1612"/>
      <c r="B199" s="1509" t="s">
        <v>2429</v>
      </c>
      <c r="C199" s="81" t="s">
        <v>2041</v>
      </c>
      <c r="D199" s="169">
        <v>274</v>
      </c>
      <c r="E199" s="101" t="str">
        <f>+IFERROR(INDEX([4]CONSOLIDADO!$D$4:$D$108,MATCH('Concur - Exp. Especifica'!C199,[4]CONSOLIDADO!$C$4:$C$108,0)),"")</f>
        <v>TECNOLOGIAS Y CONSULTORIAS AMBIENTALES Y GESTION S.A.</v>
      </c>
      <c r="F199" s="336" t="s">
        <v>207</v>
      </c>
      <c r="G199" s="85" t="s">
        <v>2042</v>
      </c>
      <c r="H199" s="1393" t="s">
        <v>22</v>
      </c>
      <c r="I199" s="1393" t="s">
        <v>129</v>
      </c>
      <c r="J199" s="1393" t="s">
        <v>22</v>
      </c>
      <c r="K199" s="1393" t="s">
        <v>129</v>
      </c>
      <c r="L199" s="86">
        <v>0.6</v>
      </c>
      <c r="M199" s="87">
        <v>39860</v>
      </c>
      <c r="N199" s="87">
        <v>41260</v>
      </c>
      <c r="O199" s="88">
        <f t="shared" si="22"/>
        <v>2012</v>
      </c>
      <c r="P199" s="89">
        <f>+IFERROR(INDEX([4]PARÁMETROS!$B$11:$B$37,MATCH(O199,[4]PARÁMETROS!$A$11:$A$37,0)),"")</f>
        <v>566700</v>
      </c>
      <c r="Q199" s="90">
        <v>8593771469</v>
      </c>
      <c r="R199" s="91" t="s">
        <v>151</v>
      </c>
      <c r="S199" s="81" t="s">
        <v>140</v>
      </c>
      <c r="T199" s="92" t="s">
        <v>140</v>
      </c>
      <c r="U199" s="93">
        <v>1</v>
      </c>
      <c r="V199" s="89">
        <f t="shared" si="23"/>
        <v>8593771469</v>
      </c>
      <c r="W199" s="94">
        <f t="shared" si="24"/>
        <v>15164.587028410093</v>
      </c>
      <c r="X199" s="94">
        <f t="shared" si="25"/>
        <v>9098.7522170460561</v>
      </c>
      <c r="Y199" s="1400" t="str">
        <f>+IF(X199="","",IF(X199&gt;=[13]PARÁMETROS!$D$5,"CUMPLE","NO CUMPLE"))</f>
        <v>CUMPLE</v>
      </c>
      <c r="Z199" s="96"/>
    </row>
    <row r="200" spans="1:26" ht="63.75" thickBot="1">
      <c r="A200" s="1612"/>
      <c r="B200" s="1510"/>
      <c r="C200" s="19" t="s">
        <v>2041</v>
      </c>
      <c r="D200" s="170">
        <v>277</v>
      </c>
      <c r="E200" s="101" t="str">
        <f>+IFERROR(INDEX([4]CONSOLIDADO!$D$4:$D$108,MATCH('Concur - Exp. Especifica'!C200,[4]CONSOLIDADO!$C$4:$C$108,0)),"")</f>
        <v>TECNOLOGIAS Y CONSULTORIAS AMBIENTALES Y GESTION S.A.</v>
      </c>
      <c r="F200" s="22" t="s">
        <v>2043</v>
      </c>
      <c r="G200" s="23" t="s">
        <v>2044</v>
      </c>
      <c r="H200" s="1388" t="s">
        <v>22</v>
      </c>
      <c r="I200" s="1388" t="s">
        <v>129</v>
      </c>
      <c r="J200" s="1388" t="s">
        <v>22</v>
      </c>
      <c r="K200" s="1388" t="s">
        <v>129</v>
      </c>
      <c r="L200" s="24">
        <v>0.7</v>
      </c>
      <c r="M200" s="25">
        <v>41404</v>
      </c>
      <c r="N200" s="25">
        <v>42137</v>
      </c>
      <c r="O200" s="26">
        <f t="shared" si="22"/>
        <v>2015</v>
      </c>
      <c r="P200" s="27">
        <f>+IFERROR(INDEX([4]PARÁMETROS!$B$11:$B$37,MATCH(O200,[4]PARÁMETROS!$A$11:$A$37,0)),"")</f>
        <v>644350</v>
      </c>
      <c r="Q200" s="28">
        <v>5284171200</v>
      </c>
      <c r="R200" s="29" t="s">
        <v>151</v>
      </c>
      <c r="S200" s="19" t="s">
        <v>140</v>
      </c>
      <c r="T200" s="30" t="s">
        <v>140</v>
      </c>
      <c r="U200" s="31">
        <v>1</v>
      </c>
      <c r="V200" s="27">
        <f t="shared" si="23"/>
        <v>5284171200</v>
      </c>
      <c r="W200" s="16">
        <f t="shared" si="24"/>
        <v>8200.7778381314511</v>
      </c>
      <c r="X200" s="16">
        <f t="shared" si="25"/>
        <v>5740.5444866920152</v>
      </c>
      <c r="Y200" s="1388" t="str">
        <f>+IF(X200="","",IF(X200&gt;=[13]PARÁMETROS!$D$5,"CUMPLE","NO CUMPLE"))</f>
        <v>CUMPLE</v>
      </c>
      <c r="Z200" s="97"/>
    </row>
    <row r="201" spans="1:26" ht="63.75" thickBot="1">
      <c r="A201" s="1612"/>
      <c r="B201" s="1510"/>
      <c r="C201" s="19" t="s">
        <v>2045</v>
      </c>
      <c r="D201" s="170">
        <v>279</v>
      </c>
      <c r="E201" s="101" t="str">
        <f>+IFERROR(INDEX([4]CONSOLIDADO!$D$4:$D$108,MATCH('Concur - Exp. Especifica'!C201,[4]CONSOLIDADO!$C$4:$C$108,0)),"")</f>
        <v>HORACIO FRANCISCO MENDOZA MARTINEZ</v>
      </c>
      <c r="F201" s="22" t="s">
        <v>281</v>
      </c>
      <c r="G201" s="23" t="s">
        <v>2046</v>
      </c>
      <c r="H201" s="1388" t="s">
        <v>22</v>
      </c>
      <c r="I201" s="1388" t="s">
        <v>22</v>
      </c>
      <c r="J201" s="1388" t="s">
        <v>22</v>
      </c>
      <c r="K201" s="1388" t="s">
        <v>129</v>
      </c>
      <c r="L201" s="24">
        <v>0.1</v>
      </c>
      <c r="M201" s="25">
        <v>37229</v>
      </c>
      <c r="N201" s="25">
        <v>40168</v>
      </c>
      <c r="O201" s="26">
        <f t="shared" si="22"/>
        <v>2009</v>
      </c>
      <c r="P201" s="27">
        <f>+IFERROR(INDEX([4]PARÁMETROS!$B$11:$B$37,MATCH(O201,[4]PARÁMETROS!$A$11:$A$37,0)),"")</f>
        <v>496900</v>
      </c>
      <c r="Q201" s="28">
        <f>23197769047.38+6341313646+1215568184.53</f>
        <v>30754650877.91</v>
      </c>
      <c r="R201" s="29" t="s">
        <v>151</v>
      </c>
      <c r="S201" s="19" t="s">
        <v>140</v>
      </c>
      <c r="T201" s="30" t="s">
        <v>140</v>
      </c>
      <c r="U201" s="31">
        <v>1</v>
      </c>
      <c r="V201" s="27">
        <f t="shared" si="23"/>
        <v>30754650877.91</v>
      </c>
      <c r="W201" s="16">
        <f t="shared" si="24"/>
        <v>61893.038595109683</v>
      </c>
      <c r="X201" s="16">
        <f t="shared" si="25"/>
        <v>6189.3038595109683</v>
      </c>
      <c r="Y201" s="1388" t="str">
        <f>+IF(X201="","",IF(X201&gt;=[13]PARÁMETROS!$D$5,"CUMPLE","NO CUMPLE"))</f>
        <v>CUMPLE</v>
      </c>
      <c r="Z201" s="97"/>
    </row>
    <row r="202" spans="1:26" ht="72" thickBot="1">
      <c r="A202" s="1613"/>
      <c r="B202" s="1511"/>
      <c r="C202" s="99" t="s">
        <v>2047</v>
      </c>
      <c r="D202" s="178">
        <v>286</v>
      </c>
      <c r="E202" s="101" t="str">
        <f>+IFERROR(INDEX([4]CONSOLIDADO!$D$4:$D$108,MATCH('Concur - Exp. Especifica'!C202,[4]CONSOLIDADO!$C$4:$C$108,0)),"")</f>
        <v>PROYECTOS TECNICOS DE COLOMBIA</v>
      </c>
      <c r="F202" s="324" t="s">
        <v>207</v>
      </c>
      <c r="G202" s="103" t="s">
        <v>2048</v>
      </c>
      <c r="H202" s="1392" t="s">
        <v>22</v>
      </c>
      <c r="I202" s="1392" t="s">
        <v>129</v>
      </c>
      <c r="J202" s="1392" t="s">
        <v>22</v>
      </c>
      <c r="K202" s="1392" t="s">
        <v>129</v>
      </c>
      <c r="L202" s="104">
        <v>0.5</v>
      </c>
      <c r="M202" s="105">
        <v>39862</v>
      </c>
      <c r="N202" s="105">
        <v>40878</v>
      </c>
      <c r="O202" s="106">
        <f t="shared" si="22"/>
        <v>2011</v>
      </c>
      <c r="P202" s="107">
        <f>+IFERROR(INDEX([4]PARÁMETROS!$B$11:$B$37,MATCH(O202,[4]PARÁMETROS!$A$11:$A$37,0)),"")</f>
        <v>535600</v>
      </c>
      <c r="Q202" s="108">
        <v>8675772032</v>
      </c>
      <c r="R202" s="109" t="s">
        <v>151</v>
      </c>
      <c r="S202" s="99" t="s">
        <v>140</v>
      </c>
      <c r="T202" s="110" t="s">
        <v>140</v>
      </c>
      <c r="U202" s="111">
        <v>1</v>
      </c>
      <c r="V202" s="107">
        <f t="shared" si="23"/>
        <v>8675772032</v>
      </c>
      <c r="W202" s="112">
        <f t="shared" si="24"/>
        <v>16198.23008215086</v>
      </c>
      <c r="X202" s="112">
        <f t="shared" si="25"/>
        <v>8099.1150410754299</v>
      </c>
      <c r="Y202" s="1392" t="str">
        <f>+IF(X202="","",IF(X202&gt;=[13]PARÁMETROS!$D$5,"CUMPLE","NO CUMPLE"))</f>
        <v>CUMPLE</v>
      </c>
      <c r="Z202" s="97"/>
    </row>
    <row r="203" spans="1:26" ht="42.75">
      <c r="A203" s="1614" t="s">
        <v>2049</v>
      </c>
      <c r="B203" s="1509" t="s">
        <v>2050</v>
      </c>
      <c r="C203" s="81" t="s">
        <v>136</v>
      </c>
      <c r="D203" s="82">
        <v>6</v>
      </c>
      <c r="E203" s="83" t="s">
        <v>2054</v>
      </c>
      <c r="F203" s="84" t="s">
        <v>2055</v>
      </c>
      <c r="G203" s="22" t="s">
        <v>2056</v>
      </c>
      <c r="H203" s="1393" t="s">
        <v>22</v>
      </c>
      <c r="I203" s="1393" t="s">
        <v>22</v>
      </c>
      <c r="J203" s="1393" t="s">
        <v>22</v>
      </c>
      <c r="K203" s="1393" t="s">
        <v>129</v>
      </c>
      <c r="L203" s="86">
        <v>1</v>
      </c>
      <c r="M203" s="87">
        <v>38279</v>
      </c>
      <c r="N203" s="87">
        <v>39813</v>
      </c>
      <c r="O203" s="88">
        <f>IF(N203="","",YEAR(N203))</f>
        <v>2008</v>
      </c>
      <c r="P203" s="89">
        <f>+IFERROR(INDEX([14]PARÁMETROS!$B$11:$B$37,MATCH(O203,[14]PARÁMETROS!$A$11:$A$37,0)),"")</f>
        <v>461500</v>
      </c>
      <c r="Q203" s="90">
        <v>3975262277</v>
      </c>
      <c r="R203" s="91" t="s">
        <v>151</v>
      </c>
      <c r="S203" s="81" t="s">
        <v>140</v>
      </c>
      <c r="T203" s="92" t="s">
        <v>140</v>
      </c>
      <c r="U203" s="93">
        <v>1</v>
      </c>
      <c r="V203" s="89">
        <f>IF(U203&lt;&gt;"",Q203*U203,"")</f>
        <v>3975262277</v>
      </c>
      <c r="W203" s="94">
        <f>+IFERROR(V203/P203,"")</f>
        <v>8613.7860823401952</v>
      </c>
      <c r="X203" s="94">
        <f>IFERROR(W203*L203,"")</f>
        <v>8613.7860823401952</v>
      </c>
      <c r="Y203" s="1400" t="str">
        <f>+IF(X203="","",IF(X203&gt;=[14]PARÁMETROS!$J$5,"CUMPLE","NO CUMPLE"))</f>
        <v>CUMPLE</v>
      </c>
      <c r="Z203" s="96"/>
    </row>
    <row r="204" spans="1:26" ht="57">
      <c r="A204" s="1615"/>
      <c r="B204" s="1510"/>
      <c r="C204" s="19" t="s">
        <v>136</v>
      </c>
      <c r="D204" s="20">
        <v>10</v>
      </c>
      <c r="E204" s="21" t="s">
        <v>2054</v>
      </c>
      <c r="F204" s="22" t="s">
        <v>2430</v>
      </c>
      <c r="G204" s="23" t="s">
        <v>2058</v>
      </c>
      <c r="H204" s="1388" t="s">
        <v>22</v>
      </c>
      <c r="I204" s="1388" t="s">
        <v>129</v>
      </c>
      <c r="J204" s="1388" t="s">
        <v>22</v>
      </c>
      <c r="K204" s="1388" t="s">
        <v>129</v>
      </c>
      <c r="L204" s="34">
        <v>1</v>
      </c>
      <c r="M204" s="25">
        <v>40498</v>
      </c>
      <c r="N204" s="25">
        <v>40973</v>
      </c>
      <c r="O204" s="26">
        <f t="shared" ref="O204:O222" si="26">IF(N204="","",YEAR(N204))</f>
        <v>2012</v>
      </c>
      <c r="P204" s="27">
        <f>+IFERROR(INDEX([14]PARÁMETROS!$B$11:$B$37,MATCH(O204,[14]PARÁMETROS!$A$11:$A$37,0)),"")</f>
        <v>566700</v>
      </c>
      <c r="Q204" s="35">
        <v>2159474666</v>
      </c>
      <c r="R204" s="27" t="s">
        <v>151</v>
      </c>
      <c r="S204" s="19" t="s">
        <v>140</v>
      </c>
      <c r="T204" s="30" t="s">
        <v>140</v>
      </c>
      <c r="U204" s="31">
        <v>1</v>
      </c>
      <c r="V204" s="27">
        <f t="shared" ref="V204:V222" si="27">IF(U204&lt;&gt;"",Q204*U204,"")</f>
        <v>2159474666</v>
      </c>
      <c r="W204" s="16">
        <f t="shared" ref="W204:W222" si="28">+IFERROR(V204/P204,"")</f>
        <v>3810.6134921475209</v>
      </c>
      <c r="X204" s="16">
        <f t="shared" ref="X204:X222" si="29">IFERROR(W204*L204,"")</f>
        <v>3810.6134921475209</v>
      </c>
      <c r="Y204" s="1388" t="str">
        <f>+IF(X204="","",IF(X204&gt;=[14]PARÁMETROS!$J$5,"CUMPLE","NO CUMPLE"))</f>
        <v>CUMPLE</v>
      </c>
      <c r="Z204" s="97"/>
    </row>
    <row r="205" spans="1:26" ht="71.25">
      <c r="A205" s="1615"/>
      <c r="B205" s="1510"/>
      <c r="C205" s="19" t="s">
        <v>136</v>
      </c>
      <c r="D205" s="20">
        <v>27</v>
      </c>
      <c r="E205" s="21" t="s">
        <v>2054</v>
      </c>
      <c r="F205" s="22" t="s">
        <v>2059</v>
      </c>
      <c r="G205" s="23" t="s">
        <v>2061</v>
      </c>
      <c r="H205" s="1388" t="s">
        <v>22</v>
      </c>
      <c r="I205" s="1388" t="s">
        <v>129</v>
      </c>
      <c r="J205" s="1388" t="s">
        <v>22</v>
      </c>
      <c r="K205" s="1388" t="s">
        <v>129</v>
      </c>
      <c r="L205" s="24">
        <v>0.5</v>
      </c>
      <c r="M205" s="25">
        <v>40137</v>
      </c>
      <c r="N205" s="25">
        <v>41232</v>
      </c>
      <c r="O205" s="26">
        <f t="shared" si="26"/>
        <v>2012</v>
      </c>
      <c r="P205" s="27">
        <f>+IFERROR(INDEX([14]PARÁMETROS!$B$11:$B$37,MATCH(O205,[14]PARÁMETROS!$A$11:$A$37,0)),"")</f>
        <v>566700</v>
      </c>
      <c r="Q205" s="28">
        <v>4761160509</v>
      </c>
      <c r="R205" s="29" t="s">
        <v>151</v>
      </c>
      <c r="S205" s="19" t="s">
        <v>140</v>
      </c>
      <c r="T205" s="30" t="s">
        <v>140</v>
      </c>
      <c r="U205" s="31">
        <v>1</v>
      </c>
      <c r="V205" s="27">
        <f t="shared" si="27"/>
        <v>4761160509</v>
      </c>
      <c r="W205" s="16">
        <f t="shared" si="28"/>
        <v>8401.5537480148232</v>
      </c>
      <c r="X205" s="16">
        <f t="shared" si="29"/>
        <v>4200.7768740074116</v>
      </c>
      <c r="Y205" s="1388" t="str">
        <f>+IF(X205="","",IF(X205&gt;=[14]PARÁMETROS!$J$5,"CUMPLE","NO CUMPLE"))</f>
        <v>CUMPLE</v>
      </c>
      <c r="Z205" s="98"/>
    </row>
    <row r="206" spans="1:26" ht="29.25" thickBot="1">
      <c r="A206" s="1615"/>
      <c r="B206" s="1511"/>
      <c r="C206" s="99" t="s">
        <v>153</v>
      </c>
      <c r="D206" s="123">
        <v>59</v>
      </c>
      <c r="E206" s="493" t="s">
        <v>2051</v>
      </c>
      <c r="F206" s="102" t="s">
        <v>2431</v>
      </c>
      <c r="G206" s="325" t="s">
        <v>2432</v>
      </c>
      <c r="H206" s="1392" t="s">
        <v>22</v>
      </c>
      <c r="I206" s="1392" t="s">
        <v>129</v>
      </c>
      <c r="J206" s="1392" t="s">
        <v>22</v>
      </c>
      <c r="K206" s="1392" t="s">
        <v>129</v>
      </c>
      <c r="L206" s="494">
        <v>0.45</v>
      </c>
      <c r="M206" s="327">
        <v>39125</v>
      </c>
      <c r="N206" s="327">
        <v>42012</v>
      </c>
      <c r="O206" s="1391">
        <f t="shared" si="26"/>
        <v>2015</v>
      </c>
      <c r="P206" s="328">
        <f>+IFERROR(INDEX([14]PARÁMETROS!$B$11:$B$37,MATCH(O206,[14]PARÁMETROS!$A$11:$A$37,0)),"")</f>
        <v>644350</v>
      </c>
      <c r="Q206" s="329">
        <v>15319357761</v>
      </c>
      <c r="R206" s="330" t="s">
        <v>151</v>
      </c>
      <c r="S206" s="331" t="s">
        <v>140</v>
      </c>
      <c r="T206" s="332" t="s">
        <v>140</v>
      </c>
      <c r="U206" s="333">
        <v>1</v>
      </c>
      <c r="V206" s="107">
        <f t="shared" si="27"/>
        <v>15319357761</v>
      </c>
      <c r="W206" s="112">
        <f t="shared" si="28"/>
        <v>23774.901468146192</v>
      </c>
      <c r="X206" s="112">
        <f t="shared" si="29"/>
        <v>10698.705660665786</v>
      </c>
      <c r="Y206" s="1388" t="str">
        <f>+IF(X206="","",IF(X206&gt;=[14]PARÁMETROS!$J$5,"CUMPLE","NO CUMPLE"))</f>
        <v>CUMPLE</v>
      </c>
      <c r="Z206" s="124"/>
    </row>
    <row r="207" spans="1:26" ht="140.25">
      <c r="A207" s="1615"/>
      <c r="B207" s="1605" t="s">
        <v>2062</v>
      </c>
      <c r="C207" s="68" t="s">
        <v>159</v>
      </c>
      <c r="D207" s="69">
        <v>6</v>
      </c>
      <c r="E207" s="70" t="s">
        <v>2063</v>
      </c>
      <c r="F207" s="495" t="s">
        <v>517</v>
      </c>
      <c r="G207" s="496" t="s">
        <v>2064</v>
      </c>
      <c r="H207" s="1394" t="s">
        <v>22</v>
      </c>
      <c r="I207" s="1394" t="s">
        <v>22</v>
      </c>
      <c r="J207" s="1394" t="s">
        <v>22</v>
      </c>
      <c r="K207" s="1394" t="s">
        <v>129</v>
      </c>
      <c r="L207" s="73">
        <v>0.35</v>
      </c>
      <c r="M207" s="74">
        <v>41075</v>
      </c>
      <c r="N207" s="74">
        <v>42368</v>
      </c>
      <c r="O207" s="116">
        <f t="shared" si="26"/>
        <v>2015</v>
      </c>
      <c r="P207" s="75">
        <f>+IFERROR(INDEX([14]PARÁMETROS!$B$11:$B$37,MATCH(O207,[14]PARÁMETROS!$A$11:$A$37,0)),"")</f>
        <v>644350</v>
      </c>
      <c r="Q207" s="76">
        <v>7418064916</v>
      </c>
      <c r="R207" s="77" t="s">
        <v>151</v>
      </c>
      <c r="S207" s="497" t="s">
        <v>140</v>
      </c>
      <c r="T207" s="456" t="s">
        <v>140</v>
      </c>
      <c r="U207" s="498">
        <v>1</v>
      </c>
      <c r="V207" s="75">
        <f t="shared" si="27"/>
        <v>7418064916</v>
      </c>
      <c r="W207" s="80">
        <f t="shared" si="28"/>
        <v>11512.477560332118</v>
      </c>
      <c r="X207" s="80">
        <f t="shared" si="29"/>
        <v>4029.3671461162407</v>
      </c>
      <c r="Y207" s="1388" t="str">
        <f>+IF(X207="","",IF(X207&gt;=[14]PARÁMETROS!$J$5,"CUMPLE","NO CUMPLE"))</f>
        <v>CUMPLE</v>
      </c>
      <c r="Z207" s="122"/>
    </row>
    <row r="208" spans="1:26" ht="63">
      <c r="A208" s="1615"/>
      <c r="B208" s="1510"/>
      <c r="C208" s="19" t="s">
        <v>159</v>
      </c>
      <c r="D208" s="36">
        <v>55</v>
      </c>
      <c r="E208" s="21" t="s">
        <v>2063</v>
      </c>
      <c r="F208" s="447" t="s">
        <v>214</v>
      </c>
      <c r="G208" s="448" t="s">
        <v>1075</v>
      </c>
      <c r="H208" s="1388" t="s">
        <v>22</v>
      </c>
      <c r="I208" s="1388" t="s">
        <v>129</v>
      </c>
      <c r="J208" s="1388" t="s">
        <v>22</v>
      </c>
      <c r="K208" s="1388" t="s">
        <v>129</v>
      </c>
      <c r="L208" s="24">
        <v>1</v>
      </c>
      <c r="M208" s="451">
        <v>40391</v>
      </c>
      <c r="N208" s="451">
        <v>40209</v>
      </c>
      <c r="O208" s="26">
        <f t="shared" si="26"/>
        <v>2010</v>
      </c>
      <c r="P208" s="27">
        <f>+IFERROR(INDEX([14]PARÁMETROS!$B$11:$B$37,MATCH(O208,[14]PARÁMETROS!$A$11:$A$37,0)),"")</f>
        <v>515000</v>
      </c>
      <c r="Q208" s="454">
        <v>1403754.99</v>
      </c>
      <c r="R208" s="455" t="s">
        <v>142</v>
      </c>
      <c r="S208" s="445">
        <v>1.38575</v>
      </c>
      <c r="T208" s="456">
        <v>1945253.4773925</v>
      </c>
      <c r="U208" s="457">
        <v>1982.29</v>
      </c>
      <c r="V208" s="27">
        <f>IF(U208&lt;&gt;"",T208*U208,"")</f>
        <v>3856056515.7003789</v>
      </c>
      <c r="W208" s="16">
        <f t="shared" si="28"/>
        <v>7487.4883800007356</v>
      </c>
      <c r="X208" s="16">
        <f t="shared" si="29"/>
        <v>7487.4883800007356</v>
      </c>
      <c r="Y208" s="1388" t="str">
        <f>+IF(X208="","",IF(X208&gt;=[14]PARÁMETROS!$J$5,"CUMPLE","NO CUMPLE"))</f>
        <v>CUMPLE</v>
      </c>
      <c r="Z208" s="97"/>
    </row>
    <row r="209" spans="1:26" ht="63">
      <c r="A209" s="1615"/>
      <c r="B209" s="1510"/>
      <c r="C209" s="19" t="s">
        <v>159</v>
      </c>
      <c r="D209" s="36">
        <v>59</v>
      </c>
      <c r="E209" s="21" t="s">
        <v>2063</v>
      </c>
      <c r="F209" s="447" t="s">
        <v>214</v>
      </c>
      <c r="G209" s="448" t="s">
        <v>1076</v>
      </c>
      <c r="H209" s="1388" t="s">
        <v>22</v>
      </c>
      <c r="I209" s="1388" t="s">
        <v>129</v>
      </c>
      <c r="J209" s="1388" t="s">
        <v>22</v>
      </c>
      <c r="K209" s="1388" t="s">
        <v>129</v>
      </c>
      <c r="L209" s="450">
        <v>1</v>
      </c>
      <c r="M209" s="451">
        <v>39385</v>
      </c>
      <c r="N209" s="451">
        <v>41182</v>
      </c>
      <c r="O209" s="26">
        <f t="shared" si="26"/>
        <v>2012</v>
      </c>
      <c r="P209" s="27">
        <f>+IFERROR(INDEX([14]PARÁMETROS!$B$11:$B$37,MATCH(O209,[14]PARÁMETROS!$A$11:$A$37,0)),"")</f>
        <v>566700</v>
      </c>
      <c r="Q209" s="463">
        <v>1943712.48</v>
      </c>
      <c r="R209" s="455" t="s">
        <v>142</v>
      </c>
      <c r="S209" s="445">
        <v>1.2855399999999999</v>
      </c>
      <c r="T209" s="456">
        <f>+Q209*S209</f>
        <v>2498720.1415391997</v>
      </c>
      <c r="U209" s="457">
        <v>1800.52</v>
      </c>
      <c r="V209" s="27">
        <f>IF(U209&lt;&gt;"",T209*U209,"")</f>
        <v>4498995589.2441597</v>
      </c>
      <c r="W209" s="16">
        <f t="shared" si="28"/>
        <v>7938.9369847258858</v>
      </c>
      <c r="X209" s="16">
        <f t="shared" si="29"/>
        <v>7938.9369847258858</v>
      </c>
      <c r="Y209" s="1388" t="str">
        <f>+IF(X209="","",IF(X209&gt;=[14]PARÁMETROS!$J$5,"CUMPLE","NO CUMPLE"))</f>
        <v>CUMPLE</v>
      </c>
      <c r="Z209" s="97"/>
    </row>
    <row r="210" spans="1:26" ht="57.75" thickBot="1">
      <c r="A210" s="1615"/>
      <c r="B210" s="1510"/>
      <c r="C210" s="19" t="s">
        <v>166</v>
      </c>
      <c r="D210" s="36">
        <v>65</v>
      </c>
      <c r="E210" s="21" t="s">
        <v>2065</v>
      </c>
      <c r="F210" s="32" t="s">
        <v>155</v>
      </c>
      <c r="G210" s="23" t="s">
        <v>2066</v>
      </c>
      <c r="H210" s="1388" t="s">
        <v>22</v>
      </c>
      <c r="I210" s="1388" t="s">
        <v>129</v>
      </c>
      <c r="J210" s="1388" t="s">
        <v>22</v>
      </c>
      <c r="K210" s="1388" t="s">
        <v>129</v>
      </c>
      <c r="L210" s="156">
        <v>0.75</v>
      </c>
      <c r="M210" s="157">
        <v>38327</v>
      </c>
      <c r="N210" s="157">
        <v>40668</v>
      </c>
      <c r="O210" s="26">
        <f t="shared" si="26"/>
        <v>2011</v>
      </c>
      <c r="P210" s="27">
        <f>+IFERROR(INDEX([14]PARÁMETROS!$B$11:$B$37,MATCH(O210,[14]PARÁMETROS!$A$11:$A$37,0)),"")</f>
        <v>535600</v>
      </c>
      <c r="Q210" s="160">
        <v>6564670351</v>
      </c>
      <c r="R210" s="161" t="s">
        <v>151</v>
      </c>
      <c r="S210" s="151" t="s">
        <v>140</v>
      </c>
      <c r="T210" s="162" t="s">
        <v>140</v>
      </c>
      <c r="U210" s="163">
        <v>1</v>
      </c>
      <c r="V210" s="27">
        <f t="shared" si="27"/>
        <v>6564670351</v>
      </c>
      <c r="W210" s="16">
        <f t="shared" si="28"/>
        <v>12256.66607729649</v>
      </c>
      <c r="X210" s="16">
        <f t="shared" si="29"/>
        <v>9192.4995579723673</v>
      </c>
      <c r="Y210" s="1388" t="str">
        <f>+IF(X210="","",IF(X210&gt;=[14]PARÁMETROS!$J$5,"CUMPLE","NO CUMPLE"))</f>
        <v>CUMPLE</v>
      </c>
      <c r="Z210" s="499"/>
    </row>
    <row r="211" spans="1:26" ht="78.75">
      <c r="A211" s="1615"/>
      <c r="B211" s="1509" t="s">
        <v>2067</v>
      </c>
      <c r="C211" s="81" t="s">
        <v>2068</v>
      </c>
      <c r="D211" s="114">
        <v>286</v>
      </c>
      <c r="E211" s="83" t="s">
        <v>2069</v>
      </c>
      <c r="F211" s="95" t="s">
        <v>2433</v>
      </c>
      <c r="G211" s="85" t="s">
        <v>2071</v>
      </c>
      <c r="H211" s="1393" t="s">
        <v>22</v>
      </c>
      <c r="I211" s="1393" t="s">
        <v>129</v>
      </c>
      <c r="J211" s="1393" t="s">
        <v>22</v>
      </c>
      <c r="K211" s="1393" t="s">
        <v>129</v>
      </c>
      <c r="L211" s="86">
        <v>1</v>
      </c>
      <c r="M211" s="87">
        <v>37573</v>
      </c>
      <c r="N211" s="87">
        <v>39407</v>
      </c>
      <c r="O211" s="88">
        <f t="shared" si="26"/>
        <v>2007</v>
      </c>
      <c r="P211" s="89">
        <f>+IFERROR(INDEX([14]PARÁMETROS!$B$11:$B$37,MATCH(O211,[14]PARÁMETROS!$A$11:$A$37,0)),"")</f>
        <v>433700</v>
      </c>
      <c r="Q211" s="467">
        <v>938246.05</v>
      </c>
      <c r="R211" s="242" t="s">
        <v>142</v>
      </c>
      <c r="S211" s="233">
        <v>1.4722900000000001</v>
      </c>
      <c r="T211" s="500">
        <f>+Q211*S211</f>
        <v>1381370.2769545002</v>
      </c>
      <c r="U211" s="500">
        <v>2056.2800000000002</v>
      </c>
      <c r="V211" s="89">
        <f t="shared" si="27"/>
        <v>1929296587.6940002</v>
      </c>
      <c r="W211" s="94">
        <f t="shared" si="28"/>
        <v>4448.4588141434178</v>
      </c>
      <c r="X211" s="94">
        <f t="shared" si="29"/>
        <v>4448.4588141434178</v>
      </c>
      <c r="Y211" s="1388" t="str">
        <f>+IF(X211="","",IF(X211&gt;=[14]PARÁMETROS!$J$5,"CUMPLE","NO CUMPLE"))</f>
        <v>CUMPLE</v>
      </c>
      <c r="Z211" s="96"/>
    </row>
    <row r="212" spans="1:26" ht="78.75">
      <c r="A212" s="1615"/>
      <c r="B212" s="1510"/>
      <c r="C212" s="19" t="s">
        <v>2068</v>
      </c>
      <c r="D212" s="36">
        <v>293</v>
      </c>
      <c r="E212" s="21" t="s">
        <v>2069</v>
      </c>
      <c r="F212" s="32" t="s">
        <v>2433</v>
      </c>
      <c r="G212" s="23" t="s">
        <v>2072</v>
      </c>
      <c r="H212" s="1388" t="s">
        <v>22</v>
      </c>
      <c r="I212" s="1388" t="s">
        <v>129</v>
      </c>
      <c r="J212" s="1388" t="s">
        <v>22</v>
      </c>
      <c r="K212" s="1388" t="s">
        <v>129</v>
      </c>
      <c r="L212" s="34">
        <v>1</v>
      </c>
      <c r="M212" s="25">
        <v>38260</v>
      </c>
      <c r="N212" s="25">
        <v>39043</v>
      </c>
      <c r="O212" s="26">
        <f t="shared" si="26"/>
        <v>2006</v>
      </c>
      <c r="P212" s="27">
        <f>+IFERROR(INDEX([14]PARÁMETROS!$B$11:$B$37,MATCH(O212,[14]PARÁMETROS!$A$11:$A$37,0)),"")</f>
        <v>408000</v>
      </c>
      <c r="Q212" s="35">
        <v>1703434.48</v>
      </c>
      <c r="R212" s="27" t="s">
        <v>142</v>
      </c>
      <c r="S212" s="19">
        <v>1.28182</v>
      </c>
      <c r="T212" s="456">
        <f>+Q212*S212</f>
        <v>2183496.3851536</v>
      </c>
      <c r="U212" s="31">
        <v>2282.67</v>
      </c>
      <c r="V212" s="27">
        <f t="shared" si="27"/>
        <v>3888378784.4616003</v>
      </c>
      <c r="W212" s="16">
        <f t="shared" si="28"/>
        <v>9530.3401579941183</v>
      </c>
      <c r="X212" s="16">
        <f t="shared" si="29"/>
        <v>9530.3401579941183</v>
      </c>
      <c r="Y212" s="1388" t="str">
        <f>+IF(X212="","",IF(X212&gt;=[14]PARÁMETROS!$J$5,"CUMPLE","NO CUMPLE"))</f>
        <v>CUMPLE</v>
      </c>
      <c r="Z212" s="97"/>
    </row>
    <row r="213" spans="1:26" ht="42.75">
      <c r="A213" s="1615"/>
      <c r="B213" s="1510"/>
      <c r="C213" s="19" t="s">
        <v>180</v>
      </c>
      <c r="D213" s="36">
        <v>296</v>
      </c>
      <c r="E213" s="21" t="s">
        <v>2073</v>
      </c>
      <c r="F213" s="32" t="s">
        <v>214</v>
      </c>
      <c r="G213" s="23" t="s">
        <v>2434</v>
      </c>
      <c r="H213" s="1388" t="s">
        <v>22</v>
      </c>
      <c r="I213" s="1388" t="s">
        <v>129</v>
      </c>
      <c r="J213" s="1388" t="s">
        <v>22</v>
      </c>
      <c r="K213" s="1388" t="s">
        <v>129</v>
      </c>
      <c r="L213" s="24">
        <v>1</v>
      </c>
      <c r="M213" s="25">
        <v>38056</v>
      </c>
      <c r="N213" s="25">
        <v>39436</v>
      </c>
      <c r="O213" s="26">
        <f t="shared" si="26"/>
        <v>2007</v>
      </c>
      <c r="P213" s="27">
        <f>+IFERROR(INDEX([14]PARÁMETROS!$B$11:$B$37,MATCH(O213,[14]PARÁMETROS!$A$11:$A$37,0)),"")</f>
        <v>433700</v>
      </c>
      <c r="Q213" s="28">
        <v>947072.72</v>
      </c>
      <c r="R213" s="29" t="s">
        <v>142</v>
      </c>
      <c r="S213" s="19">
        <v>1.4396800000000001</v>
      </c>
      <c r="T213" s="30">
        <f>+Q213*S213</f>
        <v>1363481.6535296</v>
      </c>
      <c r="U213" s="31">
        <v>2005.92</v>
      </c>
      <c r="V213" s="27">
        <f t="shared" si="27"/>
        <v>1899752110.5023999</v>
      </c>
      <c r="W213" s="16">
        <f t="shared" si="28"/>
        <v>4380.3368930191373</v>
      </c>
      <c r="X213" s="16">
        <f t="shared" si="29"/>
        <v>4380.3368930191373</v>
      </c>
      <c r="Y213" s="1388" t="str">
        <f>+IF(X213="","",IF(X213&gt;=[14]PARÁMETROS!$J$5,"CUMPLE","NO CUMPLE"))</f>
        <v>CUMPLE</v>
      </c>
      <c r="Z213" s="97"/>
    </row>
    <row r="214" spans="1:26" ht="90" thickBot="1">
      <c r="A214" s="1615"/>
      <c r="B214" s="1553"/>
      <c r="C214" s="151" t="s">
        <v>171</v>
      </c>
      <c r="D214" s="501">
        <v>300</v>
      </c>
      <c r="E214" s="153" t="s">
        <v>2075</v>
      </c>
      <c r="F214" s="430" t="s">
        <v>517</v>
      </c>
      <c r="G214" s="502" t="s">
        <v>367</v>
      </c>
      <c r="H214" s="1419" t="s">
        <v>129</v>
      </c>
      <c r="I214" s="1419" t="s">
        <v>22</v>
      </c>
      <c r="J214" s="1419" t="s">
        <v>22</v>
      </c>
      <c r="K214" s="1419" t="s">
        <v>129</v>
      </c>
      <c r="L214" s="503">
        <v>0.51</v>
      </c>
      <c r="M214" s="157">
        <v>41878</v>
      </c>
      <c r="N214" s="157">
        <v>42312</v>
      </c>
      <c r="O214" s="158">
        <f t="shared" si="26"/>
        <v>2015</v>
      </c>
      <c r="P214" s="159">
        <f>+IFERROR(INDEX([14]PARÁMETROS!$B$11:$B$37,MATCH(O214,[14]PARÁMETROS!$A$11:$A$37,0)),"")</f>
        <v>644350</v>
      </c>
      <c r="Q214" s="504">
        <v>4983941778</v>
      </c>
      <c r="R214" s="505" t="s">
        <v>151</v>
      </c>
      <c r="S214" s="506" t="s">
        <v>140</v>
      </c>
      <c r="T214" s="507" t="s">
        <v>140</v>
      </c>
      <c r="U214" s="508">
        <v>1</v>
      </c>
      <c r="V214" s="159">
        <f t="shared" si="27"/>
        <v>4983941778</v>
      </c>
      <c r="W214" s="164">
        <f t="shared" si="28"/>
        <v>7734.8363125630476</v>
      </c>
      <c r="X214" s="164">
        <f t="shared" si="29"/>
        <v>3944.7665194071542</v>
      </c>
      <c r="Y214" s="1419" t="str">
        <f>+IF(X214="","",IF(X214&gt;=[14]PARÁMETROS!$J$5,"CUMPLE","NO CUMPLE"))</f>
        <v>CUMPLE</v>
      </c>
      <c r="Z214" s="195"/>
    </row>
    <row r="215" spans="1:26" ht="47.25">
      <c r="A215" s="1615"/>
      <c r="B215" s="1509" t="s">
        <v>2076</v>
      </c>
      <c r="C215" s="81" t="s">
        <v>190</v>
      </c>
      <c r="D215" s="114">
        <v>6</v>
      </c>
      <c r="E215" s="83" t="s">
        <v>2077</v>
      </c>
      <c r="F215" s="479" t="s">
        <v>930</v>
      </c>
      <c r="G215" s="480" t="s">
        <v>1687</v>
      </c>
      <c r="H215" s="1393" t="s">
        <v>22</v>
      </c>
      <c r="I215" s="1393" t="s">
        <v>129</v>
      </c>
      <c r="J215" s="1393" t="s">
        <v>22</v>
      </c>
      <c r="K215" s="1393" t="s">
        <v>129</v>
      </c>
      <c r="L215" s="86">
        <v>0.9</v>
      </c>
      <c r="M215" s="87">
        <v>35730</v>
      </c>
      <c r="N215" s="87">
        <v>36459</v>
      </c>
      <c r="O215" s="88">
        <f t="shared" si="26"/>
        <v>1999</v>
      </c>
      <c r="P215" s="89">
        <f>+IFERROR(INDEX([14]PARÁMETROS!$B$11:$B$37,MATCH(O215,[14]PARÁMETROS!$A$11:$A$37,0)),"")</f>
        <v>236460</v>
      </c>
      <c r="Q215" s="90">
        <v>1343799332.5</v>
      </c>
      <c r="R215" s="91" t="s">
        <v>151</v>
      </c>
      <c r="S215" s="81" t="s">
        <v>140</v>
      </c>
      <c r="T215" s="92" t="s">
        <v>140</v>
      </c>
      <c r="U215" s="93">
        <v>1</v>
      </c>
      <c r="V215" s="89">
        <f t="shared" si="27"/>
        <v>1343799332.5</v>
      </c>
      <c r="W215" s="94">
        <f t="shared" si="28"/>
        <v>5682.9879577941301</v>
      </c>
      <c r="X215" s="94">
        <f t="shared" si="29"/>
        <v>5114.6891620147171</v>
      </c>
      <c r="Y215" s="1393" t="str">
        <f>+IF(X215="","",IF(X215&gt;=[14]PARÁMETROS!$J$5,"CUMPLE","NO CUMPLE"))</f>
        <v>CUMPLE</v>
      </c>
      <c r="Z215" s="469"/>
    </row>
    <row r="216" spans="1:26" ht="127.5">
      <c r="A216" s="1615"/>
      <c r="B216" s="1510"/>
      <c r="C216" s="19" t="s">
        <v>190</v>
      </c>
      <c r="D216" s="36">
        <v>22</v>
      </c>
      <c r="E216" s="21" t="s">
        <v>2077</v>
      </c>
      <c r="F216" s="481" t="s">
        <v>442</v>
      </c>
      <c r="G216" s="482" t="s">
        <v>2078</v>
      </c>
      <c r="H216" s="1388" t="s">
        <v>22</v>
      </c>
      <c r="I216" s="1388" t="s">
        <v>22</v>
      </c>
      <c r="J216" s="1388" t="s">
        <v>22</v>
      </c>
      <c r="K216" s="1388" t="s">
        <v>129</v>
      </c>
      <c r="L216" s="24">
        <v>0.5</v>
      </c>
      <c r="M216" s="25">
        <v>38772</v>
      </c>
      <c r="N216" s="25">
        <v>40656</v>
      </c>
      <c r="O216" s="26">
        <f t="shared" si="26"/>
        <v>2011</v>
      </c>
      <c r="P216" s="27">
        <f>+IFERROR(INDEX([14]PARÁMETROS!$B$11:$B$37,MATCH(O216,[14]PARÁMETROS!$A$11:$A$37,0)),"")</f>
        <v>535600</v>
      </c>
      <c r="Q216" s="28">
        <v>4960831409</v>
      </c>
      <c r="R216" s="29" t="s">
        <v>151</v>
      </c>
      <c r="S216" s="19" t="s">
        <v>140</v>
      </c>
      <c r="T216" s="30" t="s">
        <v>140</v>
      </c>
      <c r="U216" s="31">
        <v>1</v>
      </c>
      <c r="V216" s="27">
        <f t="shared" si="27"/>
        <v>4960831409</v>
      </c>
      <c r="W216" s="16">
        <f t="shared" si="28"/>
        <v>9262.1945649738609</v>
      </c>
      <c r="X216" s="16">
        <f t="shared" si="29"/>
        <v>4631.0972824869305</v>
      </c>
      <c r="Y216" s="1388" t="str">
        <f>+IF(X216="","",IF(X216&gt;=[14]PARÁMETROS!$J$5,"CUMPLE","NO CUMPLE"))</f>
        <v>CUMPLE</v>
      </c>
      <c r="Z216" s="97"/>
    </row>
    <row r="217" spans="1:26" ht="38.25">
      <c r="A217" s="1615"/>
      <c r="B217" s="1510"/>
      <c r="C217" s="19" t="s">
        <v>200</v>
      </c>
      <c r="D217" s="36">
        <v>27</v>
      </c>
      <c r="E217" s="21" t="s">
        <v>2080</v>
      </c>
      <c r="F217" s="483" t="s">
        <v>2015</v>
      </c>
      <c r="G217" s="482" t="s">
        <v>2081</v>
      </c>
      <c r="H217" s="1388" t="s">
        <v>22</v>
      </c>
      <c r="I217" s="1388" t="s">
        <v>129</v>
      </c>
      <c r="J217" s="1388" t="s">
        <v>22</v>
      </c>
      <c r="K217" s="1388" t="s">
        <v>129</v>
      </c>
      <c r="L217" s="484">
        <v>1</v>
      </c>
      <c r="M217" s="25">
        <v>37776</v>
      </c>
      <c r="N217" s="25">
        <v>38504</v>
      </c>
      <c r="O217" s="26">
        <f t="shared" si="26"/>
        <v>2005</v>
      </c>
      <c r="P217" s="27">
        <f>+IFERROR(INDEX([14]PARÁMETROS!$B$11:$B$37,MATCH(O217,[14]PARÁMETROS!$A$11:$A$37,0)),"")</f>
        <v>381500</v>
      </c>
      <c r="Q217" s="485">
        <v>824026.3</v>
      </c>
      <c r="R217" s="29" t="s">
        <v>142</v>
      </c>
      <c r="S217" s="19">
        <v>1.2303999999999999</v>
      </c>
      <c r="T217" s="30">
        <f>+Q217*S217</f>
        <v>1013881.95952</v>
      </c>
      <c r="U217" s="31">
        <v>2338.89</v>
      </c>
      <c r="V217" s="27">
        <f t="shared" si="27"/>
        <v>1927306872.8069999</v>
      </c>
      <c r="W217" s="16">
        <f t="shared" si="28"/>
        <v>5051.9184084062908</v>
      </c>
      <c r="X217" s="16">
        <f t="shared" si="29"/>
        <v>5051.9184084062908</v>
      </c>
      <c r="Y217" s="1388" t="str">
        <f>+IF(X217="","",IF(X217&gt;=[14]PARÁMETROS!$J$5,"CUMPLE","NO CUMPLE"))</f>
        <v>CUMPLE</v>
      </c>
      <c r="Z217" s="97"/>
    </row>
    <row r="218" spans="1:26" ht="51.75" thickBot="1">
      <c r="A218" s="1615"/>
      <c r="B218" s="1511"/>
      <c r="C218" s="99" t="s">
        <v>200</v>
      </c>
      <c r="D218" s="100">
        <v>31</v>
      </c>
      <c r="E218" s="101" t="s">
        <v>2080</v>
      </c>
      <c r="F218" s="486" t="s">
        <v>2435</v>
      </c>
      <c r="G218" s="487" t="s">
        <v>2083</v>
      </c>
      <c r="H218" s="1392" t="s">
        <v>22</v>
      </c>
      <c r="I218" s="1392" t="s">
        <v>129</v>
      </c>
      <c r="J218" s="1392" t="s">
        <v>22</v>
      </c>
      <c r="K218" s="1392" t="s">
        <v>129</v>
      </c>
      <c r="L218" s="104">
        <v>1</v>
      </c>
      <c r="M218" s="105">
        <v>36281</v>
      </c>
      <c r="N218" s="105">
        <v>37468</v>
      </c>
      <c r="O218" s="106">
        <f t="shared" si="26"/>
        <v>2002</v>
      </c>
      <c r="P218" s="107">
        <f>+IFERROR(INDEX([14]PARÁMETROS!$B$11:$B$37,MATCH(O218,[14]PARÁMETROS!$A$11:$A$37,0)),"")</f>
        <v>309000</v>
      </c>
      <c r="Q218" s="108">
        <v>1720437.64</v>
      </c>
      <c r="R218" s="109" t="s">
        <v>142</v>
      </c>
      <c r="S218" s="99">
        <v>0.98329999999999995</v>
      </c>
      <c r="T218" s="110">
        <f>+Q218*S218</f>
        <v>1691706.3314119999</v>
      </c>
      <c r="U218" s="111">
        <v>2625.06</v>
      </c>
      <c r="V218" s="107">
        <f t="shared" si="27"/>
        <v>4516252031.2584</v>
      </c>
      <c r="W218" s="112">
        <f t="shared" si="28"/>
        <v>14615.702366532039</v>
      </c>
      <c r="X218" s="112">
        <f t="shared" si="29"/>
        <v>14615.702366532039</v>
      </c>
      <c r="Y218" s="1392" t="str">
        <f>+IF(X218="","",IF(X218&gt;=[14]PARÁMETROS!$J$5,"CUMPLE","NO CUMPLE"))</f>
        <v>CUMPLE</v>
      </c>
      <c r="Z218" s="113"/>
    </row>
    <row r="219" spans="1:26" ht="63">
      <c r="A219" s="1615"/>
      <c r="B219" s="1605" t="s">
        <v>2084</v>
      </c>
      <c r="C219" s="68" t="s">
        <v>205</v>
      </c>
      <c r="D219" s="69">
        <v>7</v>
      </c>
      <c r="E219" s="70" t="s">
        <v>2085</v>
      </c>
      <c r="F219" s="340" t="s">
        <v>2086</v>
      </c>
      <c r="G219" s="72" t="s">
        <v>2087</v>
      </c>
      <c r="H219" s="1394" t="s">
        <v>22</v>
      </c>
      <c r="I219" s="1394" t="s">
        <v>129</v>
      </c>
      <c r="J219" s="1394" t="s">
        <v>22</v>
      </c>
      <c r="K219" s="1394" t="s">
        <v>129</v>
      </c>
      <c r="L219" s="73">
        <v>0.45</v>
      </c>
      <c r="M219" s="74">
        <v>34338</v>
      </c>
      <c r="N219" s="74">
        <v>36305</v>
      </c>
      <c r="O219" s="116">
        <f t="shared" si="26"/>
        <v>1999</v>
      </c>
      <c r="P219" s="75">
        <f>+IFERROR(INDEX([14]PARÁMETROS!$B$11:$B$37,MATCH(O219,[14]PARÁMETROS!$A$11:$A$37,0)),"")</f>
        <v>236460</v>
      </c>
      <c r="Q219" s="76">
        <v>4491569047</v>
      </c>
      <c r="R219" s="77" t="s">
        <v>151</v>
      </c>
      <c r="S219" s="68" t="s">
        <v>140</v>
      </c>
      <c r="T219" s="78" t="s">
        <v>140</v>
      </c>
      <c r="U219" s="79">
        <v>1</v>
      </c>
      <c r="V219" s="75">
        <f t="shared" si="27"/>
        <v>4491569047</v>
      </c>
      <c r="W219" s="80">
        <f t="shared" si="28"/>
        <v>18995.04798697454</v>
      </c>
      <c r="X219" s="80">
        <f t="shared" si="29"/>
        <v>8547.7715941385432</v>
      </c>
      <c r="Y219" s="1394" t="str">
        <f>+IF(X219="","",IF(X219&gt;=[14]PARÁMETROS!$J$5,"CUMPLE","NO CUMPLE"))</f>
        <v>CUMPLE</v>
      </c>
      <c r="Z219" s="122"/>
    </row>
    <row r="220" spans="1:26" ht="63">
      <c r="A220" s="1615"/>
      <c r="B220" s="1510"/>
      <c r="C220" s="19" t="s">
        <v>205</v>
      </c>
      <c r="D220" s="36">
        <v>10</v>
      </c>
      <c r="E220" s="21" t="s">
        <v>2085</v>
      </c>
      <c r="F220" s="32" t="s">
        <v>2088</v>
      </c>
      <c r="G220" s="23" t="s">
        <v>2089</v>
      </c>
      <c r="H220" s="1388" t="s">
        <v>22</v>
      </c>
      <c r="I220" s="1388" t="s">
        <v>22</v>
      </c>
      <c r="J220" s="1388" t="s">
        <v>22</v>
      </c>
      <c r="K220" s="1388" t="s">
        <v>129</v>
      </c>
      <c r="L220" s="24">
        <v>1</v>
      </c>
      <c r="M220" s="25">
        <v>39142</v>
      </c>
      <c r="N220" s="25">
        <v>40920</v>
      </c>
      <c r="O220" s="26">
        <f t="shared" si="26"/>
        <v>2012</v>
      </c>
      <c r="P220" s="27">
        <f>+IFERROR(INDEX([14]PARÁMETROS!$B$11:$B$37,MATCH(O220,[14]PARÁMETROS!$A$11:$A$37,0)),"")</f>
        <v>566700</v>
      </c>
      <c r="Q220" s="28">
        <v>3161732843</v>
      </c>
      <c r="R220" s="29" t="s">
        <v>151</v>
      </c>
      <c r="S220" s="19" t="s">
        <v>140</v>
      </c>
      <c r="T220" s="30" t="s">
        <v>140</v>
      </c>
      <c r="U220" s="31">
        <v>1</v>
      </c>
      <c r="V220" s="27">
        <f t="shared" si="27"/>
        <v>3161732843</v>
      </c>
      <c r="W220" s="16">
        <f t="shared" si="28"/>
        <v>5579.2003582142224</v>
      </c>
      <c r="X220" s="16">
        <f t="shared" si="29"/>
        <v>5579.2003582142224</v>
      </c>
      <c r="Y220" s="1388" t="str">
        <f>+IF(X220="","",IF(X220&gt;=[14]PARÁMETROS!$J$5,"CUMPLE","NO CUMPLE"))</f>
        <v>CUMPLE</v>
      </c>
      <c r="Z220" s="97"/>
    </row>
    <row r="221" spans="1:26" ht="63">
      <c r="A221" s="1615"/>
      <c r="B221" s="1510"/>
      <c r="C221" s="19" t="s">
        <v>205</v>
      </c>
      <c r="D221" s="36">
        <v>23</v>
      </c>
      <c r="E221" s="21" t="s">
        <v>2085</v>
      </c>
      <c r="F221" s="490" t="s">
        <v>2090</v>
      </c>
      <c r="G221" s="491" t="s">
        <v>2091</v>
      </c>
      <c r="H221" s="1388" t="s">
        <v>22</v>
      </c>
      <c r="I221" s="1388" t="s">
        <v>129</v>
      </c>
      <c r="J221" s="1388" t="s">
        <v>22</v>
      </c>
      <c r="K221" s="1388" t="s">
        <v>129</v>
      </c>
      <c r="L221" s="38">
        <v>0.5</v>
      </c>
      <c r="M221" s="25">
        <v>39125</v>
      </c>
      <c r="N221" s="25">
        <v>42368</v>
      </c>
      <c r="O221" s="26">
        <f t="shared" si="26"/>
        <v>2015</v>
      </c>
      <c r="P221" s="27">
        <f>+IFERROR(INDEX([14]PARÁMETROS!$B$11:$B$37,MATCH(O221,[14]PARÁMETROS!$A$11:$A$37,0)),"")</f>
        <v>644350</v>
      </c>
      <c r="Q221" s="28">
        <v>22786421753.5</v>
      </c>
      <c r="R221" s="29" t="s">
        <v>151</v>
      </c>
      <c r="S221" s="19" t="s">
        <v>140</v>
      </c>
      <c r="T221" s="30" t="s">
        <v>140</v>
      </c>
      <c r="U221" s="31">
        <v>1</v>
      </c>
      <c r="V221" s="27">
        <f t="shared" si="27"/>
        <v>22786421753.5</v>
      </c>
      <c r="W221" s="16">
        <f t="shared" si="28"/>
        <v>35363.423222627454</v>
      </c>
      <c r="X221" s="16">
        <f t="shared" si="29"/>
        <v>17681.711611313727</v>
      </c>
      <c r="Y221" s="1388" t="str">
        <f>+IF(X221="","",IF(X221&gt;=[14]PARÁMETROS!$J$5,"CUMPLE","NO CUMPLE"))</f>
        <v>CUMPLE</v>
      </c>
      <c r="Z221" s="121"/>
    </row>
    <row r="222" spans="1:26" ht="72" thickBot="1">
      <c r="A222" s="1615"/>
      <c r="B222" s="1510"/>
      <c r="C222" s="19" t="s">
        <v>212</v>
      </c>
      <c r="D222" s="33">
        <v>68</v>
      </c>
      <c r="E222" s="21" t="s">
        <v>2093</v>
      </c>
      <c r="F222" s="32" t="s">
        <v>207</v>
      </c>
      <c r="G222" s="23" t="s">
        <v>2094</v>
      </c>
      <c r="H222" s="1388" t="s">
        <v>22</v>
      </c>
      <c r="I222" s="1388" t="s">
        <v>129</v>
      </c>
      <c r="J222" s="1388" t="s">
        <v>22</v>
      </c>
      <c r="K222" s="1388" t="s">
        <v>129</v>
      </c>
      <c r="L222" s="492">
        <v>0.65</v>
      </c>
      <c r="M222" s="40">
        <v>39615</v>
      </c>
      <c r="N222" s="41">
        <v>41152</v>
      </c>
      <c r="O222" s="26">
        <f t="shared" si="26"/>
        <v>2012</v>
      </c>
      <c r="P222" s="27">
        <f>+IFERROR(INDEX([14]PARÁMETROS!$B$11:$B$37,MATCH(O222,[14]PARÁMETROS!$A$11:$A$37,0)),"")</f>
        <v>566700</v>
      </c>
      <c r="Q222" s="29">
        <v>19146251489</v>
      </c>
      <c r="R222" s="29" t="s">
        <v>151</v>
      </c>
      <c r="S222" s="29" t="s">
        <v>140</v>
      </c>
      <c r="T222" s="29" t="s">
        <v>140</v>
      </c>
      <c r="U222" s="31">
        <v>1</v>
      </c>
      <c r="V222" s="27">
        <f t="shared" si="27"/>
        <v>19146251489</v>
      </c>
      <c r="W222" s="16">
        <f t="shared" si="28"/>
        <v>33785.515244397386</v>
      </c>
      <c r="X222" s="16">
        <f t="shared" si="29"/>
        <v>21960.584908858302</v>
      </c>
      <c r="Y222" s="1388" t="str">
        <f>+IF(X222="","",IF(X222&gt;=[14]PARÁMETROS!$J$5,"CUMPLE","NO CUMPLE"))</f>
        <v>CUMPLE</v>
      </c>
      <c r="Z222" s="97"/>
    </row>
    <row r="223" spans="1:26" ht="48">
      <c r="A223" s="1615"/>
      <c r="B223" s="1509" t="s">
        <v>2098</v>
      </c>
      <c r="C223" s="81" t="s">
        <v>234</v>
      </c>
      <c r="D223" s="82">
        <v>6</v>
      </c>
      <c r="E223" s="83" t="s">
        <v>2102</v>
      </c>
      <c r="F223" s="578" t="s">
        <v>517</v>
      </c>
      <c r="G223" s="579" t="s">
        <v>1053</v>
      </c>
      <c r="H223" s="1393" t="s">
        <v>22</v>
      </c>
      <c r="I223" s="1393" t="s">
        <v>22</v>
      </c>
      <c r="J223" s="1393" t="s">
        <v>22</v>
      </c>
      <c r="K223" s="1393" t="s">
        <v>129</v>
      </c>
      <c r="L223" s="580">
        <v>0.5</v>
      </c>
      <c r="M223" s="581">
        <v>39595</v>
      </c>
      <c r="N223" s="582">
        <v>42370</v>
      </c>
      <c r="O223" s="88">
        <f>IF(N223="","",YEAR(N223))</f>
        <v>2016</v>
      </c>
      <c r="P223" s="89">
        <f>+IFERROR(INDEX([15]PARÁMETROS!$B$11:$B$37,MATCH(O223,[15]PARÁMETROS!$A$11:$A$37,0)),"")</f>
        <v>689554</v>
      </c>
      <c r="Q223" s="90">
        <v>41325941530</v>
      </c>
      <c r="R223" s="91" t="s">
        <v>151</v>
      </c>
      <c r="S223" s="81" t="s">
        <v>140</v>
      </c>
      <c r="T223" s="92" t="s">
        <v>140</v>
      </c>
      <c r="U223" s="93">
        <v>1</v>
      </c>
      <c r="V223" s="89">
        <f>IF(U223&lt;&gt;"",Q223*U223,"")</f>
        <v>41325941530</v>
      </c>
      <c r="W223" s="94">
        <f>+IFERROR(V223/P223,"")</f>
        <v>59931.407155929774</v>
      </c>
      <c r="X223" s="94">
        <f>IFERROR(W223*L223,"")</f>
        <v>29965.703577964887</v>
      </c>
      <c r="Y223" s="1400" t="str">
        <f>+IF(X223="","",IF(X223&gt;=[15]PARÁMETROS!$J$5,"CUMPLE","NO CUMPLE"))</f>
        <v>CUMPLE</v>
      </c>
      <c r="Z223" s="96"/>
    </row>
    <row r="224" spans="1:26" ht="63">
      <c r="A224" s="1615"/>
      <c r="B224" s="1510"/>
      <c r="C224" s="19" t="s">
        <v>224</v>
      </c>
      <c r="D224" s="20">
        <v>16</v>
      </c>
      <c r="E224" s="21" t="s">
        <v>201</v>
      </c>
      <c r="F224" s="583" t="s">
        <v>202</v>
      </c>
      <c r="G224" s="584" t="s">
        <v>2104</v>
      </c>
      <c r="H224" s="1388" t="s">
        <v>22</v>
      </c>
      <c r="I224" s="1388" t="s">
        <v>129</v>
      </c>
      <c r="J224" s="1388" t="s">
        <v>22</v>
      </c>
      <c r="K224" s="1388" t="s">
        <v>129</v>
      </c>
      <c r="L224" s="524">
        <v>1</v>
      </c>
      <c r="M224" s="585">
        <v>40190</v>
      </c>
      <c r="N224" s="586">
        <v>41240</v>
      </c>
      <c r="O224" s="26">
        <f t="shared" ref="O224:O250" si="30">IF(N224="","",YEAR(N224))</f>
        <v>2012</v>
      </c>
      <c r="P224" s="27">
        <f>+IFERROR(INDEX([15]PARÁMETROS!$B$11:$B$37,MATCH(O224,[15]PARÁMETROS!$A$11:$A$37,0)),"")</f>
        <v>566700</v>
      </c>
      <c r="Q224" s="35">
        <v>3164576487</v>
      </c>
      <c r="R224" s="27" t="s">
        <v>151</v>
      </c>
      <c r="S224" s="19" t="s">
        <v>140</v>
      </c>
      <c r="T224" s="30" t="s">
        <v>140</v>
      </c>
      <c r="U224" s="31">
        <v>1</v>
      </c>
      <c r="V224" s="27">
        <f t="shared" ref="V224:V249" si="31">IF(U224&lt;&gt;"",Q224*U224,"")</f>
        <v>3164576487</v>
      </c>
      <c r="W224" s="16">
        <f t="shared" ref="W224:W250" si="32">+IFERROR(V224/P224,"")</f>
        <v>5584.2182583377453</v>
      </c>
      <c r="X224" s="16">
        <f t="shared" ref="X224:X250" si="33">IFERROR(W224*L224,"")</f>
        <v>5584.2182583377453</v>
      </c>
      <c r="Y224" s="1388" t="str">
        <f>+IF(X224="","",IF(X224&gt;=[15]PARÁMETROS!$J$5,"CUMPLE","NO CUMPLE"))</f>
        <v>CUMPLE</v>
      </c>
      <c r="Z224" s="97"/>
    </row>
    <row r="225" spans="1:26" ht="72">
      <c r="A225" s="1615"/>
      <c r="B225" s="1510"/>
      <c r="C225" s="19" t="s">
        <v>217</v>
      </c>
      <c r="D225" s="20">
        <v>20</v>
      </c>
      <c r="E225" s="21" t="s">
        <v>2099</v>
      </c>
      <c r="F225" s="587" t="s">
        <v>1047</v>
      </c>
      <c r="G225" s="588" t="s">
        <v>1048</v>
      </c>
      <c r="H225" s="1388" t="s">
        <v>22</v>
      </c>
      <c r="I225" s="1388" t="s">
        <v>129</v>
      </c>
      <c r="J225" s="1388" t="s">
        <v>22</v>
      </c>
      <c r="K225" s="1388" t="s">
        <v>129</v>
      </c>
      <c r="L225" s="524">
        <v>0.7</v>
      </c>
      <c r="M225" s="589">
        <v>40186</v>
      </c>
      <c r="N225" s="590">
        <v>40561</v>
      </c>
      <c r="O225" s="26">
        <f t="shared" si="30"/>
        <v>2011</v>
      </c>
      <c r="P225" s="27">
        <f>+IFERROR(INDEX([15]PARÁMETROS!$B$11:$B$37,MATCH(O225,[15]PARÁMETROS!$A$11:$A$37,0)),"")</f>
        <v>535600</v>
      </c>
      <c r="Q225" s="28">
        <v>3104182180</v>
      </c>
      <c r="R225" s="29" t="s">
        <v>151</v>
      </c>
      <c r="S225" s="19" t="s">
        <v>140</v>
      </c>
      <c r="T225" s="30" t="s">
        <v>140</v>
      </c>
      <c r="U225" s="31">
        <v>1</v>
      </c>
      <c r="V225" s="27">
        <f t="shared" si="31"/>
        <v>3104182180</v>
      </c>
      <c r="W225" s="16">
        <f t="shared" si="32"/>
        <v>5795.7098207617628</v>
      </c>
      <c r="X225" s="16">
        <f t="shared" si="33"/>
        <v>4056.9968745332335</v>
      </c>
      <c r="Y225" s="1388" t="str">
        <f>+IF(X225="","",IF(X225&gt;=[15]PARÁMETROS!$J$5,"CUMPLE","NO CUMPLE"))</f>
        <v>CUMPLE</v>
      </c>
      <c r="Z225" s="98"/>
    </row>
    <row r="226" spans="1:26" ht="72.75" thickBot="1">
      <c r="A226" s="1615"/>
      <c r="B226" s="1511"/>
      <c r="C226" s="99" t="s">
        <v>217</v>
      </c>
      <c r="D226" s="123">
        <v>25</v>
      </c>
      <c r="E226" s="101" t="s">
        <v>2099</v>
      </c>
      <c r="F226" s="591" t="s">
        <v>1047</v>
      </c>
      <c r="G226" s="592" t="s">
        <v>1048</v>
      </c>
      <c r="H226" s="1392" t="s">
        <v>22</v>
      </c>
      <c r="I226" s="1392" t="s">
        <v>129</v>
      </c>
      <c r="J226" s="1392" t="s">
        <v>22</v>
      </c>
      <c r="K226" s="1392" t="s">
        <v>129</v>
      </c>
      <c r="L226" s="593">
        <v>0.7</v>
      </c>
      <c r="M226" s="594">
        <v>40561</v>
      </c>
      <c r="N226" s="595">
        <v>41500</v>
      </c>
      <c r="O226" s="106">
        <f t="shared" si="30"/>
        <v>2013</v>
      </c>
      <c r="P226" s="107">
        <f>+IFERROR(INDEX([15]PARÁMETROS!$B$11:$B$37,MATCH(O226,[15]PARÁMETROS!$A$11:$A$37,0)),"")</f>
        <v>589500</v>
      </c>
      <c r="Q226" s="108">
        <v>4481543752</v>
      </c>
      <c r="R226" s="109" t="str">
        <f>+R225</f>
        <v>COP</v>
      </c>
      <c r="S226" s="99" t="str">
        <f>+S225</f>
        <v>N/A</v>
      </c>
      <c r="T226" s="110" t="str">
        <f>+T225</f>
        <v>N/A</v>
      </c>
      <c r="U226" s="111">
        <v>1</v>
      </c>
      <c r="V226" s="107">
        <f t="shared" si="31"/>
        <v>4481543752</v>
      </c>
      <c r="W226" s="112">
        <f t="shared" si="32"/>
        <v>7602.2794775233251</v>
      </c>
      <c r="X226" s="112">
        <f t="shared" si="33"/>
        <v>5321.5956342663276</v>
      </c>
      <c r="Y226" s="1392" t="str">
        <f>+IF(X226="","",IF(X226&gt;=[15]PARÁMETROS!$J$5,"CUMPLE","NO CUMPLE"))</f>
        <v>CUMPLE</v>
      </c>
      <c r="Z226" s="124"/>
    </row>
    <row r="227" spans="1:26" ht="49.5">
      <c r="A227" s="1615"/>
      <c r="B227" s="1509" t="s">
        <v>2105</v>
      </c>
      <c r="C227" s="81" t="s">
        <v>239</v>
      </c>
      <c r="D227" s="169">
        <v>4</v>
      </c>
      <c r="E227" s="83" t="s">
        <v>1238</v>
      </c>
      <c r="F227" s="596" t="s">
        <v>957</v>
      </c>
      <c r="G227" s="597" t="s">
        <v>1241</v>
      </c>
      <c r="H227" s="1393" t="s">
        <v>22</v>
      </c>
      <c r="I227" s="1393" t="s">
        <v>129</v>
      </c>
      <c r="J227" s="1393" t="s">
        <v>22</v>
      </c>
      <c r="K227" s="1393" t="s">
        <v>129</v>
      </c>
      <c r="L227" s="598">
        <v>1</v>
      </c>
      <c r="M227" s="599">
        <v>38366</v>
      </c>
      <c r="N227" s="599">
        <v>39071</v>
      </c>
      <c r="O227" s="88">
        <f t="shared" si="30"/>
        <v>2006</v>
      </c>
      <c r="P227" s="89">
        <f>+IFERROR(INDEX([15]PARÁMETROS!$B$11:$B$37,MATCH(O227,[15]PARÁMETROS!$A$11:$A$37,0)),"")</f>
        <v>408000</v>
      </c>
      <c r="Q227" s="90">
        <v>1534302721</v>
      </c>
      <c r="R227" s="91" t="s">
        <v>151</v>
      </c>
      <c r="S227" s="81" t="str">
        <f>+S226</f>
        <v>N/A</v>
      </c>
      <c r="T227" s="92" t="str">
        <f>+T226</f>
        <v>N/A</v>
      </c>
      <c r="U227" s="93">
        <v>1</v>
      </c>
      <c r="V227" s="89">
        <f t="shared" si="31"/>
        <v>1534302721</v>
      </c>
      <c r="W227" s="94">
        <f t="shared" si="32"/>
        <v>3760.5458848039216</v>
      </c>
      <c r="X227" s="94">
        <f t="shared" si="33"/>
        <v>3760.5458848039216</v>
      </c>
      <c r="Y227" s="1400" t="str">
        <f>+IF(X227="","",IF(X227&gt;=[15]PARÁMETROS!$J$5,"CUMPLE","NO CUMPLE"))</f>
        <v>CUMPLE</v>
      </c>
      <c r="Z227" s="96"/>
    </row>
    <row r="228" spans="1:26" ht="99">
      <c r="A228" s="1615"/>
      <c r="B228" s="1510"/>
      <c r="C228" s="19" t="s">
        <v>239</v>
      </c>
      <c r="D228" s="170">
        <v>9</v>
      </c>
      <c r="E228" s="21" t="s">
        <v>1238</v>
      </c>
      <c r="F228" s="536" t="s">
        <v>1243</v>
      </c>
      <c r="G228" s="537" t="s">
        <v>1244</v>
      </c>
      <c r="H228" s="1388" t="s">
        <v>22</v>
      </c>
      <c r="I228" s="1388" t="s">
        <v>22</v>
      </c>
      <c r="J228" s="1388" t="s">
        <v>22</v>
      </c>
      <c r="K228" s="1388" t="s">
        <v>129</v>
      </c>
      <c r="L228" s="600">
        <v>0.5</v>
      </c>
      <c r="M228" s="538">
        <v>38034</v>
      </c>
      <c r="N228" s="538">
        <v>40770</v>
      </c>
      <c r="O228" s="26">
        <f t="shared" si="30"/>
        <v>2011</v>
      </c>
      <c r="P228" s="27">
        <f>+IFERROR(INDEX([15]PARÁMETROS!$B$11:$B$37,MATCH(O228,[15]PARÁMETROS!$A$11:$A$37,0)),"")</f>
        <v>535600</v>
      </c>
      <c r="Q228" s="28">
        <v>9131630030</v>
      </c>
      <c r="R228" s="29" t="str">
        <f>+R227</f>
        <v>COP</v>
      </c>
      <c r="S228" s="19" t="str">
        <f>+S227</f>
        <v>N/A</v>
      </c>
      <c r="T228" s="30" t="str">
        <f>+T227</f>
        <v>N/A</v>
      </c>
      <c r="U228" s="31">
        <v>1</v>
      </c>
      <c r="V228" s="27">
        <f t="shared" si="31"/>
        <v>9131630030</v>
      </c>
      <c r="W228" s="16">
        <f t="shared" si="32"/>
        <v>17049.346583271097</v>
      </c>
      <c r="X228" s="16">
        <f t="shared" si="33"/>
        <v>8524.6732916355486</v>
      </c>
      <c r="Y228" s="1388" t="str">
        <f>+IF(X228="","",IF(X228&gt;=[15]PARÁMETROS!$J$5,"CUMPLE","NO CUMPLE"))</f>
        <v>CUMPLE</v>
      </c>
      <c r="Z228" s="97"/>
    </row>
    <row r="229" spans="1:26" ht="78.75">
      <c r="A229" s="1615"/>
      <c r="B229" s="1510"/>
      <c r="C229" s="19" t="s">
        <v>1699</v>
      </c>
      <c r="D229" s="170">
        <v>24</v>
      </c>
      <c r="E229" s="21" t="s">
        <v>1246</v>
      </c>
      <c r="F229" s="536" t="s">
        <v>1247</v>
      </c>
      <c r="G229" s="537" t="s">
        <v>1248</v>
      </c>
      <c r="H229" s="1388" t="s">
        <v>22</v>
      </c>
      <c r="I229" s="1388" t="s">
        <v>129</v>
      </c>
      <c r="J229" s="1388" t="s">
        <v>22</v>
      </c>
      <c r="K229" s="1388" t="s">
        <v>129</v>
      </c>
      <c r="L229" s="601">
        <v>1</v>
      </c>
      <c r="M229" s="539">
        <v>38562</v>
      </c>
      <c r="N229" s="539">
        <v>39521</v>
      </c>
      <c r="O229" s="26">
        <f t="shared" si="30"/>
        <v>2008</v>
      </c>
      <c r="P229" s="27">
        <f>+IFERROR(INDEX([15]PARÁMETROS!$B$11:$B$37,MATCH(O229,[15]PARÁMETROS!$A$11:$A$37,0)),"")</f>
        <v>461500</v>
      </c>
      <c r="Q229" s="28">
        <v>2838230</v>
      </c>
      <c r="R229" s="29" t="s">
        <v>142</v>
      </c>
      <c r="S229" s="19">
        <v>1.56097</v>
      </c>
      <c r="T229" s="30">
        <f>+Q229*S229</f>
        <v>4430391.8831000002</v>
      </c>
      <c r="U229" s="31">
        <v>1856.01</v>
      </c>
      <c r="V229" s="27">
        <f>IF(U229&lt;&gt;"",T229*U229,"")</f>
        <v>8222851638.9524317</v>
      </c>
      <c r="W229" s="16">
        <f t="shared" si="32"/>
        <v>17817.663356343299</v>
      </c>
      <c r="X229" s="16">
        <f t="shared" si="33"/>
        <v>17817.663356343299</v>
      </c>
      <c r="Y229" s="1388" t="str">
        <f>+IF(X229="","",IF(X229&gt;=[15]PARÁMETROS!$J$5,"CUMPLE","NO CUMPLE"))</f>
        <v>CUMPLE</v>
      </c>
      <c r="Z229" s="97"/>
    </row>
    <row r="230" spans="1:26" ht="79.5" thickBot="1">
      <c r="A230" s="1615"/>
      <c r="B230" s="1511"/>
      <c r="C230" s="99" t="s">
        <v>1699</v>
      </c>
      <c r="D230" s="178">
        <v>33</v>
      </c>
      <c r="E230" s="101" t="s">
        <v>1246</v>
      </c>
      <c r="F230" s="602" t="s">
        <v>1250</v>
      </c>
      <c r="G230" s="603" t="s">
        <v>1251</v>
      </c>
      <c r="H230" s="1392" t="s">
        <v>22</v>
      </c>
      <c r="I230" s="1392" t="s">
        <v>129</v>
      </c>
      <c r="J230" s="1392" t="s">
        <v>22</v>
      </c>
      <c r="K230" s="1392" t="s">
        <v>129</v>
      </c>
      <c r="L230" s="604">
        <v>1</v>
      </c>
      <c r="M230" s="605">
        <v>38701</v>
      </c>
      <c r="N230" s="605">
        <v>40085</v>
      </c>
      <c r="O230" s="106">
        <f t="shared" si="30"/>
        <v>2009</v>
      </c>
      <c r="P230" s="107">
        <f>+IFERROR(INDEX([15]PARÁMETROS!$B$11:$B$37,MATCH(O230,[15]PARÁMETROS!$A$11:$A$37,0)),"")</f>
        <v>496900</v>
      </c>
      <c r="Q230" s="108">
        <v>1183267.6000000001</v>
      </c>
      <c r="R230" s="109" t="s">
        <v>142</v>
      </c>
      <c r="S230" s="99">
        <v>1.45905</v>
      </c>
      <c r="T230" s="110">
        <f>+Q230*S230</f>
        <v>1726446.5917800001</v>
      </c>
      <c r="U230" s="111">
        <v>1921.64</v>
      </c>
      <c r="V230" s="107">
        <f>IF(U230&lt;&gt;"",T230*U230,"")</f>
        <v>3317608828.6281195</v>
      </c>
      <c r="W230" s="112">
        <f t="shared" si="32"/>
        <v>6676.612655721714</v>
      </c>
      <c r="X230" s="112">
        <f t="shared" si="33"/>
        <v>6676.612655721714</v>
      </c>
      <c r="Y230" s="1392" t="str">
        <f>+IF(X230="","",IF(X230&gt;=[15]PARÁMETROS!$J$5,"CUMPLE","NO CUMPLE"))</f>
        <v>CUMPLE</v>
      </c>
      <c r="Z230" s="113"/>
    </row>
    <row r="231" spans="1:26" ht="47.25">
      <c r="A231" s="1615"/>
      <c r="B231" s="1607" t="s">
        <v>2106</v>
      </c>
      <c r="C231" s="81" t="s">
        <v>1710</v>
      </c>
      <c r="D231" s="169">
        <v>5</v>
      </c>
      <c r="E231" s="83" t="s">
        <v>553</v>
      </c>
      <c r="F231" s="84" t="s">
        <v>957</v>
      </c>
      <c r="G231" s="85" t="s">
        <v>2436</v>
      </c>
      <c r="H231" s="1393" t="s">
        <v>22</v>
      </c>
      <c r="I231" s="1393" t="s">
        <v>129</v>
      </c>
      <c r="J231" s="1393" t="s">
        <v>22</v>
      </c>
      <c r="K231" s="1393" t="s">
        <v>129</v>
      </c>
      <c r="L231" s="86">
        <v>1</v>
      </c>
      <c r="M231" s="87">
        <v>39083</v>
      </c>
      <c r="N231" s="87">
        <v>40086</v>
      </c>
      <c r="O231" s="88">
        <f t="shared" si="30"/>
        <v>2009</v>
      </c>
      <c r="P231" s="89">
        <f>+IFERROR(INDEX([15]PARÁMETROS!$B$11:$B$37,MATCH(O231,[15]PARÁMETROS!$A$11:$A$37,0)),"")</f>
        <v>496900</v>
      </c>
      <c r="Q231" s="90">
        <v>2052203069.46</v>
      </c>
      <c r="R231" s="91" t="s">
        <v>151</v>
      </c>
      <c r="S231" s="81" t="s">
        <v>326</v>
      </c>
      <c r="T231" s="92" t="s">
        <v>326</v>
      </c>
      <c r="U231" s="93">
        <v>1</v>
      </c>
      <c r="V231" s="89">
        <f t="shared" si="31"/>
        <v>2052203069.46</v>
      </c>
      <c r="W231" s="94">
        <f t="shared" si="32"/>
        <v>4130.0122146508356</v>
      </c>
      <c r="X231" s="94">
        <f t="shared" si="33"/>
        <v>4130.0122146508356</v>
      </c>
      <c r="Y231" s="1400" t="str">
        <f>+IF(X231="","",IF(X231&gt;=[15]PARÁMETROS!$J$5,"CUMPLE","NO CUMPLE"))</f>
        <v>CUMPLE</v>
      </c>
      <c r="Z231" s="96"/>
    </row>
    <row r="232" spans="1:26" ht="57">
      <c r="A232" s="1615"/>
      <c r="B232" s="1608"/>
      <c r="C232" s="19" t="s">
        <v>1710</v>
      </c>
      <c r="D232" s="170">
        <v>28</v>
      </c>
      <c r="E232" s="21" t="s">
        <v>553</v>
      </c>
      <c r="F232" s="22" t="s">
        <v>1243</v>
      </c>
      <c r="G232" s="22" t="s">
        <v>2437</v>
      </c>
      <c r="H232" s="1388" t="s">
        <v>22</v>
      </c>
      <c r="I232" s="1388" t="s">
        <v>22</v>
      </c>
      <c r="J232" s="1388" t="s">
        <v>22</v>
      </c>
      <c r="K232" s="1388" t="s">
        <v>129</v>
      </c>
      <c r="L232" s="34">
        <v>0.65</v>
      </c>
      <c r="M232" s="25">
        <v>37838</v>
      </c>
      <c r="N232" s="25">
        <v>38612</v>
      </c>
      <c r="O232" s="26">
        <f t="shared" si="30"/>
        <v>2005</v>
      </c>
      <c r="P232" s="27">
        <f>+IFERROR(INDEX([15]PARÁMETROS!$B$11:$B$37,MATCH(O232,[15]PARÁMETROS!$A$11:$A$37,0)),"")</f>
        <v>381500</v>
      </c>
      <c r="Q232" s="35">
        <v>6190975758</v>
      </c>
      <c r="R232" s="27" t="s">
        <v>151</v>
      </c>
      <c r="S232" s="19" t="s">
        <v>326</v>
      </c>
      <c r="T232" s="30" t="s">
        <v>326</v>
      </c>
      <c r="U232" s="31">
        <v>1</v>
      </c>
      <c r="V232" s="27">
        <f t="shared" si="31"/>
        <v>6190975758</v>
      </c>
      <c r="W232" s="16">
        <f t="shared" si="32"/>
        <v>16227.983638269987</v>
      </c>
      <c r="X232" s="16">
        <f t="shared" si="33"/>
        <v>10548.189364875492</v>
      </c>
      <c r="Y232" s="1388" t="str">
        <f>+IF(X232="","",IF(X232&gt;=[15]PARÁMETROS!$J$5,"CUMPLE","NO CUMPLE"))</f>
        <v>CUMPLE</v>
      </c>
      <c r="Z232" s="97"/>
    </row>
    <row r="233" spans="1:26" ht="71.25">
      <c r="A233" s="1615"/>
      <c r="B233" s="1608"/>
      <c r="C233" s="19" t="s">
        <v>252</v>
      </c>
      <c r="D233" s="170">
        <v>76</v>
      </c>
      <c r="E233" s="21" t="s">
        <v>561</v>
      </c>
      <c r="F233" s="22" t="s">
        <v>2107</v>
      </c>
      <c r="G233" s="23" t="s">
        <v>2438</v>
      </c>
      <c r="H233" s="1388" t="s">
        <v>22</v>
      </c>
      <c r="I233" s="1388" t="s">
        <v>129</v>
      </c>
      <c r="J233" s="1388" t="s">
        <v>22</v>
      </c>
      <c r="K233" s="1388" t="s">
        <v>129</v>
      </c>
      <c r="L233" s="24">
        <v>1</v>
      </c>
      <c r="M233" s="25">
        <v>38974</v>
      </c>
      <c r="N233" s="25">
        <v>39478</v>
      </c>
      <c r="O233" s="26">
        <f t="shared" si="30"/>
        <v>2008</v>
      </c>
      <c r="P233" s="27">
        <f>+IFERROR(INDEX([15]PARÁMETROS!$B$11:$B$37,MATCH(O233,[15]PARÁMETROS!$A$11:$A$37,0)),"")</f>
        <v>461500</v>
      </c>
      <c r="Q233" s="28">
        <v>12952658.279999999</v>
      </c>
      <c r="R233" s="29" t="s">
        <v>2109</v>
      </c>
      <c r="S233" s="19">
        <v>9.2179999999999998E-2</v>
      </c>
      <c r="T233" s="30">
        <f>+Q233*S233</f>
        <v>1193976.0402503998</v>
      </c>
      <c r="U233" s="31">
        <v>1939.6</v>
      </c>
      <c r="V233" s="27">
        <f>IF(U233&lt;&gt;"",T233*U233,"")</f>
        <v>2315835927.6696754</v>
      </c>
      <c r="W233" s="16">
        <f>+IFERROR(V233/P233,"")</f>
        <v>5018.0626818411165</v>
      </c>
      <c r="X233" s="16">
        <f>IFERROR(W233*L233,"")</f>
        <v>5018.0626818411165</v>
      </c>
      <c r="Y233" s="1388" t="str">
        <f>+IF(X233="","",IF(X233&gt;=[15]PARÁMETROS!$J$5,"CUMPLE","NO CUMPLE"))</f>
        <v>CUMPLE</v>
      </c>
      <c r="Z233" s="97"/>
    </row>
    <row r="234" spans="1:26" ht="72" thickBot="1">
      <c r="A234" s="1615"/>
      <c r="B234" s="1609"/>
      <c r="C234" s="99" t="s">
        <v>252</v>
      </c>
      <c r="D234" s="178">
        <v>87</v>
      </c>
      <c r="E234" s="101" t="s">
        <v>561</v>
      </c>
      <c r="F234" s="102" t="s">
        <v>2107</v>
      </c>
      <c r="G234" s="191" t="s">
        <v>2439</v>
      </c>
      <c r="H234" s="1392" t="s">
        <v>22</v>
      </c>
      <c r="I234" s="1392" t="s">
        <v>129</v>
      </c>
      <c r="J234" s="1392" t="s">
        <v>22</v>
      </c>
      <c r="K234" s="1392" t="s">
        <v>129</v>
      </c>
      <c r="L234" s="104">
        <v>1</v>
      </c>
      <c r="M234" s="105">
        <v>37495</v>
      </c>
      <c r="N234" s="105">
        <v>37863</v>
      </c>
      <c r="O234" s="106">
        <f t="shared" si="30"/>
        <v>2003</v>
      </c>
      <c r="P234" s="107">
        <f>+IFERROR(INDEX([15]PARÁMETROS!$B$11:$B$37,MATCH(O234,[15]PARÁMETROS!$A$11:$A$37,0)),"")</f>
        <v>332000</v>
      </c>
      <c r="Q234" s="108">
        <v>23799200.760000002</v>
      </c>
      <c r="R234" s="109" t="str">
        <f>+R233</f>
        <v>MX</v>
      </c>
      <c r="S234" s="99">
        <v>9.0289999999999995E-2</v>
      </c>
      <c r="T234" s="110">
        <f>+Q234*S234</f>
        <v>2148829.8366204002</v>
      </c>
      <c r="U234" s="111">
        <v>2832.94</v>
      </c>
      <c r="V234" s="107">
        <f>IF(U234&lt;&gt;"",T234*U234,"")</f>
        <v>6087505997.3553963</v>
      </c>
      <c r="W234" s="112">
        <f t="shared" si="32"/>
        <v>18335.861437817457</v>
      </c>
      <c r="X234" s="112">
        <f t="shared" si="33"/>
        <v>18335.861437817457</v>
      </c>
      <c r="Y234" s="1392" t="str">
        <f>+IF(X234="","",IF(X234&gt;=[15]PARÁMETROS!$J$5,"CUMPLE","NO CUMPLE"))</f>
        <v>CUMPLE</v>
      </c>
      <c r="Z234" s="113" t="s">
        <v>2440</v>
      </c>
    </row>
    <row r="235" spans="1:26" ht="47.25">
      <c r="A235" s="1615"/>
      <c r="B235" s="1509" t="s">
        <v>2114</v>
      </c>
      <c r="C235" s="81" t="s">
        <v>278</v>
      </c>
      <c r="D235" s="169">
        <v>3</v>
      </c>
      <c r="E235" s="83" t="s">
        <v>834</v>
      </c>
      <c r="F235" s="596" t="s">
        <v>2115</v>
      </c>
      <c r="G235" s="606" t="s">
        <v>2116</v>
      </c>
      <c r="H235" s="1400" t="s">
        <v>22</v>
      </c>
      <c r="I235" s="1400" t="s">
        <v>22</v>
      </c>
      <c r="J235" s="1400" t="s">
        <v>22</v>
      </c>
      <c r="K235" s="1393" t="s">
        <v>129</v>
      </c>
      <c r="L235" s="607">
        <v>0.5</v>
      </c>
      <c r="M235" s="548">
        <v>36752</v>
      </c>
      <c r="N235" s="548">
        <v>42111</v>
      </c>
      <c r="O235" s="88">
        <f t="shared" si="30"/>
        <v>2015</v>
      </c>
      <c r="P235" s="89">
        <f>+IFERROR(INDEX([15]PARÁMETROS!$B$11:$B$37,MATCH(O235,[15]PARÁMETROS!$A$11:$A$37,0)),"")</f>
        <v>644350</v>
      </c>
      <c r="Q235" s="90">
        <v>5014683563</v>
      </c>
      <c r="R235" s="91" t="s">
        <v>151</v>
      </c>
      <c r="S235" s="81"/>
      <c r="T235" s="92" t="s">
        <v>326</v>
      </c>
      <c r="U235" s="93">
        <v>1</v>
      </c>
      <c r="V235" s="89">
        <f t="shared" si="31"/>
        <v>5014683563</v>
      </c>
      <c r="W235" s="94">
        <f t="shared" si="32"/>
        <v>7782.546074338481</v>
      </c>
      <c r="X235" s="94">
        <f t="shared" si="33"/>
        <v>3891.2730371692405</v>
      </c>
      <c r="Y235" s="1400" t="str">
        <f>+IF(X235="","",IF(X235&gt;=[15]PARÁMETROS!$J$5,"CUMPLE","NO CUMPLE"))</f>
        <v>CUMPLE</v>
      </c>
      <c r="Z235" s="96"/>
    </row>
    <row r="236" spans="1:26" ht="94.5">
      <c r="A236" s="1615"/>
      <c r="B236" s="1510"/>
      <c r="C236" s="19" t="s">
        <v>278</v>
      </c>
      <c r="D236" s="170">
        <v>6</v>
      </c>
      <c r="E236" s="21" t="s">
        <v>834</v>
      </c>
      <c r="F236" s="536" t="s">
        <v>1143</v>
      </c>
      <c r="G236" s="608" t="s">
        <v>2117</v>
      </c>
      <c r="H236" s="1388" t="s">
        <v>22</v>
      </c>
      <c r="I236" s="1388" t="s">
        <v>129</v>
      </c>
      <c r="J236" s="1388" t="s">
        <v>22</v>
      </c>
      <c r="K236" s="1388" t="s">
        <v>129</v>
      </c>
      <c r="L236" s="609">
        <v>0.5</v>
      </c>
      <c r="M236" s="552">
        <v>40099</v>
      </c>
      <c r="N236" s="552">
        <v>40558</v>
      </c>
      <c r="O236" s="26">
        <f t="shared" si="30"/>
        <v>2011</v>
      </c>
      <c r="P236" s="27">
        <f>+IFERROR(INDEX([15]PARÁMETROS!$B$11:$B$37,MATCH(O236,[15]PARÁMETROS!$A$11:$A$37,0)),"")</f>
        <v>535600</v>
      </c>
      <c r="Q236" s="28">
        <v>4561047955</v>
      </c>
      <c r="R236" s="29" t="str">
        <f t="shared" ref="R236:R242" si="34">+R235</f>
        <v>COP</v>
      </c>
      <c r="S236" s="19"/>
      <c r="T236" s="30" t="str">
        <f t="shared" ref="T236:T242" si="35">+T235</f>
        <v>NA</v>
      </c>
      <c r="U236" s="31">
        <v>1</v>
      </c>
      <c r="V236" s="27">
        <f t="shared" si="31"/>
        <v>4561047955</v>
      </c>
      <c r="W236" s="16">
        <f t="shared" si="32"/>
        <v>8515.7728808812553</v>
      </c>
      <c r="X236" s="16">
        <f t="shared" si="33"/>
        <v>4257.8864404406277</v>
      </c>
      <c r="Y236" s="1388" t="str">
        <f>+IF(X236="","",IF(X236&gt;=[15]PARÁMETROS!$J$5,"CUMPLE","NO CUMPLE"))</f>
        <v>CUMPLE</v>
      </c>
      <c r="Z236" s="97"/>
    </row>
    <row r="237" spans="1:26" ht="63">
      <c r="A237" s="1615"/>
      <c r="B237" s="1510"/>
      <c r="C237" s="19" t="s">
        <v>278</v>
      </c>
      <c r="D237" s="170">
        <v>25</v>
      </c>
      <c r="E237" s="21" t="s">
        <v>834</v>
      </c>
      <c r="F237" s="536" t="s">
        <v>155</v>
      </c>
      <c r="G237" s="608" t="s">
        <v>2118</v>
      </c>
      <c r="H237" s="1388" t="s">
        <v>22</v>
      </c>
      <c r="I237" s="1388" t="s">
        <v>129</v>
      </c>
      <c r="J237" s="1388" t="s">
        <v>22</v>
      </c>
      <c r="K237" s="1388" t="s">
        <v>129</v>
      </c>
      <c r="L237" s="609">
        <v>1</v>
      </c>
      <c r="M237" s="552">
        <v>34541</v>
      </c>
      <c r="N237" s="552">
        <v>35002</v>
      </c>
      <c r="O237" s="26">
        <f t="shared" si="30"/>
        <v>1995</v>
      </c>
      <c r="P237" s="27">
        <f>+IFERROR(INDEX([15]PARÁMETROS!$B$11:$B$37,MATCH(O237,[15]PARÁMETROS!$A$11:$A$37,0)),"")</f>
        <v>118933.5</v>
      </c>
      <c r="Q237" s="28">
        <v>418334254</v>
      </c>
      <c r="R237" s="29" t="str">
        <f t="shared" si="34"/>
        <v>COP</v>
      </c>
      <c r="S237" s="19"/>
      <c r="T237" s="30" t="str">
        <f t="shared" si="35"/>
        <v>NA</v>
      </c>
      <c r="U237" s="31">
        <v>1</v>
      </c>
      <c r="V237" s="27">
        <f t="shared" si="31"/>
        <v>418334254</v>
      </c>
      <c r="W237" s="16">
        <f t="shared" si="32"/>
        <v>3517.3794935825481</v>
      </c>
      <c r="X237" s="16">
        <f t="shared" si="33"/>
        <v>3517.3794935825481</v>
      </c>
      <c r="Y237" s="1388" t="str">
        <f>+IF(X237="","",IF(X237&gt;=[15]PARÁMETROS!$J$5,"CUMPLE","NO CUMPLE"))</f>
        <v>CUMPLE</v>
      </c>
      <c r="Z237" s="97"/>
    </row>
    <row r="238" spans="1:26" ht="48" thickBot="1">
      <c r="A238" s="1615"/>
      <c r="B238" s="1511"/>
      <c r="C238" s="99" t="s">
        <v>270</v>
      </c>
      <c r="D238" s="178">
        <v>27</v>
      </c>
      <c r="E238" s="101" t="s">
        <v>835</v>
      </c>
      <c r="F238" s="602" t="s">
        <v>155</v>
      </c>
      <c r="G238" s="610" t="s">
        <v>2119</v>
      </c>
      <c r="H238" s="1402" t="s">
        <v>22</v>
      </c>
      <c r="I238" s="1402" t="s">
        <v>129</v>
      </c>
      <c r="J238" s="1402" t="s">
        <v>22</v>
      </c>
      <c r="K238" s="1392" t="s">
        <v>129</v>
      </c>
      <c r="L238" s="611">
        <v>0.15</v>
      </c>
      <c r="M238" s="554">
        <v>40487</v>
      </c>
      <c r="N238" s="554">
        <v>42339</v>
      </c>
      <c r="O238" s="106">
        <f t="shared" si="30"/>
        <v>2015</v>
      </c>
      <c r="P238" s="107">
        <f>+IFERROR(INDEX([15]PARÁMETROS!$B$11:$B$37,MATCH(O238,[15]PARÁMETROS!$A$11:$A$37,0)),"")</f>
        <v>644350</v>
      </c>
      <c r="Q238" s="108">
        <v>25305101612</v>
      </c>
      <c r="R238" s="109" t="str">
        <f t="shared" si="34"/>
        <v>COP</v>
      </c>
      <c r="S238" s="99"/>
      <c r="T238" s="110" t="str">
        <f t="shared" si="35"/>
        <v>NA</v>
      </c>
      <c r="U238" s="111">
        <v>1</v>
      </c>
      <c r="V238" s="107">
        <f t="shared" si="31"/>
        <v>25305101612</v>
      </c>
      <c r="W238" s="112">
        <f t="shared" si="32"/>
        <v>39272.292406300927</v>
      </c>
      <c r="X238" s="112">
        <f t="shared" si="33"/>
        <v>5890.8438609451387</v>
      </c>
      <c r="Y238" s="1392" t="str">
        <f>+IF(X238="","",IF(X238&gt;=[15]PARÁMETROS!$J$5,"CUMPLE","NO CUMPLE"))</f>
        <v>CUMPLE</v>
      </c>
      <c r="Z238" s="113"/>
    </row>
    <row r="239" spans="1:26" ht="71.25">
      <c r="A239" s="1615"/>
      <c r="B239" s="1509" t="s">
        <v>2441</v>
      </c>
      <c r="C239" s="81" t="s">
        <v>289</v>
      </c>
      <c r="D239" s="169">
        <v>5</v>
      </c>
      <c r="E239" s="83" t="s">
        <v>2121</v>
      </c>
      <c r="F239" s="612" t="s">
        <v>528</v>
      </c>
      <c r="G239" s="613" t="s">
        <v>530</v>
      </c>
      <c r="H239" s="1393" t="s">
        <v>22</v>
      </c>
      <c r="I239" s="1393" t="s">
        <v>22</v>
      </c>
      <c r="J239" s="1400" t="s">
        <v>22</v>
      </c>
      <c r="K239" s="1393" t="s">
        <v>129</v>
      </c>
      <c r="L239" s="614">
        <v>1</v>
      </c>
      <c r="M239" s="615">
        <v>38321</v>
      </c>
      <c r="N239" s="615">
        <v>39901</v>
      </c>
      <c r="O239" s="88">
        <f t="shared" si="30"/>
        <v>2009</v>
      </c>
      <c r="P239" s="89">
        <f>+IFERROR(INDEX([15]PARÁMETROS!$B$11:$B$37,MATCH(O239,[15]PARÁMETROS!$A$11:$A$37,0)),"")</f>
        <v>496900</v>
      </c>
      <c r="Q239" s="90">
        <v>1676200327</v>
      </c>
      <c r="R239" s="91" t="str">
        <f t="shared" si="34"/>
        <v>COP</v>
      </c>
      <c r="S239" s="81"/>
      <c r="T239" s="92" t="str">
        <f t="shared" si="35"/>
        <v>NA</v>
      </c>
      <c r="U239" s="93">
        <v>1</v>
      </c>
      <c r="V239" s="89">
        <f t="shared" si="31"/>
        <v>1676200327</v>
      </c>
      <c r="W239" s="94">
        <f t="shared" si="32"/>
        <v>3373.3152082914066</v>
      </c>
      <c r="X239" s="94">
        <f t="shared" si="33"/>
        <v>3373.3152082914066</v>
      </c>
      <c r="Y239" s="1400" t="str">
        <f>+IF(X239="","",IF(X239&gt;=[15]PARÁMETROS!$J$5,"CUMPLE","NO CUMPLE"))</f>
        <v>CUMPLE</v>
      </c>
      <c r="Z239" s="96"/>
    </row>
    <row r="240" spans="1:26" ht="85.5">
      <c r="A240" s="1615"/>
      <c r="B240" s="1510"/>
      <c r="C240" s="19" t="s">
        <v>289</v>
      </c>
      <c r="D240" s="170">
        <v>15</v>
      </c>
      <c r="E240" s="21" t="s">
        <v>2121</v>
      </c>
      <c r="F240" s="616" t="s">
        <v>155</v>
      </c>
      <c r="G240" s="617" t="s">
        <v>532</v>
      </c>
      <c r="H240" s="1388" t="s">
        <v>22</v>
      </c>
      <c r="I240" s="1388" t="s">
        <v>129</v>
      </c>
      <c r="J240" s="1388" t="s">
        <v>22</v>
      </c>
      <c r="K240" s="1388" t="s">
        <v>129</v>
      </c>
      <c r="L240" s="618">
        <v>1</v>
      </c>
      <c r="M240" s="619">
        <v>38658</v>
      </c>
      <c r="N240" s="619">
        <v>39813</v>
      </c>
      <c r="O240" s="26">
        <f t="shared" si="30"/>
        <v>2008</v>
      </c>
      <c r="P240" s="27">
        <f>+IFERROR(INDEX([15]PARÁMETROS!$B$11:$B$37,MATCH(O240,[15]PARÁMETROS!$A$11:$A$37,0)),"")</f>
        <v>461500</v>
      </c>
      <c r="Q240" s="28">
        <v>2904906735</v>
      </c>
      <c r="R240" s="29" t="str">
        <f t="shared" si="34"/>
        <v>COP</v>
      </c>
      <c r="S240" s="19"/>
      <c r="T240" s="30" t="str">
        <f t="shared" si="35"/>
        <v>NA</v>
      </c>
      <c r="U240" s="31">
        <v>1</v>
      </c>
      <c r="V240" s="27">
        <f t="shared" si="31"/>
        <v>2904906735</v>
      </c>
      <c r="W240" s="16">
        <f t="shared" si="32"/>
        <v>6294.4891332611051</v>
      </c>
      <c r="X240" s="16">
        <f t="shared" si="33"/>
        <v>6294.4891332611051</v>
      </c>
      <c r="Y240" s="1388" t="str">
        <f>+IF(X240="","",IF(X240&gt;=[15]PARÁMETROS!$J$5,"CUMPLE","NO CUMPLE"))</f>
        <v>CUMPLE</v>
      </c>
      <c r="Z240" s="97"/>
    </row>
    <row r="241" spans="1:26" ht="99.75">
      <c r="A241" s="1615"/>
      <c r="B241" s="1510"/>
      <c r="C241" s="19" t="s">
        <v>289</v>
      </c>
      <c r="D241" s="170">
        <v>26</v>
      </c>
      <c r="E241" s="21" t="s">
        <v>2121</v>
      </c>
      <c r="F241" s="616" t="s">
        <v>155</v>
      </c>
      <c r="G241" s="617" t="s">
        <v>959</v>
      </c>
      <c r="H241" s="1388" t="s">
        <v>22</v>
      </c>
      <c r="I241" s="1388" t="s">
        <v>129</v>
      </c>
      <c r="J241" s="1388" t="s">
        <v>22</v>
      </c>
      <c r="K241" s="1388" t="s">
        <v>129</v>
      </c>
      <c r="L241" s="618">
        <v>1</v>
      </c>
      <c r="M241" s="620">
        <v>38673</v>
      </c>
      <c r="N241" s="620">
        <v>39675</v>
      </c>
      <c r="O241" s="26">
        <f t="shared" si="30"/>
        <v>2008</v>
      </c>
      <c r="P241" s="27">
        <f>+IFERROR(INDEX([15]PARÁMETROS!$B$11:$B$37,MATCH(O241,[15]PARÁMETROS!$A$11:$A$37,0)),"")</f>
        <v>461500</v>
      </c>
      <c r="Q241" s="28">
        <v>2904906735</v>
      </c>
      <c r="R241" s="29" t="str">
        <f t="shared" si="34"/>
        <v>COP</v>
      </c>
      <c r="S241" s="19"/>
      <c r="T241" s="30" t="str">
        <f t="shared" si="35"/>
        <v>NA</v>
      </c>
      <c r="U241" s="31">
        <v>1</v>
      </c>
      <c r="V241" s="27">
        <v>2205036734</v>
      </c>
      <c r="W241" s="16">
        <f t="shared" si="32"/>
        <v>4777.9777551462621</v>
      </c>
      <c r="X241" s="16">
        <f t="shared" si="33"/>
        <v>4777.9777551462621</v>
      </c>
      <c r="Y241" s="1388" t="str">
        <f>+IF(X241="","",IF(X241&gt;=[15]PARÁMETROS!$J$5,"CUMPLE","NO CUMPLE"))</f>
        <v>CUMPLE</v>
      </c>
      <c r="Z241" s="121"/>
    </row>
    <row r="242" spans="1:26" ht="100.5" thickBot="1">
      <c r="A242" s="1615"/>
      <c r="B242" s="1511"/>
      <c r="C242" s="99" t="s">
        <v>289</v>
      </c>
      <c r="D242" s="178">
        <v>37</v>
      </c>
      <c r="E242" s="101" t="s">
        <v>2121</v>
      </c>
      <c r="F242" s="621" t="s">
        <v>155</v>
      </c>
      <c r="G242" s="622" t="s">
        <v>769</v>
      </c>
      <c r="H242" s="1392" t="s">
        <v>22</v>
      </c>
      <c r="I242" s="1392" t="s">
        <v>129</v>
      </c>
      <c r="J242" s="1402" t="s">
        <v>22</v>
      </c>
      <c r="K242" s="1392" t="s">
        <v>129</v>
      </c>
      <c r="L242" s="623">
        <v>0.5</v>
      </c>
      <c r="M242" s="624">
        <v>39778</v>
      </c>
      <c r="N242" s="624">
        <v>41374</v>
      </c>
      <c r="O242" s="106">
        <f t="shared" si="30"/>
        <v>2013</v>
      </c>
      <c r="P242" s="107">
        <f>+IFERROR(INDEX([15]PARÁMETROS!$B$11:$B$37,MATCH(O242,[15]PARÁMETROS!$A$11:$A$37,0)),"")</f>
        <v>589500</v>
      </c>
      <c r="Q242" s="109">
        <v>5413375107</v>
      </c>
      <c r="R242" s="109" t="str">
        <f t="shared" si="34"/>
        <v>COP</v>
      </c>
      <c r="S242" s="109"/>
      <c r="T242" s="109" t="str">
        <f t="shared" si="35"/>
        <v>NA</v>
      </c>
      <c r="U242" s="111">
        <v>1</v>
      </c>
      <c r="V242" s="107">
        <v>5413567912</v>
      </c>
      <c r="W242" s="112">
        <f t="shared" si="32"/>
        <v>9183.321309584393</v>
      </c>
      <c r="X242" s="112">
        <f t="shared" si="33"/>
        <v>4591.6606547921965</v>
      </c>
      <c r="Y242" s="1392" t="str">
        <f>+IF(X242="","",IF(X242&gt;=[15]PARÁMETROS!$J$5,"CUMPLE","NO CUMPLE"))</f>
        <v>CUMPLE</v>
      </c>
      <c r="Z242" s="113"/>
    </row>
    <row r="243" spans="1:26" ht="128.25">
      <c r="A243" s="1615"/>
      <c r="B243" s="1509" t="s">
        <v>2442</v>
      </c>
      <c r="C243" s="81" t="s">
        <v>310</v>
      </c>
      <c r="D243" s="169">
        <v>9</v>
      </c>
      <c r="E243" s="83" t="s">
        <v>508</v>
      </c>
      <c r="F243" s="84" t="s">
        <v>2123</v>
      </c>
      <c r="G243" s="85" t="s">
        <v>2126</v>
      </c>
      <c r="H243" s="1400" t="s">
        <v>22</v>
      </c>
      <c r="I243" s="1393" t="s">
        <v>129</v>
      </c>
      <c r="J243" s="1393" t="s">
        <v>22</v>
      </c>
      <c r="K243" s="1393" t="s">
        <v>129</v>
      </c>
      <c r="L243" s="86">
        <v>1</v>
      </c>
      <c r="M243" s="87">
        <v>39839</v>
      </c>
      <c r="N243" s="87">
        <v>40339</v>
      </c>
      <c r="O243" s="88">
        <f t="shared" si="30"/>
        <v>2010</v>
      </c>
      <c r="P243" s="89">
        <f>+IFERROR(INDEX([15]PARÁMETROS!$B$11:$B$37,MATCH(O243,[15]PARÁMETROS!$A$11:$A$37,0)),"")</f>
        <v>515000</v>
      </c>
      <c r="Q243" s="90">
        <v>864969.84</v>
      </c>
      <c r="R243" s="91" t="s">
        <v>222</v>
      </c>
      <c r="S243" s="81">
        <v>1.1988799999999999</v>
      </c>
      <c r="T243" s="92">
        <f>+Q243*S243</f>
        <v>1036995.0417792</v>
      </c>
      <c r="U243" s="93">
        <v>1943</v>
      </c>
      <c r="V243" s="89">
        <f>IF(U243&lt;&gt;"",T243*U243,"")</f>
        <v>2014881366.1769855</v>
      </c>
      <c r="W243" s="94">
        <f t="shared" si="32"/>
        <v>3912.3910022854088</v>
      </c>
      <c r="X243" s="94">
        <f t="shared" si="33"/>
        <v>3912.3910022854088</v>
      </c>
      <c r="Y243" s="1400" t="str">
        <f>+IF(X243="","",IF(X243&gt;=[15]PARÁMETROS!$J$5,"CUMPLE","NO CUMPLE"))</f>
        <v>CUMPLE</v>
      </c>
      <c r="Z243" s="96"/>
    </row>
    <row r="244" spans="1:26" ht="128.25">
      <c r="A244" s="1615"/>
      <c r="B244" s="1510"/>
      <c r="C244" s="19" t="s">
        <v>310</v>
      </c>
      <c r="D244" s="170">
        <v>18</v>
      </c>
      <c r="E244" s="21" t="s">
        <v>508</v>
      </c>
      <c r="F244" s="22" t="s">
        <v>2123</v>
      </c>
      <c r="G244" s="23" t="s">
        <v>2128</v>
      </c>
      <c r="H244" s="1388" t="s">
        <v>22</v>
      </c>
      <c r="I244" s="1388" t="s">
        <v>129</v>
      </c>
      <c r="J244" s="1388" t="s">
        <v>22</v>
      </c>
      <c r="K244" s="1388" t="s">
        <v>129</v>
      </c>
      <c r="L244" s="24">
        <v>1</v>
      </c>
      <c r="M244" s="25">
        <v>37572</v>
      </c>
      <c r="N244" s="25">
        <v>38330</v>
      </c>
      <c r="O244" s="26">
        <f t="shared" si="30"/>
        <v>2004</v>
      </c>
      <c r="P244" s="27">
        <f>+IFERROR(INDEX([15]PARÁMETROS!$B$11:$B$37,MATCH(O244,[15]PARÁMETROS!$A$11:$A$37,0)),"")</f>
        <v>358000</v>
      </c>
      <c r="Q244" s="28">
        <v>610050.4</v>
      </c>
      <c r="R244" s="29" t="str">
        <f>+R243</f>
        <v>EUROS</v>
      </c>
      <c r="S244" s="19">
        <v>1.29247</v>
      </c>
      <c r="T244" s="30">
        <f>+Q244*S244</f>
        <v>788471.84048800007</v>
      </c>
      <c r="U244" s="31">
        <v>2455.12</v>
      </c>
      <c r="V244" s="27">
        <f>IF(U244&lt;&gt;"",T244*U244,"")</f>
        <v>1935792985.0188987</v>
      </c>
      <c r="W244" s="16">
        <f t="shared" si="32"/>
        <v>5407.2429749131252</v>
      </c>
      <c r="X244" s="16">
        <f t="shared" si="33"/>
        <v>5407.2429749131252</v>
      </c>
      <c r="Y244" s="1388" t="str">
        <f>+IF(X244="","",IF(X244&gt;=[15]PARÁMETROS!$J$5,"CUMPLE","NO CUMPLE"))</f>
        <v>CUMPLE</v>
      </c>
      <c r="Z244" s="97"/>
    </row>
    <row r="245" spans="1:26" ht="57">
      <c r="A245" s="1615"/>
      <c r="B245" s="1510"/>
      <c r="C245" s="19" t="s">
        <v>314</v>
      </c>
      <c r="D245" s="170">
        <v>22</v>
      </c>
      <c r="E245" s="21" t="s">
        <v>146</v>
      </c>
      <c r="F245" s="22" t="s">
        <v>1243</v>
      </c>
      <c r="G245" s="23" t="s">
        <v>2130</v>
      </c>
      <c r="H245" s="1388" t="s">
        <v>22</v>
      </c>
      <c r="I245" s="1388" t="s">
        <v>129</v>
      </c>
      <c r="J245" s="1388" t="s">
        <v>22</v>
      </c>
      <c r="K245" s="1388" t="s">
        <v>129</v>
      </c>
      <c r="L245" s="24">
        <v>0.55000000000000004</v>
      </c>
      <c r="M245" s="25">
        <v>39860</v>
      </c>
      <c r="N245" s="25">
        <v>41213</v>
      </c>
      <c r="O245" s="26">
        <f t="shared" si="30"/>
        <v>2012</v>
      </c>
      <c r="P245" s="27">
        <f>+IFERROR(INDEX([15]PARÁMETROS!$B$11:$B$37,MATCH(O245,[15]PARÁMETROS!$A$11:$A$37,0)),"")</f>
        <v>566700</v>
      </c>
      <c r="Q245" s="28">
        <v>8291206645</v>
      </c>
      <c r="R245" s="29" t="s">
        <v>151</v>
      </c>
      <c r="S245" s="19"/>
      <c r="T245" s="30" t="s">
        <v>326</v>
      </c>
      <c r="U245" s="31">
        <v>1</v>
      </c>
      <c r="V245" s="27">
        <f t="shared" si="31"/>
        <v>8291206645</v>
      </c>
      <c r="W245" s="16">
        <f t="shared" si="32"/>
        <v>14630.680509970001</v>
      </c>
      <c r="X245" s="16">
        <f t="shared" si="33"/>
        <v>8046.874280483501</v>
      </c>
      <c r="Y245" s="1388" t="str">
        <f>+IF(X245="","",IF(X245&gt;=[15]PARÁMETROS!$J$5,"CUMPLE","NO CUMPLE"))</f>
        <v>CUMPLE</v>
      </c>
      <c r="Z245" s="97"/>
    </row>
    <row r="246" spans="1:26" ht="114.75" thickBot="1">
      <c r="A246" s="1615"/>
      <c r="B246" s="1511"/>
      <c r="C246" s="99" t="s">
        <v>314</v>
      </c>
      <c r="D246" s="178">
        <v>27</v>
      </c>
      <c r="E246" s="101" t="s">
        <v>146</v>
      </c>
      <c r="F246" s="366" t="s">
        <v>517</v>
      </c>
      <c r="G246" s="367" t="s">
        <v>2129</v>
      </c>
      <c r="H246" s="1402" t="s">
        <v>22</v>
      </c>
      <c r="I246" s="1392" t="s">
        <v>22</v>
      </c>
      <c r="J246" s="1392" t="s">
        <v>22</v>
      </c>
      <c r="K246" s="1392" t="s">
        <v>129</v>
      </c>
      <c r="L246" s="368">
        <v>0.6</v>
      </c>
      <c r="M246" s="576">
        <v>41649</v>
      </c>
      <c r="N246" s="576">
        <v>42417</v>
      </c>
      <c r="O246" s="106">
        <f t="shared" si="30"/>
        <v>2016</v>
      </c>
      <c r="P246" s="107">
        <f>+IFERROR(INDEX([15]PARÁMETROS!$B$11:$B$37,MATCH(O246,[15]PARÁMETROS!$A$11:$A$37,0)),"")</f>
        <v>689554</v>
      </c>
      <c r="Q246" s="577">
        <v>7329927363</v>
      </c>
      <c r="R246" s="371" t="s">
        <v>151</v>
      </c>
      <c r="S246" s="99"/>
      <c r="T246" s="110" t="s">
        <v>326</v>
      </c>
      <c r="U246" s="111">
        <v>1</v>
      </c>
      <c r="V246" s="107">
        <f t="shared" si="31"/>
        <v>7329927363</v>
      </c>
      <c r="W246" s="112">
        <f t="shared" si="32"/>
        <v>10629.954090615092</v>
      </c>
      <c r="X246" s="112">
        <f t="shared" si="33"/>
        <v>6377.9724543690554</v>
      </c>
      <c r="Y246" s="1392" t="str">
        <f>+IF(X246="","",IF(X246&gt;=[15]PARÁMETROS!$J$5,"CUMPLE","NO CUMPLE"))</f>
        <v>CUMPLE</v>
      </c>
      <c r="Z246" s="124"/>
    </row>
    <row r="247" spans="1:26" ht="63">
      <c r="A247" s="1615"/>
      <c r="B247" s="1605" t="s">
        <v>2443</v>
      </c>
      <c r="C247" s="68" t="s">
        <v>318</v>
      </c>
      <c r="D247" s="185">
        <v>12</v>
      </c>
      <c r="E247" s="70" t="s">
        <v>815</v>
      </c>
      <c r="F247" s="71" t="s">
        <v>2132</v>
      </c>
      <c r="G247" s="72" t="s">
        <v>2133</v>
      </c>
      <c r="H247" s="1394" t="s">
        <v>22</v>
      </c>
      <c r="I247" s="1394" t="s">
        <v>129</v>
      </c>
      <c r="J247" s="1394" t="s">
        <v>22</v>
      </c>
      <c r="K247" s="1394" t="s">
        <v>129</v>
      </c>
      <c r="L247" s="73">
        <v>1</v>
      </c>
      <c r="M247" s="74">
        <v>38049</v>
      </c>
      <c r="N247" s="74">
        <v>40545</v>
      </c>
      <c r="O247" s="116">
        <f t="shared" si="30"/>
        <v>2011</v>
      </c>
      <c r="P247" s="75">
        <f>+IFERROR(INDEX([15]PARÁMETROS!$B$11:$B$37,MATCH(O247,[15]PARÁMETROS!$A$11:$A$37,0)),"")</f>
        <v>535600</v>
      </c>
      <c r="Q247" s="76">
        <v>4478229438</v>
      </c>
      <c r="R247" s="77" t="s">
        <v>174</v>
      </c>
      <c r="S247" s="68">
        <v>2.1199999999999999E-3</v>
      </c>
      <c r="T247" s="78">
        <f>+Q247*S247</f>
        <v>9493846.4085600004</v>
      </c>
      <c r="U247" s="79">
        <f>+'[15]EXP GEN. 6-12'!S255</f>
        <v>0</v>
      </c>
      <c r="V247" s="75">
        <f>IF(U247&lt;&gt;"",T247*U247,"")</f>
        <v>0</v>
      </c>
      <c r="W247" s="80">
        <f>+IFERROR(V247/P247,"")</f>
        <v>0</v>
      </c>
      <c r="X247" s="80">
        <f t="shared" si="33"/>
        <v>0</v>
      </c>
      <c r="Y247" s="1401" t="str">
        <f>+IF(X247="","",IF(X247&gt;=[15]PARÁMETROS!$J$5,"CUMPLE","NO CUMPLE"))</f>
        <v>NO CUMPLE</v>
      </c>
      <c r="Z247" s="122"/>
    </row>
    <row r="248" spans="1:26" ht="63">
      <c r="A248" s="1615"/>
      <c r="B248" s="1510"/>
      <c r="C248" s="19" t="s">
        <v>318</v>
      </c>
      <c r="D248" s="170">
        <v>24</v>
      </c>
      <c r="E248" s="21" t="s">
        <v>815</v>
      </c>
      <c r="F248" s="22" t="s">
        <v>2132</v>
      </c>
      <c r="G248" s="23" t="s">
        <v>2134</v>
      </c>
      <c r="H248" s="1388" t="s">
        <v>22</v>
      </c>
      <c r="I248" s="1388" t="s">
        <v>129</v>
      </c>
      <c r="J248" s="1388" t="s">
        <v>22</v>
      </c>
      <c r="K248" s="1388" t="s">
        <v>129</v>
      </c>
      <c r="L248" s="24">
        <v>0.25</v>
      </c>
      <c r="M248" s="25">
        <v>36363</v>
      </c>
      <c r="N248" s="25">
        <v>37874</v>
      </c>
      <c r="O248" s="26">
        <f t="shared" si="30"/>
        <v>2003</v>
      </c>
      <c r="P248" s="27">
        <f>+IFERROR(INDEX([15]PARÁMETROS!$B$11:$B$37,MATCH(O248,[15]PARÁMETROS!$A$11:$A$37,0)),"")</f>
        <v>332000</v>
      </c>
      <c r="Q248" s="28">
        <v>6541364.1500000004</v>
      </c>
      <c r="R248" s="29" t="s">
        <v>179</v>
      </c>
      <c r="S248" s="19"/>
      <c r="T248" s="30"/>
      <c r="U248" s="31">
        <f>+'[15]EXP GEN. 6-12'!S256</f>
        <v>0</v>
      </c>
      <c r="V248" s="27">
        <f t="shared" si="31"/>
        <v>0</v>
      </c>
      <c r="W248" s="16">
        <f t="shared" si="32"/>
        <v>0</v>
      </c>
      <c r="X248" s="16">
        <f t="shared" si="33"/>
        <v>0</v>
      </c>
      <c r="Y248" s="1388" t="str">
        <f>+IF(X248="","",IF(X248&gt;=[15]PARÁMETROS!$J$5,"CUMPLE","NO CUMPLE"))</f>
        <v>NO CUMPLE</v>
      </c>
      <c r="Z248" s="97"/>
    </row>
    <row r="249" spans="1:26" ht="71.25">
      <c r="A249" s="1615"/>
      <c r="B249" s="1510"/>
      <c r="C249" s="19" t="s">
        <v>318</v>
      </c>
      <c r="D249" s="170">
        <v>33</v>
      </c>
      <c r="E249" s="21" t="s">
        <v>815</v>
      </c>
      <c r="F249" s="22" t="s">
        <v>147</v>
      </c>
      <c r="G249" s="23" t="s">
        <v>2444</v>
      </c>
      <c r="H249" s="1388" t="s">
        <v>22</v>
      </c>
      <c r="I249" s="1388" t="s">
        <v>22</v>
      </c>
      <c r="J249" s="1388" t="s">
        <v>22</v>
      </c>
      <c r="K249" s="1388" t="s">
        <v>129</v>
      </c>
      <c r="L249" s="24">
        <v>0.6</v>
      </c>
      <c r="M249" s="25">
        <v>41187</v>
      </c>
      <c r="N249" s="25">
        <v>42709</v>
      </c>
      <c r="O249" s="26">
        <f t="shared" si="30"/>
        <v>2016</v>
      </c>
      <c r="P249" s="625">
        <f>+IFERROR(INDEX([15]PARÁMETROS!$B$11:$B$37,MATCH(O249,[15]PARÁMETROS!$A$11:$A$37,0)),"")</f>
        <v>689554</v>
      </c>
      <c r="Q249" s="28">
        <v>8056734037</v>
      </c>
      <c r="R249" s="29" t="s">
        <v>151</v>
      </c>
      <c r="S249" s="19"/>
      <c r="T249" s="30" t="s">
        <v>326</v>
      </c>
      <c r="U249" s="31">
        <v>1</v>
      </c>
      <c r="V249" s="27">
        <f t="shared" si="31"/>
        <v>8056734037</v>
      </c>
      <c r="W249" s="16">
        <f>+IFERROR(V249/P249,"")</f>
        <v>11683.978393280295</v>
      </c>
      <c r="X249" s="16">
        <f t="shared" si="33"/>
        <v>7010.3870359681769</v>
      </c>
      <c r="Y249" s="1388" t="str">
        <f>+IF(X249="","",IF(X249&gt;=[15]PARÁMETROS!$J$5,"CUMPLE","NO CUMPLE"))</f>
        <v>CUMPLE</v>
      </c>
      <c r="Z249" s="97"/>
    </row>
    <row r="250" spans="1:26" ht="63.75" thickBot="1">
      <c r="A250" s="1615"/>
      <c r="B250" s="1510"/>
      <c r="C250" s="19" t="s">
        <v>318</v>
      </c>
      <c r="D250" s="170">
        <v>38</v>
      </c>
      <c r="E250" s="21" t="s">
        <v>815</v>
      </c>
      <c r="F250" s="22" t="s">
        <v>2132</v>
      </c>
      <c r="G250" s="23" t="s">
        <v>2445</v>
      </c>
      <c r="H250" s="1388" t="s">
        <v>22</v>
      </c>
      <c r="I250" s="1388" t="s">
        <v>129</v>
      </c>
      <c r="J250" s="1388" t="s">
        <v>22</v>
      </c>
      <c r="K250" s="1388" t="s">
        <v>129</v>
      </c>
      <c r="L250" s="24">
        <v>1</v>
      </c>
      <c r="M250" s="25">
        <v>37211</v>
      </c>
      <c r="N250" s="25">
        <v>38122</v>
      </c>
      <c r="O250" s="26">
        <f t="shared" si="30"/>
        <v>2004</v>
      </c>
      <c r="P250" s="27">
        <f>+IFERROR(INDEX([15]PARÁMETROS!$B$11:$B$37,MATCH(O250,[15]PARÁMETROS!$A$11:$A$37,0)),"")</f>
        <v>358000</v>
      </c>
      <c r="Q250" s="28">
        <v>1728499075</v>
      </c>
      <c r="R250" s="29" t="s">
        <v>174</v>
      </c>
      <c r="S250" s="19">
        <v>1.5499999999999999E-3</v>
      </c>
      <c r="T250" s="30">
        <f>+Q250*S250</f>
        <v>2679173.5662499997</v>
      </c>
      <c r="U250" s="31">
        <v>2719.89</v>
      </c>
      <c r="V250" s="27">
        <f>IF(U250&lt;&gt;"",T250*U250,"")</f>
        <v>7287057391.1077108</v>
      </c>
      <c r="W250" s="16">
        <f t="shared" si="32"/>
        <v>20354.908913708688</v>
      </c>
      <c r="X250" s="16">
        <f t="shared" si="33"/>
        <v>20354.908913708688</v>
      </c>
      <c r="Y250" s="1392" t="str">
        <f>+IF(X250="","",IF(X250&gt;=[15]PARÁMETROS!$J$5,"CUMPLE","NO CUMPLE"))</f>
        <v>CUMPLE</v>
      </c>
      <c r="Z250" s="97"/>
    </row>
    <row r="251" spans="1:26" ht="57">
      <c r="A251" s="1615"/>
      <c r="B251" s="1509" t="s">
        <v>2138</v>
      </c>
      <c r="C251" s="81" t="s">
        <v>329</v>
      </c>
      <c r="D251" s="82">
        <v>4</v>
      </c>
      <c r="E251" s="83" t="s">
        <v>1099</v>
      </c>
      <c r="F251" s="84" t="s">
        <v>1793</v>
      </c>
      <c r="G251" s="85" t="s">
        <v>2446</v>
      </c>
      <c r="H251" s="1393" t="s">
        <v>22</v>
      </c>
      <c r="I251" s="1393" t="s">
        <v>129</v>
      </c>
      <c r="J251" s="1393" t="s">
        <v>22</v>
      </c>
      <c r="K251" s="1393" t="s">
        <v>129</v>
      </c>
      <c r="L251" s="86">
        <v>1</v>
      </c>
      <c r="M251" s="87">
        <v>39062</v>
      </c>
      <c r="N251" s="87">
        <v>40476</v>
      </c>
      <c r="O251" s="88">
        <f>IF(N251="","",YEAR(N251))</f>
        <v>2010</v>
      </c>
      <c r="P251" s="89">
        <f>+IFERROR(INDEX([16]PARÁMETROS!$B$11:$B$37,MATCH(O251,[16]PARÁMETROS!$A$11:$A$37,0)),"")</f>
        <v>515000</v>
      </c>
      <c r="Q251" s="90">
        <v>2398644428</v>
      </c>
      <c r="R251" s="91" t="s">
        <v>151</v>
      </c>
      <c r="S251" s="81" t="s">
        <v>326</v>
      </c>
      <c r="T251" s="92" t="s">
        <v>326</v>
      </c>
      <c r="U251" s="93">
        <v>1</v>
      </c>
      <c r="V251" s="89">
        <f>IF(U251&lt;&gt;"",Q251*U251,"")</f>
        <v>2398644428</v>
      </c>
      <c r="W251" s="94">
        <f>+IFERROR(V251/P251,"")</f>
        <v>4657.5619961165048</v>
      </c>
      <c r="X251" s="94">
        <f>IFERROR(W251*L251,"")</f>
        <v>4657.5619961165048</v>
      </c>
      <c r="Y251" s="1400" t="str">
        <f>+IF(X251="","",IF(X251&gt;=[16]PARÁMETROS!$J$5,"CUMPLE","NO CUMPLE"))</f>
        <v>CUMPLE</v>
      </c>
      <c r="Z251" s="96"/>
    </row>
    <row r="252" spans="1:26" ht="99.75">
      <c r="A252" s="1615"/>
      <c r="B252" s="1510"/>
      <c r="C252" s="19" t="s">
        <v>329</v>
      </c>
      <c r="D252" s="20">
        <v>30</v>
      </c>
      <c r="E252" s="21" t="s">
        <v>1099</v>
      </c>
      <c r="F252" s="22" t="s">
        <v>1005</v>
      </c>
      <c r="G252" s="22" t="s">
        <v>2447</v>
      </c>
      <c r="H252" s="1388" t="s">
        <v>22</v>
      </c>
      <c r="I252" s="1388" t="s">
        <v>22</v>
      </c>
      <c r="J252" s="1388" t="s">
        <v>22</v>
      </c>
      <c r="K252" s="1388" t="s">
        <v>129</v>
      </c>
      <c r="L252" s="34">
        <v>0.2</v>
      </c>
      <c r="M252" s="25">
        <v>40567</v>
      </c>
      <c r="N252" s="25">
        <v>42402</v>
      </c>
      <c r="O252" s="26">
        <f t="shared" ref="O252:O278" si="36">IF(N252="","",YEAR(N252))</f>
        <v>2016</v>
      </c>
      <c r="P252" s="27">
        <f>+IFERROR(INDEX([16]PARÁMETROS!$B$11:$B$37,MATCH(O252,[16]PARÁMETROS!$A$11:$A$37,0)),"")</f>
        <v>689554</v>
      </c>
      <c r="Q252" s="35">
        <v>44197795294</v>
      </c>
      <c r="R252" s="27" t="s">
        <v>151</v>
      </c>
      <c r="S252" s="19" t="s">
        <v>326</v>
      </c>
      <c r="T252" s="30" t="s">
        <v>326</v>
      </c>
      <c r="U252" s="31">
        <v>1</v>
      </c>
      <c r="V252" s="27">
        <f t="shared" ref="V252:V278" si="37">IF(U252&lt;&gt;"",Q252*U252,"")</f>
        <v>44197795294</v>
      </c>
      <c r="W252" s="16">
        <f t="shared" ref="W252:W278" si="38">+IFERROR(V252/P252,"")</f>
        <v>64096.206089733365</v>
      </c>
      <c r="X252" s="16">
        <f t="shared" ref="X252:X278" si="39">IFERROR(W252*L252,"")</f>
        <v>12819.241217946674</v>
      </c>
      <c r="Y252" s="1388" t="str">
        <f>+IF(X252="","",IF(X252&gt;=[16]PARÁMETROS!$J$5,"CUMPLE","NO CUMPLE"))</f>
        <v>CUMPLE</v>
      </c>
      <c r="Z252" s="97"/>
    </row>
    <row r="253" spans="1:26" ht="71.25">
      <c r="A253" s="1615"/>
      <c r="B253" s="1510"/>
      <c r="C253" s="19" t="s">
        <v>329</v>
      </c>
      <c r="D253" s="20">
        <v>45</v>
      </c>
      <c r="E253" s="21" t="s">
        <v>1099</v>
      </c>
      <c r="F253" s="22" t="s">
        <v>2448</v>
      </c>
      <c r="G253" s="23" t="s">
        <v>2449</v>
      </c>
      <c r="H253" s="1388" t="s">
        <v>22</v>
      </c>
      <c r="I253" s="1388" t="s">
        <v>129</v>
      </c>
      <c r="J253" s="1388" t="s">
        <v>22</v>
      </c>
      <c r="K253" s="1388" t="s">
        <v>129</v>
      </c>
      <c r="L253" s="24">
        <v>1</v>
      </c>
      <c r="M253" s="25">
        <v>41464</v>
      </c>
      <c r="N253" s="25">
        <v>42035</v>
      </c>
      <c r="O253" s="26">
        <f t="shared" si="36"/>
        <v>2015</v>
      </c>
      <c r="P253" s="27">
        <f>+IFERROR(INDEX([16]PARÁMETROS!$B$11:$B$37,MATCH(O253,[16]PARÁMETROS!$A$11:$A$37,0)),"")</f>
        <v>644350</v>
      </c>
      <c r="Q253" s="28">
        <v>2360705616</v>
      </c>
      <c r="R253" s="29" t="s">
        <v>151</v>
      </c>
      <c r="S253" s="19" t="s">
        <v>326</v>
      </c>
      <c r="T253" s="30" t="s">
        <v>326</v>
      </c>
      <c r="U253" s="31">
        <v>1</v>
      </c>
      <c r="V253" s="27">
        <f t="shared" si="37"/>
        <v>2360705616</v>
      </c>
      <c r="W253" s="16">
        <f t="shared" si="38"/>
        <v>3663.7008085667726</v>
      </c>
      <c r="X253" s="16">
        <f t="shared" si="39"/>
        <v>3663.7008085667726</v>
      </c>
      <c r="Y253" s="1388" t="str">
        <f>+IF(X253="","",IF(X253&gt;=[16]PARÁMETROS!$J$5,"CUMPLE","NO CUMPLE"))</f>
        <v>CUMPLE</v>
      </c>
      <c r="Z253" s="98"/>
    </row>
    <row r="254" spans="1:26" ht="171.75" thickBot="1">
      <c r="A254" s="1615"/>
      <c r="B254" s="1511"/>
      <c r="C254" s="99" t="s">
        <v>329</v>
      </c>
      <c r="D254" s="123">
        <v>116</v>
      </c>
      <c r="E254" s="101" t="s">
        <v>1099</v>
      </c>
      <c r="F254" s="102" t="s">
        <v>1005</v>
      </c>
      <c r="G254" s="103" t="s">
        <v>2450</v>
      </c>
      <c r="H254" s="1392" t="s">
        <v>22</v>
      </c>
      <c r="I254" s="1392" t="s">
        <v>22</v>
      </c>
      <c r="J254" s="1392" t="s">
        <v>22</v>
      </c>
      <c r="K254" s="1392" t="s">
        <v>129</v>
      </c>
      <c r="L254" s="104">
        <v>0.33329999999999999</v>
      </c>
      <c r="M254" s="105">
        <v>41015</v>
      </c>
      <c r="N254" s="105">
        <v>42040</v>
      </c>
      <c r="O254" s="106">
        <f t="shared" si="36"/>
        <v>2015</v>
      </c>
      <c r="P254" s="107">
        <f>+IFERROR(INDEX([16]PARÁMETROS!$B$11:$B$37,MATCH(O254,[16]PARÁMETROS!$A$11:$A$37,0)),"")</f>
        <v>644350</v>
      </c>
      <c r="Q254" s="108">
        <v>35612578709</v>
      </c>
      <c r="R254" s="109" t="s">
        <v>151</v>
      </c>
      <c r="S254" s="99" t="s">
        <v>326</v>
      </c>
      <c r="T254" s="110" t="s">
        <v>326</v>
      </c>
      <c r="U254" s="111">
        <v>1</v>
      </c>
      <c r="V254" s="107">
        <f t="shared" si="37"/>
        <v>35612578709</v>
      </c>
      <c r="W254" s="112">
        <f t="shared" si="38"/>
        <v>55268.997763637773</v>
      </c>
      <c r="X254" s="112">
        <f t="shared" si="39"/>
        <v>18421.15695462047</v>
      </c>
      <c r="Y254" s="1388" t="str">
        <f>+IF(X254="","",IF(X254&gt;=[16]PARÁMETROS!$J$5,"CUMPLE","NO CUMPLE"))</f>
        <v>CUMPLE</v>
      </c>
      <c r="Z254" s="124" t="s">
        <v>2171</v>
      </c>
    </row>
    <row r="255" spans="1:26" ht="78.75">
      <c r="A255" s="1615"/>
      <c r="B255" s="1605" t="s">
        <v>2147</v>
      </c>
      <c r="C255" s="68" t="s">
        <v>340</v>
      </c>
      <c r="D255" s="69">
        <v>7</v>
      </c>
      <c r="E255" s="70" t="s">
        <v>2148</v>
      </c>
      <c r="F255" s="71" t="s">
        <v>1005</v>
      </c>
      <c r="G255" s="72" t="s">
        <v>2451</v>
      </c>
      <c r="H255" s="1394" t="s">
        <v>22</v>
      </c>
      <c r="I255" s="1394" t="s">
        <v>22</v>
      </c>
      <c r="J255" s="1394" t="s">
        <v>22</v>
      </c>
      <c r="K255" s="1394" t="s">
        <v>129</v>
      </c>
      <c r="L255" s="73">
        <v>1</v>
      </c>
      <c r="M255" s="74">
        <v>37186</v>
      </c>
      <c r="N255" s="74">
        <v>38373</v>
      </c>
      <c r="O255" s="116">
        <f t="shared" si="36"/>
        <v>2005</v>
      </c>
      <c r="P255" s="75">
        <f>+IFERROR(INDEX([16]PARÁMETROS!$B$11:$B$37,MATCH(O255,[16]PARÁMETROS!$A$11:$A$37,0)),"")</f>
        <v>381500</v>
      </c>
      <c r="Q255" s="76">
        <v>1577666575</v>
      </c>
      <c r="R255" s="77" t="s">
        <v>151</v>
      </c>
      <c r="S255" s="68" t="s">
        <v>326</v>
      </c>
      <c r="T255" s="78" t="s">
        <v>326</v>
      </c>
      <c r="U255" s="79">
        <v>1</v>
      </c>
      <c r="V255" s="75">
        <f t="shared" si="37"/>
        <v>1577666575</v>
      </c>
      <c r="W255" s="80">
        <f t="shared" si="38"/>
        <v>4135.4300786369595</v>
      </c>
      <c r="X255" s="80">
        <f t="shared" si="39"/>
        <v>4135.4300786369595</v>
      </c>
      <c r="Y255" s="1388" t="str">
        <f>+IF(X255="","",IF(X255&gt;=[16]PARÁMETROS!$J$5,"CUMPLE","NO CUMPLE"))</f>
        <v>CUMPLE</v>
      </c>
      <c r="Z255" s="122"/>
    </row>
    <row r="256" spans="1:26" ht="78.75">
      <c r="A256" s="1615"/>
      <c r="B256" s="1510"/>
      <c r="C256" s="19" t="s">
        <v>340</v>
      </c>
      <c r="D256" s="36">
        <v>11</v>
      </c>
      <c r="E256" s="21" t="s">
        <v>2148</v>
      </c>
      <c r="F256" s="22" t="s">
        <v>1005</v>
      </c>
      <c r="G256" s="23" t="s">
        <v>2452</v>
      </c>
      <c r="H256" s="1388" t="s">
        <v>22</v>
      </c>
      <c r="I256" s="1388" t="s">
        <v>22</v>
      </c>
      <c r="J256" s="1388" t="s">
        <v>22</v>
      </c>
      <c r="K256" s="1388" t="s">
        <v>129</v>
      </c>
      <c r="L256" s="24">
        <v>0.9</v>
      </c>
      <c r="M256" s="25">
        <v>38385</v>
      </c>
      <c r="N256" s="25">
        <v>39814</v>
      </c>
      <c r="O256" s="26">
        <f t="shared" si="36"/>
        <v>2009</v>
      </c>
      <c r="P256" s="27">
        <f>+IFERROR(INDEX([16]PARÁMETROS!$B$11:$B$37,MATCH(O256,[16]PARÁMETROS!$A$11:$A$37,0)),"")</f>
        <v>496900</v>
      </c>
      <c r="Q256" s="28">
        <v>2250917484</v>
      </c>
      <c r="R256" s="29" t="s">
        <v>151</v>
      </c>
      <c r="S256" s="19" t="s">
        <v>326</v>
      </c>
      <c r="T256" s="30" t="s">
        <v>326</v>
      </c>
      <c r="U256" s="31">
        <v>1</v>
      </c>
      <c r="V256" s="27">
        <f t="shared" si="37"/>
        <v>2250917484</v>
      </c>
      <c r="W256" s="16">
        <f t="shared" si="38"/>
        <v>4529.9204749446571</v>
      </c>
      <c r="X256" s="16">
        <f t="shared" si="39"/>
        <v>4076.9284274501915</v>
      </c>
      <c r="Y256" s="1388" t="str">
        <f>+IF(X256="","",IF(X256&gt;=[16]PARÁMETROS!$J$5,"CUMPLE","NO CUMPLE"))</f>
        <v>CUMPLE</v>
      </c>
      <c r="Z256" s="97" t="s">
        <v>2453</v>
      </c>
    </row>
    <row r="257" spans="1:26" ht="78.75">
      <c r="A257" s="1615"/>
      <c r="B257" s="1510"/>
      <c r="C257" s="19" t="s">
        <v>340</v>
      </c>
      <c r="D257" s="36">
        <v>16</v>
      </c>
      <c r="E257" s="21" t="s">
        <v>2148</v>
      </c>
      <c r="F257" s="22" t="s">
        <v>2160</v>
      </c>
      <c r="G257" s="23" t="s">
        <v>2454</v>
      </c>
      <c r="H257" s="1388" t="s">
        <v>22</v>
      </c>
      <c r="I257" s="1388" t="s">
        <v>129</v>
      </c>
      <c r="J257" s="1388" t="s">
        <v>22</v>
      </c>
      <c r="K257" s="1388" t="s">
        <v>129</v>
      </c>
      <c r="L257" s="24">
        <v>1</v>
      </c>
      <c r="M257" s="25">
        <v>38749</v>
      </c>
      <c r="N257" s="25">
        <v>39692</v>
      </c>
      <c r="O257" s="26">
        <f t="shared" si="36"/>
        <v>2008</v>
      </c>
      <c r="P257" s="27">
        <f>+IFERROR(INDEX([16]PARÁMETROS!$B$11:$B$37,MATCH(O257,[16]PARÁMETROS!$A$11:$A$37,0)),"")</f>
        <v>461500</v>
      </c>
      <c r="Q257" s="28">
        <v>2962992031</v>
      </c>
      <c r="R257" s="29" t="s">
        <v>151</v>
      </c>
      <c r="S257" s="19" t="s">
        <v>326</v>
      </c>
      <c r="T257" s="30" t="s">
        <v>326</v>
      </c>
      <c r="U257" s="31">
        <v>1</v>
      </c>
      <c r="V257" s="27">
        <f t="shared" si="37"/>
        <v>2962992031</v>
      </c>
      <c r="W257" s="16">
        <f t="shared" si="38"/>
        <v>6420.3510964247016</v>
      </c>
      <c r="X257" s="16">
        <f t="shared" si="39"/>
        <v>6420.3510964247016</v>
      </c>
      <c r="Y257" s="1388" t="str">
        <f>+IF(X257="","",IF(X257&gt;=[16]PARÁMETROS!$J$5,"CUMPLE","NO CUMPLE"))</f>
        <v>CUMPLE</v>
      </c>
      <c r="Z257" s="97"/>
    </row>
    <row r="258" spans="1:26" ht="63.75" thickBot="1">
      <c r="A258" s="1615"/>
      <c r="B258" s="1510"/>
      <c r="C258" s="19" t="s">
        <v>347</v>
      </c>
      <c r="D258" s="36">
        <v>19</v>
      </c>
      <c r="E258" s="21" t="s">
        <v>2150</v>
      </c>
      <c r="F258" s="22" t="s">
        <v>2151</v>
      </c>
      <c r="G258" s="23" t="s">
        <v>2455</v>
      </c>
      <c r="H258" s="1388" t="s">
        <v>22</v>
      </c>
      <c r="I258" s="1388" t="s">
        <v>129</v>
      </c>
      <c r="J258" s="1388" t="s">
        <v>22</v>
      </c>
      <c r="K258" s="1388" t="s">
        <v>129</v>
      </c>
      <c r="L258" s="24">
        <v>1</v>
      </c>
      <c r="M258" s="25">
        <v>41295</v>
      </c>
      <c r="N258" s="25">
        <v>41841</v>
      </c>
      <c r="O258" s="26">
        <f t="shared" si="36"/>
        <v>2014</v>
      </c>
      <c r="P258" s="27">
        <f>+IFERROR(INDEX([16]PARÁMETROS!$B$11:$B$37,MATCH(O258,[16]PARÁMETROS!$A$11:$A$37,0)),"")</f>
        <v>616000</v>
      </c>
      <c r="Q258" s="28">
        <v>3203004883</v>
      </c>
      <c r="R258" s="29" t="s">
        <v>151</v>
      </c>
      <c r="S258" s="19" t="s">
        <v>326</v>
      </c>
      <c r="T258" s="30" t="s">
        <v>326</v>
      </c>
      <c r="U258" s="31">
        <v>1</v>
      </c>
      <c r="V258" s="27">
        <f t="shared" si="37"/>
        <v>3203004883</v>
      </c>
      <c r="W258" s="16">
        <f t="shared" si="38"/>
        <v>5199.6832516233762</v>
      </c>
      <c r="X258" s="16">
        <f t="shared" si="39"/>
        <v>5199.6832516233762</v>
      </c>
      <c r="Y258" s="1388" t="str">
        <f>+IF(X258="","",IF(X258&gt;=[16]PARÁMETROS!$J$5,"CUMPLE","NO CUMPLE"))</f>
        <v>CUMPLE</v>
      </c>
      <c r="Z258" s="97"/>
    </row>
    <row r="259" spans="1:26" ht="85.5">
      <c r="A259" s="1615"/>
      <c r="B259" s="1509" t="s">
        <v>2153</v>
      </c>
      <c r="C259" s="81" t="s">
        <v>350</v>
      </c>
      <c r="D259" s="114">
        <v>6</v>
      </c>
      <c r="E259" s="83" t="s">
        <v>2154</v>
      </c>
      <c r="F259" s="84" t="s">
        <v>255</v>
      </c>
      <c r="G259" s="85" t="s">
        <v>2155</v>
      </c>
      <c r="H259" s="1393" t="s">
        <v>22</v>
      </c>
      <c r="I259" s="1393" t="s">
        <v>129</v>
      </c>
      <c r="J259" s="1393" t="s">
        <v>22</v>
      </c>
      <c r="K259" s="1393" t="s">
        <v>129</v>
      </c>
      <c r="L259" s="86">
        <v>1</v>
      </c>
      <c r="M259" s="87">
        <v>38929</v>
      </c>
      <c r="N259" s="87">
        <v>39553</v>
      </c>
      <c r="O259" s="88">
        <f t="shared" si="36"/>
        <v>2008</v>
      </c>
      <c r="P259" s="89">
        <f>+IFERROR(INDEX([16]PARÁMETROS!$B$11:$B$37,MATCH(O259,[16]PARÁMETROS!$A$11:$A$37,0)),"")</f>
        <v>461500</v>
      </c>
      <c r="Q259" s="90">
        <v>3010928835</v>
      </c>
      <c r="R259" s="91" t="s">
        <v>151</v>
      </c>
      <c r="S259" s="81" t="s">
        <v>326</v>
      </c>
      <c r="T259" s="92" t="s">
        <v>326</v>
      </c>
      <c r="U259" s="93">
        <v>1</v>
      </c>
      <c r="V259" s="89">
        <f t="shared" si="37"/>
        <v>3010928835</v>
      </c>
      <c r="W259" s="94">
        <f t="shared" si="38"/>
        <v>6524.2228277356444</v>
      </c>
      <c r="X259" s="94">
        <f t="shared" si="39"/>
        <v>6524.2228277356444</v>
      </c>
      <c r="Y259" s="1388" t="str">
        <f>+IF(X259="","",IF(X259&gt;=[16]PARÁMETROS!$J$5,"CUMPLE","NO CUMPLE"))</f>
        <v>CUMPLE</v>
      </c>
      <c r="Z259" s="96"/>
    </row>
    <row r="260" spans="1:26" ht="99.75">
      <c r="A260" s="1615"/>
      <c r="B260" s="1510"/>
      <c r="C260" s="19" t="s">
        <v>350</v>
      </c>
      <c r="D260" s="36">
        <v>9</v>
      </c>
      <c r="E260" s="21" t="s">
        <v>2154</v>
      </c>
      <c r="F260" s="22" t="s">
        <v>1005</v>
      </c>
      <c r="G260" s="22" t="s">
        <v>2156</v>
      </c>
      <c r="H260" s="1388" t="s">
        <v>22</v>
      </c>
      <c r="I260" s="1388" t="s">
        <v>22</v>
      </c>
      <c r="J260" s="1388" t="s">
        <v>22</v>
      </c>
      <c r="K260" s="1388" t="s">
        <v>129</v>
      </c>
      <c r="L260" s="34">
        <v>0.83499999999999996</v>
      </c>
      <c r="M260" s="25">
        <v>38337</v>
      </c>
      <c r="N260" s="25">
        <v>41440</v>
      </c>
      <c r="O260" s="26">
        <f t="shared" si="36"/>
        <v>2013</v>
      </c>
      <c r="P260" s="27">
        <f>+IFERROR(INDEX([16]PARÁMETROS!$B$11:$B$37,MATCH(O260,[16]PARÁMETROS!$A$11:$A$37,0)),"")</f>
        <v>589500</v>
      </c>
      <c r="Q260" s="35">
        <v>9865877743</v>
      </c>
      <c r="R260" s="27" t="s">
        <v>151</v>
      </c>
      <c r="S260" s="19" t="s">
        <v>326</v>
      </c>
      <c r="T260" s="30" t="s">
        <v>326</v>
      </c>
      <c r="U260" s="31">
        <v>1</v>
      </c>
      <c r="V260" s="27">
        <f t="shared" si="37"/>
        <v>9865877743</v>
      </c>
      <c r="W260" s="16">
        <f t="shared" si="38"/>
        <v>16736.009742154369</v>
      </c>
      <c r="X260" s="16">
        <f t="shared" si="39"/>
        <v>13974.568134698897</v>
      </c>
      <c r="Y260" s="1388" t="str">
        <f>+IF(X260="","",IF(X260&gt;=[16]PARÁMETROS!$J$5,"CUMPLE","NO CUMPLE"))</f>
        <v>CUMPLE</v>
      </c>
      <c r="Z260" s="97"/>
    </row>
    <row r="261" spans="1:26" ht="42.75">
      <c r="A261" s="1615"/>
      <c r="B261" s="1510"/>
      <c r="C261" s="19" t="s">
        <v>350</v>
      </c>
      <c r="D261" s="36">
        <v>12</v>
      </c>
      <c r="E261" s="21" t="s">
        <v>2154</v>
      </c>
      <c r="F261" s="22" t="s">
        <v>155</v>
      </c>
      <c r="G261" s="23" t="s">
        <v>2456</v>
      </c>
      <c r="H261" s="1388" t="s">
        <v>22</v>
      </c>
      <c r="I261" s="1388" t="s">
        <v>129</v>
      </c>
      <c r="J261" s="1388" t="s">
        <v>22</v>
      </c>
      <c r="K261" s="1388" t="s">
        <v>129</v>
      </c>
      <c r="L261" s="24">
        <v>0.7</v>
      </c>
      <c r="M261" s="25">
        <v>41562</v>
      </c>
      <c r="N261" s="25">
        <v>42200</v>
      </c>
      <c r="O261" s="26">
        <f t="shared" si="36"/>
        <v>2015</v>
      </c>
      <c r="P261" s="27">
        <f>+IFERROR(INDEX([16]PARÁMETROS!$B$11:$B$37,MATCH(O261,[16]PARÁMETROS!$A$11:$A$37,0)),"")</f>
        <v>644350</v>
      </c>
      <c r="Q261" s="28">
        <v>4424310452</v>
      </c>
      <c r="R261" s="29" t="s">
        <v>151</v>
      </c>
      <c r="S261" s="19" t="s">
        <v>326</v>
      </c>
      <c r="T261" s="30" t="s">
        <v>326</v>
      </c>
      <c r="U261" s="31">
        <v>1</v>
      </c>
      <c r="V261" s="27">
        <f t="shared" si="37"/>
        <v>4424310452</v>
      </c>
      <c r="W261" s="16">
        <f t="shared" si="38"/>
        <v>6866.3155924575158</v>
      </c>
      <c r="X261" s="16">
        <f t="shared" si="39"/>
        <v>4806.420914720261</v>
      </c>
      <c r="Y261" s="1388" t="str">
        <f>+IF(X261="","",IF(X261&gt;=[16]PARÁMETROS!$J$5,"CUMPLE","NO CUMPLE"))</f>
        <v>CUMPLE</v>
      </c>
      <c r="Z261" s="97" t="s">
        <v>2457</v>
      </c>
    </row>
    <row r="262" spans="1:26" ht="79.5" thickBot="1">
      <c r="A262" s="1615"/>
      <c r="B262" s="1510"/>
      <c r="C262" s="19" t="s">
        <v>350</v>
      </c>
      <c r="D262" s="36">
        <v>19</v>
      </c>
      <c r="E262" s="21" t="s">
        <v>2154</v>
      </c>
      <c r="F262" s="22" t="s">
        <v>1793</v>
      </c>
      <c r="G262" s="37" t="s">
        <v>2157</v>
      </c>
      <c r="H262" s="1388" t="s">
        <v>22</v>
      </c>
      <c r="I262" s="1388" t="s">
        <v>22</v>
      </c>
      <c r="J262" s="1388" t="s">
        <v>22</v>
      </c>
      <c r="K262" s="1388" t="s">
        <v>129</v>
      </c>
      <c r="L262" s="24">
        <v>1</v>
      </c>
      <c r="M262" s="25">
        <v>39148</v>
      </c>
      <c r="N262" s="25">
        <v>40072</v>
      </c>
      <c r="O262" s="26">
        <f t="shared" si="36"/>
        <v>2009</v>
      </c>
      <c r="P262" s="27">
        <f>+IFERROR(INDEX([16]PARÁMETROS!$B$11:$B$37,MATCH(O262,[16]PARÁMETROS!$A$11:$A$37,0)),"")</f>
        <v>496900</v>
      </c>
      <c r="Q262" s="28">
        <f>1690448539+901877829</f>
        <v>2592326368</v>
      </c>
      <c r="R262" s="29" t="s">
        <v>151</v>
      </c>
      <c r="S262" s="19" t="s">
        <v>326</v>
      </c>
      <c r="T262" s="30" t="s">
        <v>326</v>
      </c>
      <c r="U262" s="31">
        <v>1</v>
      </c>
      <c r="V262" s="27">
        <f t="shared" si="37"/>
        <v>2592326368</v>
      </c>
      <c r="W262" s="16">
        <f t="shared" si="38"/>
        <v>5216.9981243711009</v>
      </c>
      <c r="X262" s="16">
        <f t="shared" si="39"/>
        <v>5216.9981243711009</v>
      </c>
      <c r="Y262" s="1388" t="str">
        <f>+IF(X262="","",IF(X262&gt;=[16]PARÁMETROS!$J$5,"CUMPLE","NO CUMPLE"))</f>
        <v>CUMPLE</v>
      </c>
      <c r="Z262" s="97"/>
    </row>
    <row r="263" spans="1:26" ht="57">
      <c r="A263" s="1615"/>
      <c r="B263" s="1509" t="s">
        <v>2158</v>
      </c>
      <c r="C263" s="81" t="s">
        <v>364</v>
      </c>
      <c r="D263" s="114">
        <v>84</v>
      </c>
      <c r="E263" s="83" t="s">
        <v>2166</v>
      </c>
      <c r="F263" s="84" t="s">
        <v>155</v>
      </c>
      <c r="G263" s="85" t="s">
        <v>2167</v>
      </c>
      <c r="H263" s="1393" t="s">
        <v>22</v>
      </c>
      <c r="I263" s="1393" t="s">
        <v>129</v>
      </c>
      <c r="J263" s="1393" t="s">
        <v>22</v>
      </c>
      <c r="K263" s="1393" t="s">
        <v>129</v>
      </c>
      <c r="L263" s="86">
        <v>0.2</v>
      </c>
      <c r="M263" s="87">
        <v>40079</v>
      </c>
      <c r="N263" s="87">
        <v>42094</v>
      </c>
      <c r="O263" s="88">
        <f t="shared" si="36"/>
        <v>2015</v>
      </c>
      <c r="P263" s="89">
        <f>+IFERROR(INDEX([16]PARÁMETROS!$B$11:$B$37,MATCH(O263,[16]PARÁMETROS!$A$11:$A$37,0)),"")</f>
        <v>644350</v>
      </c>
      <c r="Q263" s="90">
        <v>14008976863</v>
      </c>
      <c r="R263" s="91" t="s">
        <v>151</v>
      </c>
      <c r="S263" s="81" t="s">
        <v>326</v>
      </c>
      <c r="T263" s="92" t="s">
        <v>326</v>
      </c>
      <c r="U263" s="93">
        <v>1</v>
      </c>
      <c r="V263" s="89">
        <f t="shared" si="37"/>
        <v>14008976863</v>
      </c>
      <c r="W263" s="94">
        <f t="shared" si="38"/>
        <v>21741.253764258556</v>
      </c>
      <c r="X263" s="94">
        <f t="shared" si="39"/>
        <v>4348.2507528517117</v>
      </c>
      <c r="Y263" s="1388" t="str">
        <f>+IF(X263="","",IF(X263&gt;=[16]PARÁMETROS!$J$5,"CUMPLE","NO CUMPLE"))</f>
        <v>CUMPLE</v>
      </c>
      <c r="Z263" s="96"/>
    </row>
    <row r="264" spans="1:26" ht="42.75">
      <c r="A264" s="1615"/>
      <c r="B264" s="1510"/>
      <c r="C264" s="19" t="s">
        <v>368</v>
      </c>
      <c r="D264" s="36">
        <v>8</v>
      </c>
      <c r="E264" s="21" t="s">
        <v>2159</v>
      </c>
      <c r="F264" s="22" t="s">
        <v>2162</v>
      </c>
      <c r="G264" s="23" t="s">
        <v>2163</v>
      </c>
      <c r="H264" s="1388" t="s">
        <v>22</v>
      </c>
      <c r="I264" s="1388" t="s">
        <v>22</v>
      </c>
      <c r="J264" s="1388" t="s">
        <v>22</v>
      </c>
      <c r="K264" s="1388" t="s">
        <v>129</v>
      </c>
      <c r="L264" s="24">
        <v>1</v>
      </c>
      <c r="M264" s="25">
        <v>36298</v>
      </c>
      <c r="N264" s="25">
        <v>37425</v>
      </c>
      <c r="O264" s="26">
        <f t="shared" si="36"/>
        <v>2002</v>
      </c>
      <c r="P264" s="27">
        <f>+IFERROR(INDEX([16]PARÁMETROS!$B$11:$B$37,MATCH(O264,[16]PARÁMETROS!$A$11:$A$37,0)),"")</f>
        <v>309000</v>
      </c>
      <c r="Q264" s="28">
        <v>3800380053</v>
      </c>
      <c r="R264" s="29" t="s">
        <v>151</v>
      </c>
      <c r="S264" s="19" t="s">
        <v>326</v>
      </c>
      <c r="T264" s="30" t="s">
        <v>326</v>
      </c>
      <c r="U264" s="31">
        <v>1</v>
      </c>
      <c r="V264" s="27">
        <f t="shared" si="37"/>
        <v>3800380053</v>
      </c>
      <c r="W264" s="16">
        <f t="shared" si="38"/>
        <v>12298.964572815534</v>
      </c>
      <c r="X264" s="16">
        <f t="shared" si="39"/>
        <v>12298.964572815534</v>
      </c>
      <c r="Y264" s="1388" t="str">
        <f>+IF(X264="","",IF(X264&gt;=[16]PARÁMETROS!$J$5,"CUMPLE","NO CUMPLE"))</f>
        <v>CUMPLE</v>
      </c>
      <c r="Z264" s="97"/>
    </row>
    <row r="265" spans="1:26" ht="28.5">
      <c r="A265" s="1615"/>
      <c r="B265" s="1510"/>
      <c r="C265" s="19" t="s">
        <v>368</v>
      </c>
      <c r="D265" s="36">
        <v>19</v>
      </c>
      <c r="E265" s="21" t="s">
        <v>2159</v>
      </c>
      <c r="F265" s="22" t="s">
        <v>2160</v>
      </c>
      <c r="G265" s="23" t="s">
        <v>2161</v>
      </c>
      <c r="H265" s="1388" t="s">
        <v>22</v>
      </c>
      <c r="I265" s="1388" t="s">
        <v>129</v>
      </c>
      <c r="J265" s="1388" t="s">
        <v>22</v>
      </c>
      <c r="K265" s="1388" t="s">
        <v>129</v>
      </c>
      <c r="L265" s="24">
        <v>1</v>
      </c>
      <c r="M265" s="25">
        <v>34358</v>
      </c>
      <c r="N265" s="25">
        <v>35828</v>
      </c>
      <c r="O265" s="26">
        <f t="shared" si="36"/>
        <v>1998</v>
      </c>
      <c r="P265" s="27">
        <f>+IFERROR(INDEX([16]PARÁMETROS!$B$11:$B$37,MATCH(O265,[16]PARÁMETROS!$A$11:$A$37,0)),"")</f>
        <v>203826</v>
      </c>
      <c r="Q265" s="28">
        <v>2834448285</v>
      </c>
      <c r="R265" s="29" t="s">
        <v>151</v>
      </c>
      <c r="S265" s="19" t="s">
        <v>326</v>
      </c>
      <c r="T265" s="30" t="s">
        <v>326</v>
      </c>
      <c r="U265" s="31">
        <v>1</v>
      </c>
      <c r="V265" s="27">
        <f t="shared" si="37"/>
        <v>2834448285</v>
      </c>
      <c r="W265" s="16">
        <f t="shared" si="38"/>
        <v>13906.215522062936</v>
      </c>
      <c r="X265" s="16">
        <f t="shared" si="39"/>
        <v>13906.215522062936</v>
      </c>
      <c r="Y265" s="1388" t="str">
        <f>+IF(X265="","",IF(X265&gt;=[16]PARÁMETROS!$J$5,"CUMPLE","NO CUMPLE"))</f>
        <v>CUMPLE</v>
      </c>
      <c r="Z265" s="97"/>
    </row>
    <row r="266" spans="1:26" ht="57.75" thickBot="1">
      <c r="A266" s="1615"/>
      <c r="B266" s="1510"/>
      <c r="C266" s="19" t="s">
        <v>368</v>
      </c>
      <c r="D266" s="36">
        <v>20</v>
      </c>
      <c r="E266" s="21" t="s">
        <v>2159</v>
      </c>
      <c r="F266" s="22" t="s">
        <v>155</v>
      </c>
      <c r="G266" s="23" t="s">
        <v>2164</v>
      </c>
      <c r="H266" s="1388"/>
      <c r="I266" s="1388" t="s">
        <v>129</v>
      </c>
      <c r="J266" s="1388" t="s">
        <v>22</v>
      </c>
      <c r="K266" s="1388" t="s">
        <v>129</v>
      </c>
      <c r="L266" s="24">
        <v>1</v>
      </c>
      <c r="M266" s="25">
        <v>33161</v>
      </c>
      <c r="N266" s="25">
        <v>35550</v>
      </c>
      <c r="O266" s="26">
        <f t="shared" si="36"/>
        <v>1997</v>
      </c>
      <c r="P266" s="27">
        <f>+IFERROR(INDEX([16]PARÁMETROS!$B$11:$B$37,MATCH(O266,[16]PARÁMETROS!$A$11:$A$37,0)),"")</f>
        <v>172005</v>
      </c>
      <c r="Q266" s="28">
        <v>1546808187.0699999</v>
      </c>
      <c r="R266" s="29" t="s">
        <v>151</v>
      </c>
      <c r="S266" s="19" t="s">
        <v>326</v>
      </c>
      <c r="T266" s="30" t="s">
        <v>326</v>
      </c>
      <c r="U266" s="31">
        <v>1</v>
      </c>
      <c r="V266" s="27">
        <f t="shared" si="37"/>
        <v>1546808187.0699999</v>
      </c>
      <c r="W266" s="16">
        <f t="shared" si="38"/>
        <v>8992.8094361791809</v>
      </c>
      <c r="X266" s="16">
        <f t="shared" si="39"/>
        <v>8992.8094361791809</v>
      </c>
      <c r="Y266" s="1388" t="str">
        <f>+IF(X266="","",IF(X266&gt;=[16]PARÁMETROS!$J$5,"CUMPLE","NO CUMPLE"))</f>
        <v>CUMPLE</v>
      </c>
      <c r="Z266" s="97"/>
    </row>
    <row r="267" spans="1:26" ht="85.5">
      <c r="A267" s="1615"/>
      <c r="B267" s="1509" t="s">
        <v>2169</v>
      </c>
      <c r="C267" s="81" t="s">
        <v>374</v>
      </c>
      <c r="D267" s="114">
        <v>4</v>
      </c>
      <c r="E267" s="83" t="s">
        <v>2170</v>
      </c>
      <c r="F267" s="84" t="s">
        <v>2458</v>
      </c>
      <c r="G267" s="85" t="s">
        <v>1888</v>
      </c>
      <c r="H267" s="1393" t="s">
        <v>22</v>
      </c>
      <c r="I267" s="1393" t="s">
        <v>22</v>
      </c>
      <c r="J267" s="1393" t="s">
        <v>22</v>
      </c>
      <c r="K267" s="1393" t="s">
        <v>129</v>
      </c>
      <c r="L267" s="86">
        <v>0.5</v>
      </c>
      <c r="M267" s="87">
        <v>40331</v>
      </c>
      <c r="N267" s="87">
        <v>41215</v>
      </c>
      <c r="O267" s="88">
        <f t="shared" si="36"/>
        <v>2012</v>
      </c>
      <c r="P267" s="89">
        <f>+IFERROR(INDEX([16]PARÁMETROS!$B$11:$B$37,MATCH(O267,[16]PARÁMETROS!$A$11:$A$37,0)),"")</f>
        <v>566700</v>
      </c>
      <c r="Q267" s="90">
        <v>4264498383</v>
      </c>
      <c r="R267" s="91" t="s">
        <v>151</v>
      </c>
      <c r="S267" s="81" t="s">
        <v>326</v>
      </c>
      <c r="T267" s="92" t="s">
        <v>326</v>
      </c>
      <c r="U267" s="93">
        <v>1</v>
      </c>
      <c r="V267" s="89">
        <f t="shared" si="37"/>
        <v>4264498383</v>
      </c>
      <c r="W267" s="94">
        <f t="shared" si="38"/>
        <v>7525.1427263102169</v>
      </c>
      <c r="X267" s="94">
        <f t="shared" si="39"/>
        <v>3762.5713631551084</v>
      </c>
      <c r="Y267" s="1388" t="str">
        <f>+IF(X267="","",IF(X267&gt;=[16]PARÁMETROS!$J$5,"CUMPLE","NO CUMPLE"))</f>
        <v>CUMPLE</v>
      </c>
      <c r="Z267" s="96"/>
    </row>
    <row r="268" spans="1:26" ht="71.25">
      <c r="A268" s="1615"/>
      <c r="B268" s="1510"/>
      <c r="C268" s="19" t="s">
        <v>374</v>
      </c>
      <c r="D268" s="36">
        <v>35</v>
      </c>
      <c r="E268" s="21" t="s">
        <v>2170</v>
      </c>
      <c r="F268" s="22" t="s">
        <v>1005</v>
      </c>
      <c r="G268" s="23" t="s">
        <v>1889</v>
      </c>
      <c r="H268" s="1388" t="s">
        <v>22</v>
      </c>
      <c r="I268" s="1388" t="s">
        <v>22</v>
      </c>
      <c r="J268" s="1388" t="s">
        <v>22</v>
      </c>
      <c r="K268" s="1388" t="s">
        <v>129</v>
      </c>
      <c r="L268" s="24">
        <v>0.4</v>
      </c>
      <c r="M268" s="25">
        <v>41075</v>
      </c>
      <c r="N268" s="25">
        <v>42165</v>
      </c>
      <c r="O268" s="26">
        <f t="shared" si="36"/>
        <v>2015</v>
      </c>
      <c r="P268" s="27">
        <f>+IFERROR(INDEX([16]PARÁMETROS!$B$11:$B$37,MATCH(O268,[16]PARÁMETROS!$A$11:$A$37,0)),"")</f>
        <v>644350</v>
      </c>
      <c r="Q268" s="28">
        <v>23762347066</v>
      </c>
      <c r="R268" s="29" t="s">
        <v>151</v>
      </c>
      <c r="S268" s="19" t="s">
        <v>326</v>
      </c>
      <c r="T268" s="30" t="s">
        <v>326</v>
      </c>
      <c r="U268" s="31">
        <v>1</v>
      </c>
      <c r="V268" s="27">
        <f t="shared" si="37"/>
        <v>23762347066</v>
      </c>
      <c r="W268" s="16">
        <f t="shared" si="38"/>
        <v>36878.012052455961</v>
      </c>
      <c r="X268" s="16">
        <f t="shared" si="39"/>
        <v>14751.204820982384</v>
      </c>
      <c r="Y268" s="1388" t="str">
        <f>+IF(X268="","",IF(X268&gt;=[16]PARÁMETROS!$J$5,"CUMPLE","NO CUMPLE"))</f>
        <v>CUMPLE</v>
      </c>
      <c r="Z268" s="97"/>
    </row>
    <row r="269" spans="1:26" ht="63">
      <c r="A269" s="1615"/>
      <c r="B269" s="1510"/>
      <c r="C269" s="19" t="s">
        <v>383</v>
      </c>
      <c r="D269" s="36">
        <v>38</v>
      </c>
      <c r="E269" s="21" t="s">
        <v>2172</v>
      </c>
      <c r="F269" s="37" t="s">
        <v>155</v>
      </c>
      <c r="G269" s="37" t="s">
        <v>1892</v>
      </c>
      <c r="H269" s="1388" t="s">
        <v>22</v>
      </c>
      <c r="I269" s="1388" t="s">
        <v>129</v>
      </c>
      <c r="J269" s="1388" t="s">
        <v>22</v>
      </c>
      <c r="K269" s="1388" t="s">
        <v>129</v>
      </c>
      <c r="L269" s="38">
        <v>0.75</v>
      </c>
      <c r="M269" s="25">
        <v>38672</v>
      </c>
      <c r="N269" s="25">
        <v>39756</v>
      </c>
      <c r="O269" s="26">
        <f t="shared" si="36"/>
        <v>2008</v>
      </c>
      <c r="P269" s="27">
        <f>+IFERROR(INDEX([16]PARÁMETROS!$B$11:$B$37,MATCH(O269,[16]PARÁMETROS!$A$11:$A$37,0)),"")</f>
        <v>461500</v>
      </c>
      <c r="Q269" s="28">
        <v>2323578630</v>
      </c>
      <c r="R269" s="29" t="s">
        <v>151</v>
      </c>
      <c r="S269" s="19" t="s">
        <v>326</v>
      </c>
      <c r="T269" s="30" t="s">
        <v>326</v>
      </c>
      <c r="U269" s="31">
        <v>1</v>
      </c>
      <c r="V269" s="27">
        <f t="shared" si="37"/>
        <v>2323578630</v>
      </c>
      <c r="W269" s="16">
        <f t="shared" si="38"/>
        <v>5034.839934994583</v>
      </c>
      <c r="X269" s="16">
        <f t="shared" si="39"/>
        <v>3776.1299512459373</v>
      </c>
      <c r="Y269" s="1388" t="str">
        <f>+IF(X269="","",IF(X269&gt;=[16]PARÁMETROS!$J$5,"CUMPLE","NO CUMPLE"))</f>
        <v>CUMPLE</v>
      </c>
      <c r="Z269" s="121"/>
    </row>
    <row r="270" spans="1:26" ht="214.5" thickBot="1">
      <c r="A270" s="1615"/>
      <c r="B270" s="1510"/>
      <c r="C270" s="19" t="s">
        <v>374</v>
      </c>
      <c r="D270" s="33">
        <v>60</v>
      </c>
      <c r="E270" s="21" t="s">
        <v>2170</v>
      </c>
      <c r="F270" s="22" t="s">
        <v>2458</v>
      </c>
      <c r="G270" s="23" t="s">
        <v>1891</v>
      </c>
      <c r="H270" s="1388" t="s">
        <v>22</v>
      </c>
      <c r="I270" s="1388" t="s">
        <v>22</v>
      </c>
      <c r="J270" s="1388" t="s">
        <v>22</v>
      </c>
      <c r="K270" s="1388" t="s">
        <v>129</v>
      </c>
      <c r="L270" s="39">
        <v>1</v>
      </c>
      <c r="M270" s="40">
        <v>39021</v>
      </c>
      <c r="N270" s="41">
        <v>40487</v>
      </c>
      <c r="O270" s="26">
        <f t="shared" si="36"/>
        <v>2010</v>
      </c>
      <c r="P270" s="27">
        <f>+IFERROR(INDEX([16]PARÁMETROS!$B$11:$B$37,MATCH(O270,[16]PARÁMETROS!$A$11:$A$37,0)),"")</f>
        <v>515000</v>
      </c>
      <c r="Q270" s="29">
        <v>5403026800</v>
      </c>
      <c r="R270" s="29" t="s">
        <v>151</v>
      </c>
      <c r="S270" s="29" t="s">
        <v>326</v>
      </c>
      <c r="T270" s="29" t="s">
        <v>326</v>
      </c>
      <c r="U270" s="31">
        <v>1</v>
      </c>
      <c r="V270" s="27">
        <f t="shared" si="37"/>
        <v>5403026800</v>
      </c>
      <c r="W270" s="16">
        <f t="shared" si="38"/>
        <v>10491.314174757281</v>
      </c>
      <c r="X270" s="16">
        <f t="shared" si="39"/>
        <v>10491.314174757281</v>
      </c>
      <c r="Y270" s="1388" t="str">
        <f>+IF(X270="","",IF(X270&gt;=[16]PARÁMETROS!$J$5,"CUMPLE","NO CUMPLE"))</f>
        <v>CUMPLE</v>
      </c>
      <c r="Z270" s="97"/>
    </row>
    <row r="271" spans="1:26" ht="57">
      <c r="A271" s="1615"/>
      <c r="B271" s="1509" t="s">
        <v>2173</v>
      </c>
      <c r="C271" s="81" t="s">
        <v>394</v>
      </c>
      <c r="D271" s="114">
        <v>4</v>
      </c>
      <c r="E271" s="83" t="s">
        <v>2175</v>
      </c>
      <c r="F271" s="22" t="s">
        <v>517</v>
      </c>
      <c r="G271" s="23" t="s">
        <v>1817</v>
      </c>
      <c r="H271" s="1393" t="s">
        <v>22</v>
      </c>
      <c r="I271" s="1393" t="s">
        <v>22</v>
      </c>
      <c r="J271" s="1393" t="s">
        <v>22</v>
      </c>
      <c r="K271" s="1393" t="s">
        <v>129</v>
      </c>
      <c r="L271" s="86">
        <v>0.3</v>
      </c>
      <c r="M271" s="87">
        <v>39934</v>
      </c>
      <c r="N271" s="87">
        <v>41029</v>
      </c>
      <c r="O271" s="88">
        <f t="shared" si="36"/>
        <v>2012</v>
      </c>
      <c r="P271" s="89">
        <f>+IFERROR(INDEX([16]PARÁMETROS!$B$11:$B$37,MATCH(O271,[16]PARÁMETROS!$A$11:$A$37,0)),"")</f>
        <v>566700</v>
      </c>
      <c r="Q271" s="90">
        <v>9410306932</v>
      </c>
      <c r="R271" s="29" t="s">
        <v>151</v>
      </c>
      <c r="S271" s="29" t="s">
        <v>326</v>
      </c>
      <c r="T271" s="29" t="s">
        <v>326</v>
      </c>
      <c r="U271" s="31">
        <v>1</v>
      </c>
      <c r="V271" s="89">
        <f t="shared" si="37"/>
        <v>9410306932</v>
      </c>
      <c r="W271" s="94">
        <f t="shared" si="38"/>
        <v>16605.447206634904</v>
      </c>
      <c r="X271" s="94">
        <f t="shared" si="39"/>
        <v>4981.6341619904715</v>
      </c>
      <c r="Y271" s="1388" t="str">
        <f>+IF(X271="","",IF(X271&gt;=[16]PARÁMETROS!$J$5,"CUMPLE","NO CUMPLE"))</f>
        <v>CUMPLE</v>
      </c>
      <c r="Z271" s="96"/>
    </row>
    <row r="272" spans="1:26" ht="85.5">
      <c r="A272" s="1615"/>
      <c r="B272" s="1510"/>
      <c r="C272" s="19" t="s">
        <v>394</v>
      </c>
      <c r="D272" s="36">
        <v>11</v>
      </c>
      <c r="E272" s="21" t="s">
        <v>2175</v>
      </c>
      <c r="F272" s="22" t="s">
        <v>442</v>
      </c>
      <c r="G272" s="23" t="s">
        <v>1109</v>
      </c>
      <c r="H272" s="1388" t="s">
        <v>22</v>
      </c>
      <c r="I272" s="1388" t="s">
        <v>22</v>
      </c>
      <c r="J272" s="1388" t="s">
        <v>22</v>
      </c>
      <c r="K272" s="1388" t="s">
        <v>129</v>
      </c>
      <c r="L272" s="24">
        <v>0.5</v>
      </c>
      <c r="M272" s="25">
        <v>36333</v>
      </c>
      <c r="N272" s="25">
        <v>38915</v>
      </c>
      <c r="O272" s="26">
        <f t="shared" si="36"/>
        <v>2006</v>
      </c>
      <c r="P272" s="27">
        <f>+IFERROR(INDEX([16]PARÁMETROS!$B$11:$B$37,MATCH(O272,[16]PARÁMETROS!$A$11:$A$37,0)),"")</f>
        <v>408000</v>
      </c>
      <c r="Q272" s="28">
        <v>19941780178</v>
      </c>
      <c r="R272" s="29" t="s">
        <v>151</v>
      </c>
      <c r="S272" s="29" t="s">
        <v>326</v>
      </c>
      <c r="T272" s="29" t="s">
        <v>326</v>
      </c>
      <c r="U272" s="31">
        <v>1</v>
      </c>
      <c r="V272" s="27">
        <f t="shared" si="37"/>
        <v>19941780178</v>
      </c>
      <c r="W272" s="16">
        <f t="shared" si="38"/>
        <v>48876.91220098039</v>
      </c>
      <c r="X272" s="16">
        <f t="shared" si="39"/>
        <v>24438.456100490195</v>
      </c>
      <c r="Y272" s="1388" t="str">
        <f>+IF(X272="","",IF(X272&gt;=[16]PARÁMETROS!$J$5,"CUMPLE","NO CUMPLE"))</f>
        <v>CUMPLE</v>
      </c>
      <c r="Z272" s="97"/>
    </row>
    <row r="273" spans="1:26" ht="114">
      <c r="A273" s="1615"/>
      <c r="B273" s="1510"/>
      <c r="C273" s="19" t="s">
        <v>394</v>
      </c>
      <c r="D273" s="36">
        <v>26</v>
      </c>
      <c r="E273" s="21" t="s">
        <v>2175</v>
      </c>
      <c r="F273" s="22" t="s">
        <v>442</v>
      </c>
      <c r="G273" s="23" t="s">
        <v>577</v>
      </c>
      <c r="H273" s="1388" t="s">
        <v>22</v>
      </c>
      <c r="I273" s="1388" t="s">
        <v>22</v>
      </c>
      <c r="J273" s="1388" t="s">
        <v>22</v>
      </c>
      <c r="K273" s="1388" t="s">
        <v>129</v>
      </c>
      <c r="L273" s="24">
        <v>0.5</v>
      </c>
      <c r="M273" s="25">
        <v>38916</v>
      </c>
      <c r="N273" s="25">
        <v>40267</v>
      </c>
      <c r="O273" s="26">
        <f t="shared" si="36"/>
        <v>2010</v>
      </c>
      <c r="P273" s="27">
        <f>+IFERROR(INDEX([16]PARÁMETROS!$B$11:$B$37,MATCH(O273,[16]PARÁMETROS!$A$11:$A$37,0)),"")</f>
        <v>515000</v>
      </c>
      <c r="Q273" s="28">
        <v>7564702533</v>
      </c>
      <c r="R273" s="29" t="s">
        <v>151</v>
      </c>
      <c r="S273" s="29" t="s">
        <v>326</v>
      </c>
      <c r="T273" s="29" t="s">
        <v>326</v>
      </c>
      <c r="U273" s="31">
        <v>1</v>
      </c>
      <c r="V273" s="27">
        <f t="shared" si="37"/>
        <v>7564702533</v>
      </c>
      <c r="W273" s="16">
        <f t="shared" si="38"/>
        <v>14688.742782524272</v>
      </c>
      <c r="X273" s="16">
        <f t="shared" si="39"/>
        <v>7344.3713912621361</v>
      </c>
      <c r="Y273" s="1388" t="str">
        <f>+IF(X273="","",IF(X273&gt;=[16]PARÁMETROS!$J$5,"CUMPLE","NO CUMPLE"))</f>
        <v>CUMPLE</v>
      </c>
      <c r="Z273" s="97"/>
    </row>
    <row r="274" spans="1:26" ht="100.5" thickBot="1">
      <c r="A274" s="1615"/>
      <c r="B274" s="1553"/>
      <c r="C274" s="151" t="s">
        <v>387</v>
      </c>
      <c r="D274" s="501">
        <v>33</v>
      </c>
      <c r="E274" s="153" t="s">
        <v>2174</v>
      </c>
      <c r="F274" s="633" t="s">
        <v>1793</v>
      </c>
      <c r="G274" s="269" t="s">
        <v>583</v>
      </c>
      <c r="H274" s="1419" t="s">
        <v>22</v>
      </c>
      <c r="I274" s="1419" t="s">
        <v>129</v>
      </c>
      <c r="J274" s="1419" t="s">
        <v>22</v>
      </c>
      <c r="K274" s="1419" t="s">
        <v>129</v>
      </c>
      <c r="L274" s="156">
        <v>0.5</v>
      </c>
      <c r="M274" s="157">
        <v>40137</v>
      </c>
      <c r="N274" s="157">
        <v>41232</v>
      </c>
      <c r="O274" s="158">
        <f t="shared" si="36"/>
        <v>2012</v>
      </c>
      <c r="P274" s="159">
        <f>+IFERROR(INDEX([16]PARÁMETROS!$B$11:$B$37,MATCH(O274,[16]PARÁMETROS!$A$11:$A$37,0)),"")</f>
        <v>566700</v>
      </c>
      <c r="Q274" s="160">
        <v>4761150509</v>
      </c>
      <c r="R274" s="161" t="s">
        <v>151</v>
      </c>
      <c r="S274" s="161" t="s">
        <v>326</v>
      </c>
      <c r="T274" s="161" t="s">
        <v>326</v>
      </c>
      <c r="U274" s="163">
        <v>1</v>
      </c>
      <c r="V274" s="159">
        <f t="shared" si="37"/>
        <v>4761150509</v>
      </c>
      <c r="W274" s="164">
        <f t="shared" si="38"/>
        <v>8401.536101994001</v>
      </c>
      <c r="X274" s="164">
        <f t="shared" si="39"/>
        <v>4200.7680509970005</v>
      </c>
      <c r="Y274" s="1419" t="str">
        <f>+IF(X274="","",IF(X274&gt;=[16]PARÁMETROS!$J$5,"CUMPLE","NO CUMPLE"))</f>
        <v>CUMPLE</v>
      </c>
      <c r="Z274" s="195"/>
    </row>
    <row r="275" spans="1:26" ht="42.75">
      <c r="A275" s="1615"/>
      <c r="B275" s="1509" t="s">
        <v>2176</v>
      </c>
      <c r="C275" s="81" t="s">
        <v>401</v>
      </c>
      <c r="D275" s="114">
        <v>6</v>
      </c>
      <c r="E275" s="83" t="s">
        <v>2177</v>
      </c>
      <c r="F275" s="84" t="s">
        <v>493</v>
      </c>
      <c r="G275" s="85" t="s">
        <v>1822</v>
      </c>
      <c r="H275" s="1393" t="s">
        <v>22</v>
      </c>
      <c r="I275" s="1393" t="s">
        <v>129</v>
      </c>
      <c r="J275" s="1393" t="s">
        <v>22</v>
      </c>
      <c r="K275" s="1393" t="s">
        <v>129</v>
      </c>
      <c r="L275" s="86">
        <v>0.5</v>
      </c>
      <c r="M275" s="87">
        <v>37411</v>
      </c>
      <c r="N275" s="87">
        <v>38776</v>
      </c>
      <c r="O275" s="88">
        <f t="shared" si="36"/>
        <v>2006</v>
      </c>
      <c r="P275" s="89">
        <f>+IFERROR(INDEX([16]PARÁMETROS!$B$11:$B$37,MATCH(O275,[16]PARÁMETROS!$A$11:$A$37,0)),"")</f>
        <v>408000</v>
      </c>
      <c r="Q275" s="90">
        <v>3791186167</v>
      </c>
      <c r="R275" s="91" t="s">
        <v>151</v>
      </c>
      <c r="S275" s="81" t="s">
        <v>326</v>
      </c>
      <c r="T275" s="92" t="s">
        <v>326</v>
      </c>
      <c r="U275" s="93">
        <v>1</v>
      </c>
      <c r="V275" s="89">
        <f t="shared" si="37"/>
        <v>3791186167</v>
      </c>
      <c r="W275" s="94">
        <f t="shared" si="38"/>
        <v>9292.1229583333334</v>
      </c>
      <c r="X275" s="94">
        <f t="shared" si="39"/>
        <v>4646.0614791666667</v>
      </c>
      <c r="Y275" s="1400" t="str">
        <f>+IF(X275="","",IF(X275&gt;=[16]PARÁMETROS!$J$5,"CUMPLE","NO CUMPLE"))</f>
        <v>CUMPLE</v>
      </c>
      <c r="Z275" s="96"/>
    </row>
    <row r="276" spans="1:26" ht="71.25">
      <c r="A276" s="1615"/>
      <c r="B276" s="1510"/>
      <c r="C276" s="19" t="s">
        <v>401</v>
      </c>
      <c r="D276" s="36">
        <v>41</v>
      </c>
      <c r="E276" s="21" t="s">
        <v>2177</v>
      </c>
      <c r="F276" s="22" t="s">
        <v>1793</v>
      </c>
      <c r="G276" s="23" t="s">
        <v>2459</v>
      </c>
      <c r="H276" s="1388" t="s">
        <v>22</v>
      </c>
      <c r="I276" s="1388" t="s">
        <v>22</v>
      </c>
      <c r="J276" s="1388" t="s">
        <v>22</v>
      </c>
      <c r="K276" s="1388" t="s">
        <v>129</v>
      </c>
      <c r="L276" s="24">
        <v>0.4</v>
      </c>
      <c r="M276" s="25">
        <v>37910</v>
      </c>
      <c r="N276" s="25">
        <v>40939</v>
      </c>
      <c r="O276" s="26">
        <f t="shared" si="36"/>
        <v>2012</v>
      </c>
      <c r="P276" s="27">
        <f>+IFERROR(INDEX([16]PARÁMETROS!$B$11:$B$37,MATCH(O276,[16]PARÁMETROS!$A$11:$A$37,0)),"")</f>
        <v>566700</v>
      </c>
      <c r="Q276" s="28">
        <v>11747944351</v>
      </c>
      <c r="R276" s="29" t="s">
        <v>151</v>
      </c>
      <c r="S276" s="19" t="s">
        <v>326</v>
      </c>
      <c r="T276" s="30" t="s">
        <v>326</v>
      </c>
      <c r="U276" s="31">
        <v>1</v>
      </c>
      <c r="V276" s="27">
        <f t="shared" si="37"/>
        <v>11747944351</v>
      </c>
      <c r="W276" s="16">
        <f t="shared" si="38"/>
        <v>20730.447063702137</v>
      </c>
      <c r="X276" s="16">
        <f t="shared" si="39"/>
        <v>8292.1788254808544</v>
      </c>
      <c r="Y276" s="1388" t="str">
        <f>+IF(X276="","",IF(X276&gt;=[16]PARÁMETROS!$J$5,"CUMPLE","NO CUMPLE"))</f>
        <v>CUMPLE</v>
      </c>
      <c r="Z276" s="97"/>
    </row>
    <row r="277" spans="1:26" ht="57">
      <c r="A277" s="1615"/>
      <c r="B277" s="1510"/>
      <c r="C277" s="19" t="s">
        <v>410</v>
      </c>
      <c r="D277" s="36">
        <v>172</v>
      </c>
      <c r="E277" s="21" t="s">
        <v>2178</v>
      </c>
      <c r="F277" s="22" t="s">
        <v>168</v>
      </c>
      <c r="G277" s="23" t="s">
        <v>2179</v>
      </c>
      <c r="H277" s="1388" t="s">
        <v>22</v>
      </c>
      <c r="I277" s="1388" t="s">
        <v>129</v>
      </c>
      <c r="J277" s="1388" t="s">
        <v>22</v>
      </c>
      <c r="K277" s="1388" t="s">
        <v>129</v>
      </c>
      <c r="L277" s="24">
        <v>0.45</v>
      </c>
      <c r="M277" s="25">
        <v>40805</v>
      </c>
      <c r="N277" s="25">
        <v>41730</v>
      </c>
      <c r="O277" s="26">
        <f t="shared" si="36"/>
        <v>2014</v>
      </c>
      <c r="P277" s="27">
        <f>+IFERROR(INDEX([16]PARÁMETROS!$B$11:$B$37,MATCH(O277,[16]PARÁMETROS!$A$11:$A$37,0)),"")</f>
        <v>616000</v>
      </c>
      <c r="Q277" s="28">
        <v>5922134662</v>
      </c>
      <c r="R277" s="29" t="s">
        <v>151</v>
      </c>
      <c r="S277" s="19" t="s">
        <v>326</v>
      </c>
      <c r="T277" s="30" t="s">
        <v>326</v>
      </c>
      <c r="U277" s="31">
        <v>1</v>
      </c>
      <c r="V277" s="27">
        <f t="shared" si="37"/>
        <v>5922134662</v>
      </c>
      <c r="W277" s="16">
        <f t="shared" si="38"/>
        <v>9613.8549707792208</v>
      </c>
      <c r="X277" s="16">
        <f t="shared" si="39"/>
        <v>4326.2347368506498</v>
      </c>
      <c r="Y277" s="1388" t="str">
        <f>+IF(X277="","",IF(X277&gt;=[16]PARÁMETROS!$J$5,"CUMPLE","NO CUMPLE"))</f>
        <v>CUMPLE</v>
      </c>
      <c r="Z277" s="97"/>
    </row>
    <row r="278" spans="1:26" ht="57.75" thickBot="1">
      <c r="A278" s="1615"/>
      <c r="B278" s="1511"/>
      <c r="C278" s="99" t="s">
        <v>401</v>
      </c>
      <c r="D278" s="100">
        <v>247</v>
      </c>
      <c r="E278" s="101" t="s">
        <v>2177</v>
      </c>
      <c r="F278" s="372" t="s">
        <v>355</v>
      </c>
      <c r="G278" s="634" t="s">
        <v>1821</v>
      </c>
      <c r="H278" s="1392" t="s">
        <v>22</v>
      </c>
      <c r="I278" s="1392" t="s">
        <v>129</v>
      </c>
      <c r="J278" s="1392" t="s">
        <v>22</v>
      </c>
      <c r="K278" s="1392" t="s">
        <v>129</v>
      </c>
      <c r="L278" s="368">
        <v>1</v>
      </c>
      <c r="M278" s="576">
        <v>39934</v>
      </c>
      <c r="N278" s="576">
        <v>40724</v>
      </c>
      <c r="O278" s="106">
        <f t="shared" si="36"/>
        <v>2011</v>
      </c>
      <c r="P278" s="107">
        <f>+IFERROR(INDEX([16]PARÁMETROS!$B$11:$B$37,MATCH(O278,[16]PARÁMETROS!$A$11:$A$37,0)),"")</f>
        <v>535600</v>
      </c>
      <c r="Q278" s="577">
        <v>9389034669</v>
      </c>
      <c r="R278" s="371" t="s">
        <v>151</v>
      </c>
      <c r="S278" s="99" t="s">
        <v>326</v>
      </c>
      <c r="T278" s="110" t="s">
        <v>326</v>
      </c>
      <c r="U278" s="111">
        <v>1</v>
      </c>
      <c r="V278" s="107">
        <f t="shared" si="37"/>
        <v>9389034669</v>
      </c>
      <c r="W278" s="112">
        <f t="shared" si="38"/>
        <v>17529.937768857355</v>
      </c>
      <c r="X278" s="112">
        <f t="shared" si="39"/>
        <v>17529.937768857355</v>
      </c>
      <c r="Y278" s="1392" t="str">
        <f>+IF(X278="","",IF(X278&gt;=[16]PARÁMETROS!$J$5,"CUMPLE","NO CUMPLE"))</f>
        <v>CUMPLE</v>
      </c>
      <c r="Z278" s="124"/>
    </row>
    <row r="279" spans="1:26" ht="47.25">
      <c r="A279" s="1615"/>
      <c r="B279" s="1509" t="s">
        <v>2180</v>
      </c>
      <c r="C279" s="81" t="s">
        <v>425</v>
      </c>
      <c r="D279" s="82">
        <v>5</v>
      </c>
      <c r="E279" s="83" t="s">
        <v>2184</v>
      </c>
      <c r="F279" s="22" t="s">
        <v>147</v>
      </c>
      <c r="G279" s="23" t="s">
        <v>2185</v>
      </c>
      <c r="H279" s="1393" t="s">
        <v>22</v>
      </c>
      <c r="I279" s="1393" t="s">
        <v>22</v>
      </c>
      <c r="J279" s="1393" t="s">
        <v>22</v>
      </c>
      <c r="K279" s="1393" t="s">
        <v>129</v>
      </c>
      <c r="L279" s="24">
        <v>0.75</v>
      </c>
      <c r="M279" s="25">
        <v>39521</v>
      </c>
      <c r="N279" s="25">
        <v>40999</v>
      </c>
      <c r="O279" s="88">
        <f>IF(N279="","",YEAR(N279))</f>
        <v>2012</v>
      </c>
      <c r="P279" s="89">
        <f>+IFERROR(INDEX([19]PARÁMETROS!$B$11:$B$37,MATCH(O279,[19]PARÁMETROS!$A$11:$A$37,0)),"")</f>
        <v>566700</v>
      </c>
      <c r="Q279" s="28">
        <v>7072964150</v>
      </c>
      <c r="R279" s="91" t="s">
        <v>151</v>
      </c>
      <c r="S279" s="81" t="s">
        <v>140</v>
      </c>
      <c r="T279" s="92" t="s">
        <v>140</v>
      </c>
      <c r="U279" s="93">
        <v>1</v>
      </c>
      <c r="V279" s="89">
        <f>IF(U279&lt;&gt;"",Q279*U279,"")</f>
        <v>7072964150</v>
      </c>
      <c r="W279" s="94">
        <f>+IFERROR(V279/P279,"")</f>
        <v>12480.967266631375</v>
      </c>
      <c r="X279" s="94">
        <f>IFERROR(W279*L279,"")</f>
        <v>9360.7254499735318</v>
      </c>
      <c r="Y279" s="1400" t="str">
        <f>+IF(X279="","",IF(X279&gt;=[19]PARÁMETROS!$J$5,"CUMPLE","NO CUMPLE"))</f>
        <v>CUMPLE</v>
      </c>
      <c r="Z279" s="96"/>
    </row>
    <row r="280" spans="1:26" ht="47.25">
      <c r="A280" s="1615"/>
      <c r="B280" s="1510"/>
      <c r="C280" s="19" t="s">
        <v>425</v>
      </c>
      <c r="D280" s="20">
        <v>22</v>
      </c>
      <c r="E280" s="21" t="s">
        <v>2184</v>
      </c>
      <c r="F280" s="22" t="s">
        <v>214</v>
      </c>
      <c r="G280" s="22" t="s">
        <v>2460</v>
      </c>
      <c r="H280" s="1388" t="s">
        <v>22</v>
      </c>
      <c r="I280" s="1388" t="s">
        <v>129</v>
      </c>
      <c r="J280" s="1388" t="s">
        <v>22</v>
      </c>
      <c r="K280" s="1388" t="s">
        <v>129</v>
      </c>
      <c r="L280" s="34">
        <v>1</v>
      </c>
      <c r="M280" s="25">
        <v>38834</v>
      </c>
      <c r="N280" s="25">
        <v>39805</v>
      </c>
      <c r="O280" s="26">
        <f t="shared" ref="O280:O303" si="40">IF(N280="","",YEAR(N280))</f>
        <v>2008</v>
      </c>
      <c r="P280" s="27">
        <f>+IFERROR(INDEX([19]PARÁMETROS!$B$11:$B$37,MATCH(O280,[19]PARÁMETROS!$A$11:$A$37,0)),"")</f>
        <v>461500</v>
      </c>
      <c r="Q280" s="638">
        <v>1240314.52</v>
      </c>
      <c r="R280" s="27" t="s">
        <v>142</v>
      </c>
      <c r="S280" s="19">
        <v>1.39802</v>
      </c>
      <c r="T280" s="31">
        <f>Q280*S280</f>
        <v>1733984.5052504002</v>
      </c>
      <c r="U280" s="19">
        <v>2169.83</v>
      </c>
      <c r="V280" s="27">
        <f>+U280*T280</f>
        <v>3762451599.0274758</v>
      </c>
      <c r="W280" s="16">
        <f t="shared" ref="W280:W306" si="41">+IFERROR(V280/P280,"")</f>
        <v>8152.6578527139236</v>
      </c>
      <c r="X280" s="16">
        <f t="shared" ref="X280:X306" si="42">IFERROR(W280*L280,"")</f>
        <v>8152.6578527139236</v>
      </c>
      <c r="Y280" s="1388" t="str">
        <f>+IF(X280="","",IF(X280&gt;=[19]PARÁMETROS!$J$5,"CUMPLE","NO CUMPLE"))</f>
        <v>CUMPLE</v>
      </c>
      <c r="Z280" s="97"/>
    </row>
    <row r="281" spans="1:26" ht="63">
      <c r="A281" s="1615"/>
      <c r="B281" s="1510"/>
      <c r="C281" s="19" t="s">
        <v>416</v>
      </c>
      <c r="D281" s="20">
        <v>26</v>
      </c>
      <c r="E281" s="21" t="s">
        <v>2181</v>
      </c>
      <c r="F281" s="22" t="s">
        <v>214</v>
      </c>
      <c r="G281" s="22" t="s">
        <v>2183</v>
      </c>
      <c r="H281" s="1388" t="s">
        <v>22</v>
      </c>
      <c r="I281" s="1388" t="s">
        <v>129</v>
      </c>
      <c r="J281" s="1388" t="s">
        <v>22</v>
      </c>
      <c r="K281" s="1388" t="s">
        <v>129</v>
      </c>
      <c r="L281" s="34">
        <v>1</v>
      </c>
      <c r="M281" s="25">
        <v>38681</v>
      </c>
      <c r="N281" s="25">
        <v>39777</v>
      </c>
      <c r="O281" s="26">
        <f t="shared" si="40"/>
        <v>2008</v>
      </c>
      <c r="P281" s="27">
        <f>+IFERROR(INDEX([19]PARÁMETROS!$B$11:$B$37,MATCH(O281,[19]PARÁMETROS!$A$11:$A$37,0)),"")</f>
        <v>461500</v>
      </c>
      <c r="Q281" s="638">
        <v>763582.06</v>
      </c>
      <c r="R281" s="27" t="s">
        <v>142</v>
      </c>
      <c r="S281" s="19">
        <v>1.2687600000000001</v>
      </c>
      <c r="T281" s="31">
        <f>+S281*Q281</f>
        <v>968802.3744456002</v>
      </c>
      <c r="U281" s="19">
        <v>2314.7199999999998</v>
      </c>
      <c r="V281" s="27">
        <f>+U281*T281</f>
        <v>2242506232.1767197</v>
      </c>
      <c r="W281" s="16">
        <f t="shared" si="41"/>
        <v>4859.168433752372</v>
      </c>
      <c r="X281" s="16">
        <f t="shared" si="42"/>
        <v>4859.168433752372</v>
      </c>
      <c r="Y281" s="1388" t="str">
        <f>+IF(X281="","",IF(X281&gt;=[19]PARÁMETROS!$J$5,"CUMPLE","NO CUMPLE"))</f>
        <v>CUMPLE</v>
      </c>
      <c r="Z281" s="97"/>
    </row>
    <row r="282" spans="1:26" ht="63.75" thickBot="1">
      <c r="A282" s="1615"/>
      <c r="B282" s="1511"/>
      <c r="C282" s="99" t="s">
        <v>416</v>
      </c>
      <c r="D282" s="123">
        <v>33</v>
      </c>
      <c r="E282" s="101" t="s">
        <v>2181</v>
      </c>
      <c r="F282" s="102" t="s">
        <v>214</v>
      </c>
      <c r="G282" s="103" t="s">
        <v>2182</v>
      </c>
      <c r="H282" s="1392" t="s">
        <v>22</v>
      </c>
      <c r="I282" s="1392" t="s">
        <v>129</v>
      </c>
      <c r="J282" s="1392" t="s">
        <v>22</v>
      </c>
      <c r="K282" s="1392" t="s">
        <v>129</v>
      </c>
      <c r="L282" s="104">
        <v>1</v>
      </c>
      <c r="M282" s="105">
        <v>39087</v>
      </c>
      <c r="N282" s="105">
        <v>40334</v>
      </c>
      <c r="O282" s="106">
        <f t="shared" si="40"/>
        <v>2010</v>
      </c>
      <c r="P282" s="107">
        <f>+IFERROR(INDEX([19]PARÁMETROS!$B$11:$B$37,MATCH(O282,[19]PARÁMETROS!$A$11:$A$37,0)),"")</f>
        <v>515000</v>
      </c>
      <c r="Q282" s="353">
        <v>1306037.8500000001</v>
      </c>
      <c r="R282" s="109" t="s">
        <v>142</v>
      </c>
      <c r="S282" s="99">
        <v>1.2085600000000001</v>
      </c>
      <c r="T282" s="111">
        <f>+S282*Q282</f>
        <v>1578425.1039960003</v>
      </c>
      <c r="U282" s="99">
        <v>1965.83</v>
      </c>
      <c r="V282" s="290">
        <f>+U282*T282</f>
        <v>3102915422.188457</v>
      </c>
      <c r="W282" s="112">
        <f t="shared" si="41"/>
        <v>6025.0784896863242</v>
      </c>
      <c r="X282" s="112">
        <f t="shared" si="42"/>
        <v>6025.0784896863242</v>
      </c>
      <c r="Y282" s="1392" t="str">
        <f>+IF(X282="","",IF(X282&gt;=[19]PARÁMETROS!$J$5,"CUMPLE","NO CUMPLE"))</f>
        <v>CUMPLE</v>
      </c>
      <c r="Z282" s="124"/>
    </row>
    <row r="283" spans="1:26" ht="57">
      <c r="A283" s="1615"/>
      <c r="B283" s="1605" t="s">
        <v>2187</v>
      </c>
      <c r="C283" s="68" t="s">
        <v>441</v>
      </c>
      <c r="D283" s="82">
        <v>6</v>
      </c>
      <c r="E283" s="70" t="s">
        <v>2188</v>
      </c>
      <c r="F283" s="71" t="s">
        <v>442</v>
      </c>
      <c r="G283" s="72" t="s">
        <v>1984</v>
      </c>
      <c r="H283" s="1394" t="s">
        <v>22</v>
      </c>
      <c r="I283" s="1394" t="s">
        <v>22</v>
      </c>
      <c r="J283" s="1394" t="s">
        <v>22</v>
      </c>
      <c r="K283" s="1394" t="s">
        <v>129</v>
      </c>
      <c r="L283" s="73">
        <v>1</v>
      </c>
      <c r="M283" s="74">
        <v>38622</v>
      </c>
      <c r="N283" s="74">
        <v>39930</v>
      </c>
      <c r="O283" s="116">
        <f t="shared" si="40"/>
        <v>2009</v>
      </c>
      <c r="P283" s="75">
        <f>+IFERROR(INDEX([19]PARÁMETROS!$B$11:$B$37,MATCH(O283,[19]PARÁMETROS!$A$11:$A$37,0)),"")</f>
        <v>496900</v>
      </c>
      <c r="Q283" s="76">
        <v>7034470356</v>
      </c>
      <c r="R283" s="77" t="s">
        <v>151</v>
      </c>
      <c r="S283" s="68" t="s">
        <v>326</v>
      </c>
      <c r="T283" s="78" t="s">
        <v>326</v>
      </c>
      <c r="U283" s="79">
        <v>1</v>
      </c>
      <c r="V283" s="75">
        <f t="shared" ref="V283:V306" si="43">IF(U283&lt;&gt;"",Q283*U283,"")</f>
        <v>7034470356</v>
      </c>
      <c r="W283" s="80">
        <f t="shared" si="41"/>
        <v>14156.712328436304</v>
      </c>
      <c r="X283" s="80">
        <f t="shared" si="42"/>
        <v>14156.712328436304</v>
      </c>
      <c r="Y283" s="1400" t="str">
        <f>+IF(X283="","",IF(X283&gt;=[19]PARÁMETROS!$J$5,"CUMPLE","NO CUMPLE"))</f>
        <v>CUMPLE</v>
      </c>
      <c r="Z283" s="122"/>
    </row>
    <row r="284" spans="1:26" ht="57">
      <c r="A284" s="1615"/>
      <c r="B284" s="1510"/>
      <c r="C284" s="19" t="s">
        <v>441</v>
      </c>
      <c r="D284" s="20">
        <v>14</v>
      </c>
      <c r="E284" s="21" t="s">
        <v>2188</v>
      </c>
      <c r="F284" s="22" t="s">
        <v>442</v>
      </c>
      <c r="G284" s="23" t="s">
        <v>1985</v>
      </c>
      <c r="H284" s="1388" t="s">
        <v>22</v>
      </c>
      <c r="I284" s="1388" t="s">
        <v>22</v>
      </c>
      <c r="J284" s="1388" t="s">
        <v>22</v>
      </c>
      <c r="K284" s="1388" t="s">
        <v>129</v>
      </c>
      <c r="L284" s="24">
        <v>1</v>
      </c>
      <c r="M284" s="25">
        <v>39909</v>
      </c>
      <c r="N284" s="25">
        <v>41186</v>
      </c>
      <c r="O284" s="26">
        <f t="shared" si="40"/>
        <v>2012</v>
      </c>
      <c r="P284" s="27">
        <f>+IFERROR(INDEX([19]PARÁMETROS!$B$11:$B$37,MATCH(O284,[19]PARÁMETROS!$A$11:$A$37,0)),"")</f>
        <v>566700</v>
      </c>
      <c r="Q284" s="28">
        <v>10196799946</v>
      </c>
      <c r="R284" s="29" t="s">
        <v>151</v>
      </c>
      <c r="S284" s="19" t="s">
        <v>326</v>
      </c>
      <c r="T284" s="30" t="s">
        <v>326</v>
      </c>
      <c r="U284" s="31">
        <v>1</v>
      </c>
      <c r="V284" s="27">
        <f t="shared" si="43"/>
        <v>10196799946</v>
      </c>
      <c r="W284" s="16">
        <f t="shared" si="41"/>
        <v>17993.294416799014</v>
      </c>
      <c r="X284" s="16">
        <f t="shared" si="42"/>
        <v>17993.294416799014</v>
      </c>
      <c r="Y284" s="1388" t="str">
        <f>+IF(X284="","",IF(X284&gt;=[19]PARÁMETROS!$J$5,"CUMPLE","NO CUMPLE"))</f>
        <v>CUMPLE</v>
      </c>
      <c r="Z284" s="97"/>
    </row>
    <row r="285" spans="1:26" ht="57">
      <c r="A285" s="1615"/>
      <c r="B285" s="1510"/>
      <c r="C285" s="19" t="s">
        <v>441</v>
      </c>
      <c r="D285" s="20">
        <v>21</v>
      </c>
      <c r="E285" s="21" t="s">
        <v>2188</v>
      </c>
      <c r="F285" s="22" t="s">
        <v>2461</v>
      </c>
      <c r="G285" s="23" t="s">
        <v>1986</v>
      </c>
      <c r="H285" s="1388" t="s">
        <v>22</v>
      </c>
      <c r="I285" s="1388" t="s">
        <v>22</v>
      </c>
      <c r="J285" s="1388" t="s">
        <v>22</v>
      </c>
      <c r="K285" s="1388" t="s">
        <v>129</v>
      </c>
      <c r="L285" s="24">
        <v>1</v>
      </c>
      <c r="M285" s="25">
        <v>39542</v>
      </c>
      <c r="N285" s="25">
        <v>40669</v>
      </c>
      <c r="O285" s="26">
        <f t="shared" si="40"/>
        <v>2011</v>
      </c>
      <c r="P285" s="27">
        <f>+IFERROR(INDEX([19]PARÁMETROS!$B$11:$B$37,MATCH(O285,[19]PARÁMETROS!$A$11:$A$37,0)),"")</f>
        <v>535600</v>
      </c>
      <c r="Q285" s="28">
        <v>4384894733</v>
      </c>
      <c r="R285" s="29" t="s">
        <v>151</v>
      </c>
      <c r="S285" s="19" t="s">
        <v>326</v>
      </c>
      <c r="T285" s="30" t="s">
        <v>326</v>
      </c>
      <c r="U285" s="31">
        <v>1</v>
      </c>
      <c r="V285" s="27">
        <f t="shared" si="43"/>
        <v>4384894733</v>
      </c>
      <c r="W285" s="16">
        <f t="shared" si="41"/>
        <v>8186.8833700522782</v>
      </c>
      <c r="X285" s="16">
        <f t="shared" si="42"/>
        <v>8186.8833700522782</v>
      </c>
      <c r="Y285" s="1388" t="str">
        <f>+IF(X285="","",IF(X285&gt;=[19]PARÁMETROS!$J$5,"CUMPLE","NO CUMPLE"))</f>
        <v>CUMPLE</v>
      </c>
      <c r="Z285" s="97"/>
    </row>
    <row r="286" spans="1:26" ht="72" thickBot="1">
      <c r="A286" s="1615"/>
      <c r="B286" s="1510"/>
      <c r="C286" s="19" t="s">
        <v>441</v>
      </c>
      <c r="D286" s="123">
        <v>23</v>
      </c>
      <c r="E286" s="21" t="s">
        <v>2188</v>
      </c>
      <c r="F286" s="22" t="s">
        <v>2461</v>
      </c>
      <c r="G286" s="23" t="s">
        <v>2409</v>
      </c>
      <c r="H286" s="1388" t="s">
        <v>22</v>
      </c>
      <c r="I286" s="1388" t="s">
        <v>22</v>
      </c>
      <c r="J286" s="1388" t="s">
        <v>22</v>
      </c>
      <c r="K286" s="1388" t="s">
        <v>129</v>
      </c>
      <c r="L286" s="24">
        <v>1</v>
      </c>
      <c r="M286" s="25">
        <v>39906</v>
      </c>
      <c r="N286" s="25">
        <v>41482</v>
      </c>
      <c r="O286" s="26">
        <f t="shared" si="40"/>
        <v>2013</v>
      </c>
      <c r="P286" s="27">
        <f>+IFERROR(INDEX([19]PARÁMETROS!$B$11:$B$37,MATCH(O286,[19]PARÁMETROS!$A$11:$A$37,0)),"")</f>
        <v>589500</v>
      </c>
      <c r="Q286" s="28">
        <v>3610468316</v>
      </c>
      <c r="R286" s="29" t="s">
        <v>151</v>
      </c>
      <c r="S286" s="19" t="s">
        <v>326</v>
      </c>
      <c r="T286" s="30" t="s">
        <v>326</v>
      </c>
      <c r="U286" s="31">
        <v>1</v>
      </c>
      <c r="V286" s="27">
        <f t="shared" si="43"/>
        <v>3610468316</v>
      </c>
      <c r="W286" s="16">
        <f t="shared" si="41"/>
        <v>6124.6281865988121</v>
      </c>
      <c r="X286" s="16">
        <f t="shared" si="42"/>
        <v>6124.6281865988121</v>
      </c>
      <c r="Y286" s="1392" t="str">
        <f>+IF(X286="","",IF(X286&gt;=[19]PARÁMETROS!$J$5,"CUMPLE","NO CUMPLE"))</f>
        <v>CUMPLE</v>
      </c>
      <c r="Z286" s="97"/>
    </row>
    <row r="287" spans="1:26" ht="71.25">
      <c r="A287" s="1615"/>
      <c r="B287" s="1509" t="s">
        <v>2190</v>
      </c>
      <c r="C287" s="81" t="s">
        <v>451</v>
      </c>
      <c r="D287" s="82">
        <v>5</v>
      </c>
      <c r="E287" s="83" t="s">
        <v>2191</v>
      </c>
      <c r="F287" s="84" t="s">
        <v>448</v>
      </c>
      <c r="G287" s="85" t="s">
        <v>2192</v>
      </c>
      <c r="H287" s="1393" t="s">
        <v>22</v>
      </c>
      <c r="I287" s="1393" t="s">
        <v>129</v>
      </c>
      <c r="J287" s="1393" t="s">
        <v>22</v>
      </c>
      <c r="K287" s="1393" t="s">
        <v>129</v>
      </c>
      <c r="L287" s="86">
        <v>0.7</v>
      </c>
      <c r="M287" s="87">
        <v>39615</v>
      </c>
      <c r="N287" s="87">
        <v>41502</v>
      </c>
      <c r="O287" s="88">
        <f t="shared" si="40"/>
        <v>2013</v>
      </c>
      <c r="P287" s="89">
        <f>+IFERROR(INDEX([19]PARÁMETROS!$B$11:$B$37,MATCH(O287,[19]PARÁMETROS!$A$11:$A$37,0)),"")</f>
        <v>589500</v>
      </c>
      <c r="Q287" s="90">
        <v>28736581560</v>
      </c>
      <c r="R287" s="91" t="s">
        <v>151</v>
      </c>
      <c r="S287" s="81" t="s">
        <v>326</v>
      </c>
      <c r="T287" s="92" t="s">
        <v>326</v>
      </c>
      <c r="U287" s="93">
        <v>1</v>
      </c>
      <c r="V287" s="89">
        <f t="shared" si="43"/>
        <v>28736581560</v>
      </c>
      <c r="W287" s="94">
        <f t="shared" si="41"/>
        <v>48747.381781170487</v>
      </c>
      <c r="X287" s="94">
        <f t="shared" si="42"/>
        <v>34123.167246819336</v>
      </c>
      <c r="Y287" s="1400" t="str">
        <f>+IF(X287="","",IF(X287&gt;=[19]PARÁMETROS!$J$5,"CUMPLE","NO CUMPLE"))</f>
        <v>CUMPLE</v>
      </c>
      <c r="Z287" s="96"/>
    </row>
    <row r="288" spans="1:26" ht="114">
      <c r="A288" s="1615"/>
      <c r="B288" s="1510"/>
      <c r="C288" s="19" t="s">
        <v>451</v>
      </c>
      <c r="D288" s="20">
        <v>15</v>
      </c>
      <c r="E288" s="21" t="s">
        <v>2191</v>
      </c>
      <c r="F288" s="22" t="s">
        <v>147</v>
      </c>
      <c r="G288" s="22" t="s">
        <v>2462</v>
      </c>
      <c r="H288" s="1388" t="s">
        <v>22</v>
      </c>
      <c r="I288" s="1388" t="s">
        <v>22</v>
      </c>
      <c r="J288" s="1388" t="s">
        <v>22</v>
      </c>
      <c r="K288" s="1388" t="s">
        <v>129</v>
      </c>
      <c r="L288" s="34">
        <v>0.4</v>
      </c>
      <c r="M288" s="25">
        <v>40567</v>
      </c>
      <c r="N288" s="25" t="s">
        <v>152</v>
      </c>
      <c r="O288" s="26">
        <v>2015</v>
      </c>
      <c r="P288" s="27">
        <f>+IFERROR(INDEX([19]PARÁMETROS!$B$11:$B$37,MATCH(O288,[19]PARÁMETROS!$A$11:$A$37,0)),"")</f>
        <v>644350</v>
      </c>
      <c r="Q288" s="35">
        <v>39896268072</v>
      </c>
      <c r="R288" s="27" t="s">
        <v>151</v>
      </c>
      <c r="S288" s="19" t="s">
        <v>326</v>
      </c>
      <c r="T288" s="30" t="s">
        <v>326</v>
      </c>
      <c r="U288" s="31">
        <v>1</v>
      </c>
      <c r="V288" s="27">
        <f t="shared" si="43"/>
        <v>39896268072</v>
      </c>
      <c r="W288" s="16">
        <f t="shared" si="41"/>
        <v>61917.076234965469</v>
      </c>
      <c r="X288" s="16">
        <f t="shared" si="42"/>
        <v>24766.830493986188</v>
      </c>
      <c r="Y288" s="1388" t="str">
        <f>+IF(X288="","",IF(X288&gt;=[19]PARÁMETROS!$J$5,"CUMPLE","NO CUMPLE"))</f>
        <v>CUMPLE</v>
      </c>
      <c r="Z288" s="97"/>
    </row>
    <row r="289" spans="1:26" ht="57">
      <c r="A289" s="1615"/>
      <c r="B289" s="1510"/>
      <c r="C289" s="19" t="s">
        <v>451</v>
      </c>
      <c r="D289" s="20">
        <v>27</v>
      </c>
      <c r="E289" s="21" t="s">
        <v>2191</v>
      </c>
      <c r="F289" s="22" t="s">
        <v>155</v>
      </c>
      <c r="G289" s="22" t="s">
        <v>2193</v>
      </c>
      <c r="H289" s="1388" t="s">
        <v>22</v>
      </c>
      <c r="I289" s="1388" t="s">
        <v>129</v>
      </c>
      <c r="J289" s="1388" t="s">
        <v>22</v>
      </c>
      <c r="K289" s="1388" t="s">
        <v>129</v>
      </c>
      <c r="L289" s="34">
        <v>0.55000000000000004</v>
      </c>
      <c r="M289" s="25">
        <v>39856</v>
      </c>
      <c r="N289" s="25">
        <v>40979</v>
      </c>
      <c r="O289" s="26">
        <f t="shared" si="40"/>
        <v>2012</v>
      </c>
      <c r="P289" s="27">
        <f>+IFERROR(INDEX([19]PARÁMETROS!$B$11:$B$37,MATCH(O289,[19]PARÁMETROS!$A$11:$A$37,0)),"")</f>
        <v>566700</v>
      </c>
      <c r="Q289" s="35">
        <v>3720919329.1999998</v>
      </c>
      <c r="R289" s="29" t="s">
        <v>151</v>
      </c>
      <c r="S289" s="19" t="s">
        <v>326</v>
      </c>
      <c r="T289" s="30" t="s">
        <v>326</v>
      </c>
      <c r="U289" s="31">
        <v>1</v>
      </c>
      <c r="V289" s="27">
        <f t="shared" si="43"/>
        <v>3720919329.1999998</v>
      </c>
      <c r="W289" s="16">
        <f t="shared" si="41"/>
        <v>6565.9419961178755</v>
      </c>
      <c r="X289" s="16">
        <f t="shared" si="42"/>
        <v>3611.2680978648318</v>
      </c>
      <c r="Y289" s="1388" t="str">
        <f>+IF(X289="","",IF(X289&gt;=[19]PARÁMETROS!$J$5,"CUMPLE","NO CUMPLE"))</f>
        <v>CUMPLE</v>
      </c>
      <c r="Z289" s="97"/>
    </row>
    <row r="290" spans="1:26" ht="57.75" thickBot="1">
      <c r="A290" s="1615"/>
      <c r="B290" s="1510"/>
      <c r="C290" s="19" t="s">
        <v>455</v>
      </c>
      <c r="D290" s="123">
        <v>37</v>
      </c>
      <c r="E290" s="21" t="s">
        <v>2194</v>
      </c>
      <c r="F290" s="22" t="s">
        <v>362</v>
      </c>
      <c r="G290" s="37" t="s">
        <v>2195</v>
      </c>
      <c r="H290" s="1388" t="s">
        <v>129</v>
      </c>
      <c r="I290" s="1388" t="s">
        <v>129</v>
      </c>
      <c r="J290" s="1388" t="s">
        <v>22</v>
      </c>
      <c r="K290" s="1388" t="s">
        <v>129</v>
      </c>
      <c r="L290" s="24">
        <v>1</v>
      </c>
      <c r="M290" s="25">
        <v>39673</v>
      </c>
      <c r="N290" s="25">
        <v>40678</v>
      </c>
      <c r="O290" s="26">
        <f t="shared" si="40"/>
        <v>2011</v>
      </c>
      <c r="P290" s="27">
        <f>+IFERROR(INDEX([19]PARÁMETROS!$B$11:$B$37,MATCH(O290,[19]PARÁMETROS!$A$11:$A$37,0)),"")</f>
        <v>535600</v>
      </c>
      <c r="Q290" s="28">
        <v>3323000000</v>
      </c>
      <c r="R290" s="29" t="s">
        <v>179</v>
      </c>
      <c r="S290" s="639">
        <v>1</v>
      </c>
      <c r="T290" s="30">
        <v>3323000000</v>
      </c>
      <c r="U290" s="639">
        <v>1805.37</v>
      </c>
      <c r="V290" s="27">
        <f>IF(U290&lt;&gt;"",T290*U290,"")</f>
        <v>5999244510000</v>
      </c>
      <c r="W290" s="16">
        <f t="shared" si="41"/>
        <v>11200979.29424944</v>
      </c>
      <c r="X290" s="16">
        <f t="shared" si="42"/>
        <v>11200979.29424944</v>
      </c>
      <c r="Y290" s="1392" t="s">
        <v>2196</v>
      </c>
      <c r="Z290" s="97"/>
    </row>
    <row r="291" spans="1:26" ht="78.75">
      <c r="A291" s="1615"/>
      <c r="B291" s="1509" t="s">
        <v>2197</v>
      </c>
      <c r="C291" s="81" t="s">
        <v>464</v>
      </c>
      <c r="D291" s="82">
        <v>3</v>
      </c>
      <c r="E291" s="83" t="s">
        <v>2198</v>
      </c>
      <c r="F291" s="84" t="s">
        <v>214</v>
      </c>
      <c r="G291" s="85" t="s">
        <v>2463</v>
      </c>
      <c r="H291" s="1393" t="s">
        <v>22</v>
      </c>
      <c r="I291" s="1393" t="s">
        <v>129</v>
      </c>
      <c r="J291" s="1393" t="s">
        <v>22</v>
      </c>
      <c r="K291" s="1393" t="s">
        <v>129</v>
      </c>
      <c r="L291" s="86">
        <v>1</v>
      </c>
      <c r="M291" s="87">
        <v>38240</v>
      </c>
      <c r="N291" s="87">
        <v>39000</v>
      </c>
      <c r="O291" s="88">
        <f t="shared" si="40"/>
        <v>2006</v>
      </c>
      <c r="P291" s="89">
        <f>+IFERROR(INDEX([19]PARÁMETROS!$B$11:$B$37,MATCH(O291,[19]PARÁMETROS!$A$11:$A$37,0)),"")</f>
        <v>408000</v>
      </c>
      <c r="Q291" s="643">
        <v>853279.99</v>
      </c>
      <c r="R291" s="91" t="s">
        <v>142</v>
      </c>
      <c r="S291" s="81">
        <v>1.25972</v>
      </c>
      <c r="T291" s="92">
        <f>+S291*Q291</f>
        <v>1074893.8690028</v>
      </c>
      <c r="U291" s="81">
        <v>2395.23</v>
      </c>
      <c r="V291" s="89">
        <f>+U291*T291</f>
        <v>2574618041.8515768</v>
      </c>
      <c r="W291" s="94">
        <f t="shared" si="41"/>
        <v>6310.3383378715116</v>
      </c>
      <c r="X291" s="94">
        <f t="shared" si="42"/>
        <v>6310.3383378715116</v>
      </c>
      <c r="Y291" s="1400" t="str">
        <f>+IF(X291="","",IF(X291&gt;=[19]PARÁMETROS!$J$5,"CUMPLE","NO CUMPLE"))</f>
        <v>CUMPLE</v>
      </c>
      <c r="Z291" s="96"/>
    </row>
    <row r="292" spans="1:26" ht="78.75">
      <c r="A292" s="1615"/>
      <c r="B292" s="1510"/>
      <c r="C292" s="19" t="s">
        <v>464</v>
      </c>
      <c r="D292" s="20">
        <v>8</v>
      </c>
      <c r="E292" s="21" t="s">
        <v>2198</v>
      </c>
      <c r="F292" s="22" t="s">
        <v>214</v>
      </c>
      <c r="G292" s="23" t="s">
        <v>2464</v>
      </c>
      <c r="H292" s="1388" t="s">
        <v>22</v>
      </c>
      <c r="I292" s="1388" t="s">
        <v>129</v>
      </c>
      <c r="J292" s="1388" t="s">
        <v>22</v>
      </c>
      <c r="K292" s="1388" t="s">
        <v>129</v>
      </c>
      <c r="L292" s="24">
        <v>1</v>
      </c>
      <c r="M292" s="25">
        <v>38250</v>
      </c>
      <c r="N292" s="25">
        <v>39112</v>
      </c>
      <c r="O292" s="26">
        <f t="shared" si="40"/>
        <v>2007</v>
      </c>
      <c r="P292" s="27">
        <f>+IFERROR(INDEX([19]PARÁMETROS!$B$11:$B$37,MATCH(O292,[19]PARÁMETROS!$A$11:$A$37,0)),"")</f>
        <v>433700</v>
      </c>
      <c r="Q292" s="644">
        <v>845866.1</v>
      </c>
      <c r="R292" s="29" t="s">
        <v>142</v>
      </c>
      <c r="S292" s="19">
        <v>1.2919400000000001</v>
      </c>
      <c r="T292" s="30">
        <f>+S292*Q292</f>
        <v>1092808.249234</v>
      </c>
      <c r="U292" s="19">
        <v>2261.2199999999998</v>
      </c>
      <c r="V292" s="27">
        <f>+U292*T292</f>
        <v>2471079869.3329053</v>
      </c>
      <c r="W292" s="16">
        <f t="shared" si="41"/>
        <v>5697.6709000066985</v>
      </c>
      <c r="X292" s="16">
        <f t="shared" si="42"/>
        <v>5697.6709000066985</v>
      </c>
      <c r="Y292" s="1388" t="str">
        <f>+IF(X292="","",IF(X292&gt;=[19]PARÁMETROS!$J$5,"CUMPLE","NO CUMPLE"))</f>
        <v>CUMPLE</v>
      </c>
      <c r="Z292" s="97"/>
    </row>
    <row r="293" spans="1:26" ht="78.75">
      <c r="A293" s="1615"/>
      <c r="B293" s="1510"/>
      <c r="C293" s="19" t="s">
        <v>464</v>
      </c>
      <c r="D293" s="20">
        <v>13</v>
      </c>
      <c r="E293" s="21" t="s">
        <v>2198</v>
      </c>
      <c r="F293" s="22" t="s">
        <v>2465</v>
      </c>
      <c r="G293" s="23" t="s">
        <v>2466</v>
      </c>
      <c r="H293" s="1388" t="s">
        <v>129</v>
      </c>
      <c r="I293" s="1388" t="s">
        <v>129</v>
      </c>
      <c r="J293" s="1388" t="s">
        <v>22</v>
      </c>
      <c r="K293" s="1388" t="s">
        <v>129</v>
      </c>
      <c r="L293" s="24">
        <v>1</v>
      </c>
      <c r="M293" s="25">
        <v>38632</v>
      </c>
      <c r="N293" s="25">
        <v>39423</v>
      </c>
      <c r="O293" s="26">
        <f t="shared" si="40"/>
        <v>2007</v>
      </c>
      <c r="P293" s="27">
        <f>+IFERROR(INDEX([19]PARÁMETROS!$B$11:$B$37,MATCH(O293,[19]PARÁMETROS!$A$11:$A$37,0)),"")</f>
        <v>433700</v>
      </c>
      <c r="Q293" s="644">
        <v>685995.58</v>
      </c>
      <c r="R293" s="29" t="s">
        <v>142</v>
      </c>
      <c r="S293" s="19">
        <v>1.4601200000000001</v>
      </c>
      <c r="T293" s="30">
        <f>+S293*Q293</f>
        <v>1001635.8662696</v>
      </c>
      <c r="U293" s="19">
        <v>2023.18</v>
      </c>
      <c r="V293" s="27">
        <f>+U293*T293</f>
        <v>2026489651.9193294</v>
      </c>
      <c r="W293" s="16">
        <f t="shared" si="41"/>
        <v>4672.5608759956867</v>
      </c>
      <c r="X293" s="16">
        <f t="shared" si="42"/>
        <v>4672.5608759956867</v>
      </c>
      <c r="Y293" s="1388" t="str">
        <f>+IF(X293="","",IF(X293&gt;=[19]PARÁMETROS!$J$5,"CUMPLE","NO CUMPLE"))</f>
        <v>CUMPLE</v>
      </c>
      <c r="Z293" s="97"/>
    </row>
    <row r="294" spans="1:26" ht="57.75" thickBot="1">
      <c r="A294" s="1615"/>
      <c r="B294" s="1510"/>
      <c r="C294" s="19" t="s">
        <v>1823</v>
      </c>
      <c r="D294" s="123">
        <v>23</v>
      </c>
      <c r="E294" s="21" t="s">
        <v>2201</v>
      </c>
      <c r="F294" s="22" t="s">
        <v>147</v>
      </c>
      <c r="G294" s="23" t="s">
        <v>2202</v>
      </c>
      <c r="H294" s="1388" t="s">
        <v>22</v>
      </c>
      <c r="I294" s="1388" t="s">
        <v>22</v>
      </c>
      <c r="J294" s="1388" t="s">
        <v>22</v>
      </c>
      <c r="K294" s="1388" t="s">
        <v>129</v>
      </c>
      <c r="L294" s="24">
        <v>0.5</v>
      </c>
      <c r="M294" s="25">
        <v>38772</v>
      </c>
      <c r="N294" s="25">
        <v>40656</v>
      </c>
      <c r="O294" s="26">
        <f t="shared" si="40"/>
        <v>2011</v>
      </c>
      <c r="P294" s="27">
        <f>+IFERROR(INDEX([19]PARÁMETROS!$B$11:$B$37,MATCH(O294,[19]PARÁMETROS!$A$11:$A$37,0)),"")</f>
        <v>535600</v>
      </c>
      <c r="Q294" s="28">
        <f>2886785280+115909520+305080445+1344546519+141503092</f>
        <v>4793824856</v>
      </c>
      <c r="R294" s="29" t="s">
        <v>151</v>
      </c>
      <c r="S294" s="19" t="s">
        <v>326</v>
      </c>
      <c r="T294" s="30" t="s">
        <v>326</v>
      </c>
      <c r="U294" s="31">
        <v>1</v>
      </c>
      <c r="V294" s="27">
        <f t="shared" si="43"/>
        <v>4793824856</v>
      </c>
      <c r="W294" s="16">
        <f t="shared" si="41"/>
        <v>8950.3824794622851</v>
      </c>
      <c r="X294" s="16">
        <f t="shared" si="42"/>
        <v>4475.1912397311426</v>
      </c>
      <c r="Y294" s="1392" t="str">
        <f>+IF(X294="","",IF(X294&gt;=[19]PARÁMETROS!$J$5,"CUMPLE","NO CUMPLE"))</f>
        <v>CUMPLE</v>
      </c>
      <c r="Z294" s="97"/>
    </row>
    <row r="295" spans="1:26" ht="57">
      <c r="A295" s="1615"/>
      <c r="B295" s="1509" t="s">
        <v>2204</v>
      </c>
      <c r="C295" s="81" t="s">
        <v>2212</v>
      </c>
      <c r="D295" s="82">
        <v>7</v>
      </c>
      <c r="E295" s="83" t="s">
        <v>2213</v>
      </c>
      <c r="F295" s="84" t="s">
        <v>155</v>
      </c>
      <c r="G295" s="85" t="s">
        <v>2214</v>
      </c>
      <c r="H295" s="1393" t="s">
        <v>22</v>
      </c>
      <c r="I295" s="1393" t="s">
        <v>129</v>
      </c>
      <c r="J295" s="1393" t="s">
        <v>22</v>
      </c>
      <c r="K295" s="1393" t="s">
        <v>129</v>
      </c>
      <c r="L295" s="86">
        <v>0.6</v>
      </c>
      <c r="M295" s="87">
        <v>40064</v>
      </c>
      <c r="N295" s="87">
        <v>41999</v>
      </c>
      <c r="O295" s="88">
        <f t="shared" si="40"/>
        <v>2014</v>
      </c>
      <c r="P295" s="89">
        <f>+IFERROR(INDEX([19]PARÁMETROS!$B$11:$B$37,MATCH(O295,[19]PARÁMETROS!$A$11:$A$37,0)),"")</f>
        <v>616000</v>
      </c>
      <c r="Q295" s="90">
        <v>8501000000</v>
      </c>
      <c r="R295" s="91" t="s">
        <v>151</v>
      </c>
      <c r="S295" s="81" t="s">
        <v>326</v>
      </c>
      <c r="T295" s="92" t="s">
        <v>326</v>
      </c>
      <c r="U295" s="93">
        <v>1</v>
      </c>
      <c r="V295" s="89">
        <f t="shared" si="43"/>
        <v>8501000000</v>
      </c>
      <c r="W295" s="94">
        <f t="shared" si="41"/>
        <v>13800.324675324675</v>
      </c>
      <c r="X295" s="94">
        <f t="shared" si="42"/>
        <v>8280.1948051948038</v>
      </c>
      <c r="Y295" s="1400" t="str">
        <f>+IF(X295="","",IF(X295&gt;=[19]PARÁMETROS!$J$5,"CUMPLE","NO CUMPLE"))</f>
        <v>CUMPLE</v>
      </c>
      <c r="Z295" s="96"/>
    </row>
    <row r="296" spans="1:26" ht="71.25">
      <c r="A296" s="1615"/>
      <c r="B296" s="1510"/>
      <c r="C296" s="19" t="s">
        <v>1829</v>
      </c>
      <c r="D296" s="20">
        <v>15</v>
      </c>
      <c r="E296" s="21" t="s">
        <v>2209</v>
      </c>
      <c r="F296" s="22" t="s">
        <v>155</v>
      </c>
      <c r="G296" s="23" t="s">
        <v>2210</v>
      </c>
      <c r="H296" s="1388" t="s">
        <v>22</v>
      </c>
      <c r="I296" s="1388" t="s">
        <v>22</v>
      </c>
      <c r="J296" s="1388" t="s">
        <v>22</v>
      </c>
      <c r="K296" s="1388" t="s">
        <v>129</v>
      </c>
      <c r="L296" s="24">
        <v>0.5</v>
      </c>
      <c r="M296" s="25">
        <v>35076</v>
      </c>
      <c r="N296" s="25">
        <v>35881</v>
      </c>
      <c r="O296" s="26">
        <f t="shared" si="40"/>
        <v>1998</v>
      </c>
      <c r="P296" s="27">
        <f>+IFERROR(INDEX([19]PARÁMETROS!$B$11:$B$37,MATCH(O296,[19]PARÁMETROS!$A$11:$A$37,0)),"")</f>
        <v>203826</v>
      </c>
      <c r="Q296" s="28">
        <v>1603996630</v>
      </c>
      <c r="R296" s="29" t="s">
        <v>151</v>
      </c>
      <c r="S296" s="19" t="s">
        <v>326</v>
      </c>
      <c r="T296" s="30" t="s">
        <v>326</v>
      </c>
      <c r="U296" s="31">
        <v>1</v>
      </c>
      <c r="V296" s="27">
        <f t="shared" si="43"/>
        <v>1603996630</v>
      </c>
      <c r="W296" s="16">
        <f t="shared" si="41"/>
        <v>7869.4407484815483</v>
      </c>
      <c r="X296" s="16">
        <f t="shared" si="42"/>
        <v>3934.7203742407742</v>
      </c>
      <c r="Y296" s="1388" t="str">
        <f>+IF(X296="","",IF(X296&gt;=[19]PARÁMETROS!$J$5,"CUMPLE","NO CUMPLE"))</f>
        <v>CUMPLE</v>
      </c>
      <c r="Z296" s="97"/>
    </row>
    <row r="297" spans="1:26" ht="63">
      <c r="A297" s="1615"/>
      <c r="B297" s="1510"/>
      <c r="C297" s="19" t="s">
        <v>1829</v>
      </c>
      <c r="D297" s="20">
        <v>46</v>
      </c>
      <c r="E297" s="21" t="s">
        <v>2209</v>
      </c>
      <c r="F297" s="37" t="s">
        <v>155</v>
      </c>
      <c r="G297" s="37" t="s">
        <v>2211</v>
      </c>
      <c r="H297" s="1388" t="s">
        <v>22</v>
      </c>
      <c r="I297" s="1388" t="s">
        <v>129</v>
      </c>
      <c r="J297" s="1388" t="s">
        <v>22</v>
      </c>
      <c r="K297" s="1388" t="s">
        <v>129</v>
      </c>
      <c r="L297" s="38">
        <v>0.75</v>
      </c>
      <c r="M297" s="40">
        <v>37411</v>
      </c>
      <c r="N297" s="25">
        <v>38518</v>
      </c>
      <c r="O297" s="26">
        <f t="shared" si="40"/>
        <v>2005</v>
      </c>
      <c r="P297" s="27">
        <f>+IFERROR(INDEX([19]PARÁMETROS!$B$11:$B$37,MATCH(O297,[19]PARÁMETROS!$A$11:$A$37,0)),"")</f>
        <v>381500</v>
      </c>
      <c r="Q297" s="28">
        <v>2982660825</v>
      </c>
      <c r="R297" s="29" t="s">
        <v>151</v>
      </c>
      <c r="S297" s="19" t="s">
        <v>326</v>
      </c>
      <c r="T297" s="30" t="s">
        <v>326</v>
      </c>
      <c r="U297" s="31">
        <v>1</v>
      </c>
      <c r="V297" s="27">
        <f t="shared" si="43"/>
        <v>2982660825</v>
      </c>
      <c r="W297" s="16">
        <f t="shared" si="41"/>
        <v>7818.2459370904326</v>
      </c>
      <c r="X297" s="16">
        <f t="shared" si="42"/>
        <v>5863.6844528178244</v>
      </c>
      <c r="Y297" s="1388" t="str">
        <f>+IF(X297="","",IF(X297&gt;=[19]PARÁMETROS!$J$5,"CUMPLE","NO CUMPLE"))</f>
        <v>CUMPLE</v>
      </c>
      <c r="Z297" s="121"/>
    </row>
    <row r="298" spans="1:26" ht="86.25" thickBot="1">
      <c r="A298" s="1615"/>
      <c r="B298" s="1510"/>
      <c r="C298" s="19" t="s">
        <v>1829</v>
      </c>
      <c r="D298" s="123">
        <v>87</v>
      </c>
      <c r="E298" s="21" t="s">
        <v>2209</v>
      </c>
      <c r="F298" s="22" t="s">
        <v>155</v>
      </c>
      <c r="G298" s="23" t="s">
        <v>2467</v>
      </c>
      <c r="H298" s="1388" t="s">
        <v>22</v>
      </c>
      <c r="I298" s="1388" t="s">
        <v>129</v>
      </c>
      <c r="J298" s="1388" t="s">
        <v>22</v>
      </c>
      <c r="K298" s="1388" t="s">
        <v>129</v>
      </c>
      <c r="L298" s="39">
        <v>1</v>
      </c>
      <c r="M298" s="40">
        <v>32965</v>
      </c>
      <c r="N298" s="41">
        <v>35054</v>
      </c>
      <c r="O298" s="26">
        <f t="shared" si="40"/>
        <v>1995</v>
      </c>
      <c r="P298" s="27">
        <f>+IFERROR(INDEX([19]PARÁMETROS!$B$11:$B$37,MATCH(O298,[19]PARÁMETROS!$A$11:$A$37,0)),"")</f>
        <v>118933.5</v>
      </c>
      <c r="Q298" s="232">
        <v>824463304</v>
      </c>
      <c r="R298" s="29" t="s">
        <v>151</v>
      </c>
      <c r="S298" s="29" t="s">
        <v>326</v>
      </c>
      <c r="T298" s="29" t="s">
        <v>326</v>
      </c>
      <c r="U298" s="29">
        <v>1</v>
      </c>
      <c r="V298" s="27">
        <f t="shared" si="43"/>
        <v>824463304</v>
      </c>
      <c r="W298" s="16">
        <f t="shared" si="41"/>
        <v>6932.1369000323712</v>
      </c>
      <c r="X298" s="16">
        <f t="shared" si="42"/>
        <v>6932.1369000323712</v>
      </c>
      <c r="Y298" s="1392" t="str">
        <f>+IF(X298="","",IF(X298&gt;=[19]PARÁMETROS!$J$5,"CUMPLE","NO CUMPLE"))</f>
        <v>CUMPLE</v>
      </c>
      <c r="Z298" s="97"/>
    </row>
    <row r="299" spans="1:26" ht="57">
      <c r="A299" s="1615"/>
      <c r="B299" s="1509" t="s">
        <v>2217</v>
      </c>
      <c r="C299" s="81" t="s">
        <v>482</v>
      </c>
      <c r="D299" s="82">
        <v>3</v>
      </c>
      <c r="E299" s="83" t="s">
        <v>408</v>
      </c>
      <c r="F299" s="84" t="s">
        <v>2222</v>
      </c>
      <c r="G299" s="85" t="s">
        <v>2223</v>
      </c>
      <c r="H299" s="1393" t="s">
        <v>22</v>
      </c>
      <c r="I299" s="1393" t="s">
        <v>22</v>
      </c>
      <c r="J299" s="1393" t="s">
        <v>22</v>
      </c>
      <c r="K299" s="1393" t="s">
        <v>129</v>
      </c>
      <c r="L299" s="86">
        <v>0.55000000000000004</v>
      </c>
      <c r="M299" s="87">
        <v>34338</v>
      </c>
      <c r="N299" s="87">
        <v>36305</v>
      </c>
      <c r="O299" s="88">
        <f t="shared" si="40"/>
        <v>1999</v>
      </c>
      <c r="P299" s="89">
        <f>+IFERROR(INDEX([19]PARÁMETROS!$B$11:$B$37,MATCH(O299,[19]PARÁMETROS!$A$11:$A$37,0)),"")</f>
        <v>236460</v>
      </c>
      <c r="Q299" s="90">
        <v>4644921688</v>
      </c>
      <c r="R299" s="91" t="s">
        <v>151</v>
      </c>
      <c r="S299" s="81" t="s">
        <v>326</v>
      </c>
      <c r="T299" s="92" t="s">
        <v>326</v>
      </c>
      <c r="U299" s="93">
        <v>1</v>
      </c>
      <c r="V299" s="89">
        <f t="shared" si="43"/>
        <v>4644921688</v>
      </c>
      <c r="W299" s="94">
        <f t="shared" si="41"/>
        <v>19643.583219149117</v>
      </c>
      <c r="X299" s="94">
        <f t="shared" si="42"/>
        <v>10803.970770532016</v>
      </c>
      <c r="Y299" s="1400" t="str">
        <f>+IF(X299="","",IF(X299&gt;=[19]PARÁMETROS!$J$5,"CUMPLE","NO CUMPLE"))</f>
        <v>CUMPLE</v>
      </c>
      <c r="Z299" s="96"/>
    </row>
    <row r="300" spans="1:26" ht="42.75">
      <c r="A300" s="1615"/>
      <c r="B300" s="1510"/>
      <c r="C300" s="19" t="s">
        <v>477</v>
      </c>
      <c r="D300" s="20">
        <v>22</v>
      </c>
      <c r="E300" s="21" t="s">
        <v>2218</v>
      </c>
      <c r="F300" s="22" t="s">
        <v>214</v>
      </c>
      <c r="G300" s="23" t="s">
        <v>2221</v>
      </c>
      <c r="H300" s="1388" t="s">
        <v>22</v>
      </c>
      <c r="I300" s="1388" t="s">
        <v>129</v>
      </c>
      <c r="J300" s="1388" t="s">
        <v>22</v>
      </c>
      <c r="K300" s="1388" t="s">
        <v>129</v>
      </c>
      <c r="L300" s="24">
        <v>1</v>
      </c>
      <c r="M300" s="25">
        <v>38296</v>
      </c>
      <c r="N300" s="25">
        <v>39360</v>
      </c>
      <c r="O300" s="26">
        <f t="shared" si="40"/>
        <v>2007</v>
      </c>
      <c r="P300" s="27">
        <f>+IFERROR(INDEX([19]PARÁMETROS!$B$11:$B$37,MATCH(O300,[19]PARÁMETROS!$A$11:$A$37,0)),"")</f>
        <v>433700</v>
      </c>
      <c r="Q300" s="30">
        <v>1248500.53</v>
      </c>
      <c r="R300" s="29" t="s">
        <v>142</v>
      </c>
      <c r="S300" s="19">
        <v>1.4105700000000001</v>
      </c>
      <c r="T300" s="30">
        <f>+S300*Q300</f>
        <v>1761097.3926021003</v>
      </c>
      <c r="U300" s="19">
        <v>2018.45</v>
      </c>
      <c r="V300" s="27">
        <f>+U300*T300</f>
        <v>3554687032.0977092</v>
      </c>
      <c r="W300" s="16">
        <f t="shared" si="41"/>
        <v>8196.188683647013</v>
      </c>
      <c r="X300" s="16">
        <f t="shared" si="42"/>
        <v>8196.188683647013</v>
      </c>
      <c r="Y300" s="1388" t="str">
        <f>+IF(X300="","",IF(X300&gt;=[19]PARÁMETROS!$J$5,"CUMPLE","NO CUMPLE"))</f>
        <v>CUMPLE</v>
      </c>
      <c r="Z300" s="97"/>
    </row>
    <row r="301" spans="1:26" ht="42.75">
      <c r="A301" s="1615"/>
      <c r="B301" s="1510"/>
      <c r="C301" s="19" t="s">
        <v>477</v>
      </c>
      <c r="D301" s="20">
        <v>33</v>
      </c>
      <c r="E301" s="21" t="s">
        <v>2218</v>
      </c>
      <c r="F301" s="22" t="s">
        <v>214</v>
      </c>
      <c r="G301" s="23" t="s">
        <v>2220</v>
      </c>
      <c r="H301" s="1388" t="s">
        <v>22</v>
      </c>
      <c r="I301" s="1388" t="s">
        <v>129</v>
      </c>
      <c r="J301" s="1388" t="s">
        <v>22</v>
      </c>
      <c r="K301" s="1388" t="s">
        <v>129</v>
      </c>
      <c r="L301" s="24">
        <v>1</v>
      </c>
      <c r="M301" s="25">
        <v>38660</v>
      </c>
      <c r="N301" s="25">
        <v>40122</v>
      </c>
      <c r="O301" s="26">
        <f t="shared" si="40"/>
        <v>2009</v>
      </c>
      <c r="P301" s="27">
        <f>+IFERROR(INDEX([19]PARÁMETROS!$B$11:$B$37,MATCH(O301,[19]PARÁMETROS!$A$11:$A$37,0)),"")</f>
        <v>496900</v>
      </c>
      <c r="Q301" s="30">
        <v>949157.05</v>
      </c>
      <c r="R301" s="29" t="s">
        <v>142</v>
      </c>
      <c r="S301" s="19">
        <v>1.47681</v>
      </c>
      <c r="T301" s="30">
        <f>+S301*Q301</f>
        <v>1401724.6230105001</v>
      </c>
      <c r="U301" s="19">
        <v>1963.7</v>
      </c>
      <c r="V301" s="27">
        <f>+U301*T301</f>
        <v>2752566642.205719</v>
      </c>
      <c r="W301" s="16">
        <f t="shared" si="41"/>
        <v>5539.4780483109662</v>
      </c>
      <c r="X301" s="16">
        <f t="shared" si="42"/>
        <v>5539.4780483109662</v>
      </c>
      <c r="Y301" s="1388" t="str">
        <f>+IF(X301="","",IF(X301&gt;=[19]PARÁMETROS!$J$5,"CUMPLE","NO CUMPLE"))</f>
        <v>CUMPLE</v>
      </c>
      <c r="Z301" s="97"/>
    </row>
    <row r="302" spans="1:26" ht="129" thickBot="1">
      <c r="A302" s="1615"/>
      <c r="B302" s="1510"/>
      <c r="C302" s="19" t="s">
        <v>485</v>
      </c>
      <c r="D302" s="123">
        <v>42</v>
      </c>
      <c r="E302" s="21" t="s">
        <v>2224</v>
      </c>
      <c r="F302" s="22" t="s">
        <v>448</v>
      </c>
      <c r="G302" s="23" t="s">
        <v>2225</v>
      </c>
      <c r="H302" s="1388" t="s">
        <v>22</v>
      </c>
      <c r="I302" s="1388" t="s">
        <v>129</v>
      </c>
      <c r="J302" s="1388" t="s">
        <v>22</v>
      </c>
      <c r="K302" s="1388" t="s">
        <v>129</v>
      </c>
      <c r="L302" s="24">
        <v>0.1</v>
      </c>
      <c r="M302" s="25">
        <v>39615</v>
      </c>
      <c r="N302" s="25">
        <v>41152</v>
      </c>
      <c r="O302" s="26">
        <f t="shared" si="40"/>
        <v>2012</v>
      </c>
      <c r="P302" s="27">
        <f>+IFERROR(INDEX([19]PARÁMETROS!$B$11:$B$37,MATCH(O302,[19]PARÁMETROS!$A$11:$A$37,0)),"")</f>
        <v>566700</v>
      </c>
      <c r="Q302" s="28">
        <v>19146251489</v>
      </c>
      <c r="R302" s="29" t="s">
        <v>151</v>
      </c>
      <c r="S302" s="19" t="s">
        <v>326</v>
      </c>
      <c r="T302" s="30" t="s">
        <v>326</v>
      </c>
      <c r="U302" s="31">
        <v>1</v>
      </c>
      <c r="V302" s="27">
        <f t="shared" si="43"/>
        <v>19146251489</v>
      </c>
      <c r="W302" s="16">
        <f t="shared" si="41"/>
        <v>33785.515244397386</v>
      </c>
      <c r="X302" s="16">
        <f t="shared" si="42"/>
        <v>3378.5515244397388</v>
      </c>
      <c r="Y302" s="1392" t="str">
        <f>+IF(X302="","",IF(X302&gt;=[19]PARÁMETROS!$J$5,"CUMPLE","NO CUMPLE"))</f>
        <v>CUMPLE</v>
      </c>
      <c r="Z302" s="97"/>
    </row>
    <row r="303" spans="1:26" ht="42.75">
      <c r="A303" s="1615"/>
      <c r="B303" s="1509" t="s">
        <v>2226</v>
      </c>
      <c r="C303" s="81" t="s">
        <v>488</v>
      </c>
      <c r="D303" s="114">
        <v>3</v>
      </c>
      <c r="E303" s="83" t="s">
        <v>2227</v>
      </c>
      <c r="F303" s="84" t="s">
        <v>421</v>
      </c>
      <c r="G303" s="85" t="s">
        <v>2230</v>
      </c>
      <c r="H303" s="1393" t="s">
        <v>129</v>
      </c>
      <c r="I303" s="1393" t="s">
        <v>129</v>
      </c>
      <c r="J303" s="1393" t="s">
        <v>22</v>
      </c>
      <c r="K303" s="1393" t="s">
        <v>129</v>
      </c>
      <c r="L303" s="86">
        <v>0.23</v>
      </c>
      <c r="M303" s="87">
        <v>33527</v>
      </c>
      <c r="N303" s="87">
        <v>36734</v>
      </c>
      <c r="O303" s="88">
        <f t="shared" si="40"/>
        <v>2000</v>
      </c>
      <c r="P303" s="89">
        <f>+IFERROR(INDEX([19]PARÁMETROS!$B$11:$B$37,MATCH(O303,[19]PARÁMETROS!$A$11:$A$37,0)),"")</f>
        <v>260100</v>
      </c>
      <c r="Q303" s="176"/>
      <c r="R303" s="91" t="s">
        <v>142</v>
      </c>
      <c r="S303" s="645">
        <v>0.94181999999999999</v>
      </c>
      <c r="T303" s="646">
        <f>+S303*Q303</f>
        <v>0</v>
      </c>
      <c r="U303" s="642">
        <v>2165.37</v>
      </c>
      <c r="V303" s="637">
        <f>+U303*T303</f>
        <v>0</v>
      </c>
      <c r="W303" s="94">
        <f t="shared" si="41"/>
        <v>0</v>
      </c>
      <c r="X303" s="94">
        <f t="shared" si="42"/>
        <v>0</v>
      </c>
      <c r="Y303" s="1400" t="str">
        <f>+IF(X303="","",IF(X303&gt;=[19]PARÁMETROS!$J$5,"CUMPLE","NO CUMPLE"))</f>
        <v>NO CUMPLE</v>
      </c>
      <c r="Z303" s="722" t="s">
        <v>2468</v>
      </c>
    </row>
    <row r="304" spans="1:26" ht="71.25">
      <c r="A304" s="1615"/>
      <c r="B304" s="1510"/>
      <c r="C304" s="19" t="s">
        <v>490</v>
      </c>
      <c r="D304" s="36">
        <v>34</v>
      </c>
      <c r="E304" s="21" t="s">
        <v>426</v>
      </c>
      <c r="F304" s="22" t="s">
        <v>1133</v>
      </c>
      <c r="G304" s="23" t="s">
        <v>2232</v>
      </c>
      <c r="H304" s="1388" t="s">
        <v>22</v>
      </c>
      <c r="I304" s="1388" t="s">
        <v>129</v>
      </c>
      <c r="J304" s="1388" t="s">
        <v>22</v>
      </c>
      <c r="K304" s="1388" t="s">
        <v>129</v>
      </c>
      <c r="L304" s="24">
        <v>0.245</v>
      </c>
      <c r="M304" s="25">
        <v>40186</v>
      </c>
      <c r="N304" s="25" t="s">
        <v>152</v>
      </c>
      <c r="O304" s="26">
        <v>2014</v>
      </c>
      <c r="P304" s="27">
        <f>+IFERROR(INDEX([19]PARÁMETROS!$B$11:$B$37,MATCH(O304,[19]PARÁMETROS!$A$11:$A$37,0)),"")</f>
        <v>616000</v>
      </c>
      <c r="Q304" s="28">
        <v>10922423850.5</v>
      </c>
      <c r="R304" s="29" t="s">
        <v>151</v>
      </c>
      <c r="S304" s="19" t="s">
        <v>326</v>
      </c>
      <c r="T304" s="30" t="s">
        <v>326</v>
      </c>
      <c r="U304" s="31">
        <v>1</v>
      </c>
      <c r="V304" s="27">
        <f t="shared" si="43"/>
        <v>10922423850.5</v>
      </c>
      <c r="W304" s="16">
        <f t="shared" si="41"/>
        <v>17731.207549512987</v>
      </c>
      <c r="X304" s="16">
        <f t="shared" si="42"/>
        <v>4344.1458496306814</v>
      </c>
      <c r="Y304" s="1388" t="str">
        <f>+IF(X304="","",IF(X304&gt;=[19]PARÁMETROS!$J$5,"CUMPLE","NO CUMPLE"))</f>
        <v>CUMPLE</v>
      </c>
      <c r="Z304" s="97"/>
    </row>
    <row r="305" spans="1:26" ht="57">
      <c r="A305" s="1615"/>
      <c r="B305" s="1510"/>
      <c r="C305" s="19" t="s">
        <v>490</v>
      </c>
      <c r="D305" s="36">
        <v>36</v>
      </c>
      <c r="E305" s="21" t="s">
        <v>426</v>
      </c>
      <c r="F305" s="22" t="s">
        <v>2043</v>
      </c>
      <c r="G305" s="23" t="s">
        <v>2234</v>
      </c>
      <c r="H305" s="1388" t="s">
        <v>22</v>
      </c>
      <c r="I305" s="1388" t="s">
        <v>22</v>
      </c>
      <c r="J305" s="1388" t="s">
        <v>22</v>
      </c>
      <c r="K305" s="1388" t="s">
        <v>129</v>
      </c>
      <c r="L305" s="24">
        <v>0.5</v>
      </c>
      <c r="M305" s="25">
        <v>37288</v>
      </c>
      <c r="N305" s="25" t="s">
        <v>152</v>
      </c>
      <c r="O305" s="26">
        <v>2014</v>
      </c>
      <c r="P305" s="27">
        <f>+IFERROR(INDEX([19]PARÁMETROS!$B$11:$B$37,MATCH(O305,[19]PARÁMETROS!$A$11:$A$37,0)),"")</f>
        <v>616000</v>
      </c>
      <c r="Q305" s="28">
        <f>15268.52*P305</f>
        <v>9405408320</v>
      </c>
      <c r="R305" s="29" t="s">
        <v>151</v>
      </c>
      <c r="S305" s="19" t="s">
        <v>326</v>
      </c>
      <c r="T305" s="30" t="s">
        <v>326</v>
      </c>
      <c r="U305" s="31">
        <v>1</v>
      </c>
      <c r="V305" s="27">
        <f t="shared" si="43"/>
        <v>9405408320</v>
      </c>
      <c r="W305" s="16">
        <f t="shared" si="41"/>
        <v>15268.52</v>
      </c>
      <c r="X305" s="16">
        <f t="shared" si="42"/>
        <v>7634.26</v>
      </c>
      <c r="Y305" s="1388" t="str">
        <f>+IF(X305="","",IF(X305&gt;=[19]PARÁMETROS!$J$5,"CUMPLE","NO CUMPLE"))</f>
        <v>CUMPLE</v>
      </c>
      <c r="Z305" s="97"/>
    </row>
    <row r="306" spans="1:26" ht="72" thickBot="1">
      <c r="A306" s="1615"/>
      <c r="B306" s="1510"/>
      <c r="C306" s="19" t="s">
        <v>490</v>
      </c>
      <c r="D306" s="36">
        <v>54</v>
      </c>
      <c r="E306" s="21" t="s">
        <v>426</v>
      </c>
      <c r="F306" s="44" t="s">
        <v>1652</v>
      </c>
      <c r="G306" s="45" t="s">
        <v>2233</v>
      </c>
      <c r="H306" s="1388" t="s">
        <v>22</v>
      </c>
      <c r="I306" s="1388" t="s">
        <v>22</v>
      </c>
      <c r="J306" s="1388" t="s">
        <v>22</v>
      </c>
      <c r="K306" s="1388" t="s">
        <v>129</v>
      </c>
      <c r="L306" s="46">
        <v>0.25</v>
      </c>
      <c r="M306" s="47">
        <v>38718</v>
      </c>
      <c r="N306" s="47" t="s">
        <v>152</v>
      </c>
      <c r="O306" s="26">
        <v>2016</v>
      </c>
      <c r="P306" s="27">
        <f>+IFERROR(INDEX([19]PARÁMETROS!$B$11:$B$37,MATCH(O306,[19]PARÁMETROS!$A$11:$A$37,0)),"")</f>
        <v>689554</v>
      </c>
      <c r="Q306" s="48">
        <v>9471953326</v>
      </c>
      <c r="R306" s="49" t="s">
        <v>151</v>
      </c>
      <c r="S306" s="19" t="s">
        <v>326</v>
      </c>
      <c r="T306" s="30" t="s">
        <v>326</v>
      </c>
      <c r="U306" s="31">
        <v>1</v>
      </c>
      <c r="V306" s="27">
        <f t="shared" si="43"/>
        <v>9471953326</v>
      </c>
      <c r="W306" s="16">
        <f t="shared" si="41"/>
        <v>13736.347444870162</v>
      </c>
      <c r="X306" s="16">
        <f t="shared" si="42"/>
        <v>3434.0868612175404</v>
      </c>
      <c r="Y306" s="1392" t="str">
        <f>+IF(X306="","",IF(X306&gt;=[19]PARÁMETROS!$J$5,"CUMPLE","NO CUMPLE"))</f>
        <v>CUMPLE</v>
      </c>
      <c r="Z306" s="98"/>
    </row>
    <row r="307" spans="1:26" ht="57">
      <c r="A307" s="1615"/>
      <c r="B307" s="1632" t="s">
        <v>2235</v>
      </c>
      <c r="C307" s="81" t="s">
        <v>498</v>
      </c>
      <c r="D307" s="683">
        <v>11</v>
      </c>
      <c r="E307" s="684" t="s">
        <v>2236</v>
      </c>
      <c r="F307" s="1406" t="s">
        <v>2020</v>
      </c>
      <c r="G307" s="685" t="s">
        <v>2469</v>
      </c>
      <c r="H307" s="686" t="s">
        <v>22</v>
      </c>
      <c r="I307" s="686" t="s">
        <v>22</v>
      </c>
      <c r="J307" s="686" t="s">
        <v>22</v>
      </c>
      <c r="K307" s="686" t="s">
        <v>129</v>
      </c>
      <c r="L307" s="312">
        <v>0.6</v>
      </c>
      <c r="M307" s="313">
        <v>41576</v>
      </c>
      <c r="N307" s="313">
        <v>42341</v>
      </c>
      <c r="O307" s="314">
        <f>IF(N307="","",YEAR(N307))</f>
        <v>2015</v>
      </c>
      <c r="P307" s="315">
        <f>+IFERROR(INDEX([20]PARÁMETROS!$B$11:$B$37,MATCH(O307,[20]PARÁMETROS!$A$11:$A$37,0)),"")</f>
        <v>644350</v>
      </c>
      <c r="Q307" s="316">
        <f>3104766426+777673535+114783566</f>
        <v>3997223527</v>
      </c>
      <c r="R307" s="317" t="s">
        <v>151</v>
      </c>
      <c r="S307" s="318" t="s">
        <v>326</v>
      </c>
      <c r="T307" s="319" t="s">
        <v>326</v>
      </c>
      <c r="U307" s="320">
        <v>1</v>
      </c>
      <c r="V307" s="315">
        <f>IF(U307&lt;&gt;"",Q307*U307,"")</f>
        <v>3997223527</v>
      </c>
      <c r="W307" s="321">
        <f>+IFERROR(V307/P307,"")</f>
        <v>6203.4973647862189</v>
      </c>
      <c r="X307" s="321">
        <f>IFERROR(W307*L307,"")</f>
        <v>3722.0984188717312</v>
      </c>
      <c r="Y307" s="686" t="str">
        <f>+IF(X307="","",IF(X307&gt;=[20]PARÁMETROS!$J$5,"CUMPLE","NO CUMPLE"))</f>
        <v>CUMPLE</v>
      </c>
      <c r="Z307" s="96" t="s">
        <v>2389</v>
      </c>
    </row>
    <row r="308" spans="1:26" ht="156.75">
      <c r="A308" s="1615"/>
      <c r="B308" s="1633"/>
      <c r="C308" s="687" t="s">
        <v>498</v>
      </c>
      <c r="D308" s="688">
        <v>20</v>
      </c>
      <c r="E308" s="689" t="s">
        <v>2236</v>
      </c>
      <c r="F308" s="22" t="s">
        <v>2237</v>
      </c>
      <c r="G308" s="23" t="s">
        <v>2238</v>
      </c>
      <c r="H308" s="1398" t="s">
        <v>22</v>
      </c>
      <c r="I308" s="1398" t="s">
        <v>129</v>
      </c>
      <c r="J308" s="1398" t="s">
        <v>22</v>
      </c>
      <c r="K308" s="1398" t="s">
        <v>129</v>
      </c>
      <c r="L308" s="24">
        <v>0.5</v>
      </c>
      <c r="M308" s="25">
        <v>39004</v>
      </c>
      <c r="N308" s="25">
        <v>39667</v>
      </c>
      <c r="O308" s="26">
        <f>IF(N308="","",YEAR(N308))</f>
        <v>2008</v>
      </c>
      <c r="P308" s="27">
        <f>+IFERROR(INDEX([20]PARÁMETROS!$B$11:$B$37,MATCH(O308,[20]PARÁMETROS!$A$11:$A$37,0)),"")</f>
        <v>461500</v>
      </c>
      <c r="Q308" s="28">
        <v>3848051306</v>
      </c>
      <c r="R308" s="29" t="s">
        <v>151</v>
      </c>
      <c r="S308" s="19" t="s">
        <v>326</v>
      </c>
      <c r="T308" s="30" t="s">
        <v>326</v>
      </c>
      <c r="U308" s="31">
        <v>1</v>
      </c>
      <c r="V308" s="27">
        <f>IF(U308&lt;&gt;"",Q308*U308,"")</f>
        <v>3848051306</v>
      </c>
      <c r="W308" s="16">
        <f>+IFERROR(V308/P308,"")</f>
        <v>8338.13934127844</v>
      </c>
      <c r="X308" s="16">
        <f>IFERROR(W308*L308,"")</f>
        <v>4169.06967063922</v>
      </c>
      <c r="Y308" s="1398" t="str">
        <f>+IF(X308="","",IF(X308&gt;=[20]PARÁMETROS!$J$5,"CUMPLE","NO CUMPLE"))</f>
        <v>CUMPLE</v>
      </c>
      <c r="Z308" s="499"/>
    </row>
    <row r="309" spans="1:26" ht="71.25">
      <c r="A309" s="1615"/>
      <c r="B309" s="1633"/>
      <c r="C309" s="687" t="s">
        <v>503</v>
      </c>
      <c r="D309" s="688">
        <v>27</v>
      </c>
      <c r="E309" s="689" t="s">
        <v>219</v>
      </c>
      <c r="F309" s="22" t="s">
        <v>220</v>
      </c>
      <c r="G309" s="23" t="s">
        <v>221</v>
      </c>
      <c r="H309" s="1398" t="s">
        <v>129</v>
      </c>
      <c r="I309" s="1398" t="s">
        <v>129</v>
      </c>
      <c r="J309" s="1398" t="s">
        <v>22</v>
      </c>
      <c r="K309" s="1398" t="s">
        <v>129</v>
      </c>
      <c r="L309" s="24">
        <v>0.7</v>
      </c>
      <c r="M309" s="25">
        <v>37951</v>
      </c>
      <c r="N309" s="25">
        <v>39568</v>
      </c>
      <c r="O309" s="26">
        <f t="shared" ref="O309:O334" si="44">IF(N309="","",YEAR(N309))</f>
        <v>2008</v>
      </c>
      <c r="P309" s="27">
        <f>+IFERROR(INDEX([20]PARÁMETROS!$B$11:$B$37,MATCH(O309,[20]PARÁMETROS!$A$11:$A$37,0)),"")</f>
        <v>461500</v>
      </c>
      <c r="Q309" s="28">
        <v>2224756</v>
      </c>
      <c r="R309" s="29" t="s">
        <v>142</v>
      </c>
      <c r="S309" s="19">
        <v>1.5607500000000001</v>
      </c>
      <c r="T309" s="30">
        <f>+S309*Q309</f>
        <v>3472287.9270000001</v>
      </c>
      <c r="U309" s="31">
        <v>1780.21</v>
      </c>
      <c r="V309" s="27">
        <f>IF(U309&lt;&gt;"",T309*U309,"")</f>
        <v>6181401690.5246706</v>
      </c>
      <c r="W309" s="16">
        <f t="shared" ref="W309:W334" si="45">+IFERROR(V309/P309,"")</f>
        <v>13394.153175568084</v>
      </c>
      <c r="X309" s="16">
        <f t="shared" ref="X309:X334" si="46">IFERROR(W309*L309,"")</f>
        <v>9375.9072228976584</v>
      </c>
      <c r="Y309" s="1398" t="str">
        <f>+IF(X309="","",IF(X309&gt;=[20]PARÁMETROS!$J$5,"CUMPLE","NO CUMPLE"))</f>
        <v>CUMPLE</v>
      </c>
      <c r="Z309" s="690"/>
    </row>
    <row r="310" spans="1:26" ht="72" thickBot="1">
      <c r="A310" s="1615"/>
      <c r="B310" s="1634"/>
      <c r="C310" s="476" t="s">
        <v>503</v>
      </c>
      <c r="D310" s="691">
        <v>33</v>
      </c>
      <c r="E310" s="692" t="s">
        <v>219</v>
      </c>
      <c r="F310" s="102" t="s">
        <v>2242</v>
      </c>
      <c r="G310" s="103" t="s">
        <v>2243</v>
      </c>
      <c r="H310" s="1399" t="s">
        <v>22</v>
      </c>
      <c r="I310" s="1399" t="s">
        <v>129</v>
      </c>
      <c r="J310" s="1399" t="s">
        <v>22</v>
      </c>
      <c r="K310" s="1399" t="s">
        <v>129</v>
      </c>
      <c r="L310" s="104">
        <v>0.5</v>
      </c>
      <c r="M310" s="105">
        <v>39722</v>
      </c>
      <c r="N310" s="105">
        <v>41211</v>
      </c>
      <c r="O310" s="106">
        <f t="shared" si="44"/>
        <v>2012</v>
      </c>
      <c r="P310" s="107">
        <f>+IFERROR(INDEX([20]PARÁMETROS!$B$11:$B$37,MATCH(O310,[20]PARÁMETROS!$A$11:$A$37,0)),"")</f>
        <v>566700</v>
      </c>
      <c r="Q310" s="108">
        <v>2738296</v>
      </c>
      <c r="R310" s="109" t="s">
        <v>142</v>
      </c>
      <c r="S310" s="99">
        <v>1.29355</v>
      </c>
      <c r="T310" s="110">
        <f>+S310*Q310</f>
        <v>3542122.7908000001</v>
      </c>
      <c r="U310" s="111">
        <v>1823.18</v>
      </c>
      <c r="V310" s="107">
        <f>IF(U310&lt;&gt;"",Q310*U310,"")</f>
        <v>4992406501.2799997</v>
      </c>
      <c r="W310" s="112">
        <f t="shared" si="45"/>
        <v>8809.6109074995584</v>
      </c>
      <c r="X310" s="112">
        <f t="shared" si="46"/>
        <v>4404.8054537497792</v>
      </c>
      <c r="Y310" s="1399" t="str">
        <f>+IF(X310="","",IF(X310&gt;=[20]PARÁMETROS!$J$5,"CUMPLE","NO CUMPLE"))</f>
        <v>CUMPLE</v>
      </c>
      <c r="Z310" s="693"/>
    </row>
    <row r="311" spans="1:26" ht="57">
      <c r="A311" s="1615"/>
      <c r="B311" s="1509" t="s">
        <v>2245</v>
      </c>
      <c r="C311" s="81" t="s">
        <v>507</v>
      </c>
      <c r="D311" s="114">
        <v>6</v>
      </c>
      <c r="E311" s="648" t="s">
        <v>2246</v>
      </c>
      <c r="F311" s="694" t="s">
        <v>2020</v>
      </c>
      <c r="G311" s="695" t="s">
        <v>2247</v>
      </c>
      <c r="H311" s="1393" t="s">
        <v>22</v>
      </c>
      <c r="I311" s="1393" t="s">
        <v>22</v>
      </c>
      <c r="J311" s="1393" t="s">
        <v>22</v>
      </c>
      <c r="K311" s="1393" t="s">
        <v>129</v>
      </c>
      <c r="L311" s="696">
        <v>0.7</v>
      </c>
      <c r="M311" s="87">
        <v>39933</v>
      </c>
      <c r="N311" s="87">
        <v>41029</v>
      </c>
      <c r="O311" s="88">
        <f t="shared" si="44"/>
        <v>2012</v>
      </c>
      <c r="P311" s="89">
        <f>+IFERROR(INDEX([20]PARÁMETROS!$B$11:$B$37,MATCH(O311,[20]PARÁMETROS!$A$11:$A$37,0)),"")</f>
        <v>566700</v>
      </c>
      <c r="Q311" s="697">
        <f>6196817512+1390157920+518272198+1127918102+175141200</f>
        <v>9408306932</v>
      </c>
      <c r="R311" s="91" t="s">
        <v>151</v>
      </c>
      <c r="S311" s="81" t="s">
        <v>326</v>
      </c>
      <c r="T311" s="92" t="s">
        <v>326</v>
      </c>
      <c r="U311" s="93">
        <v>1</v>
      </c>
      <c r="V311" s="89">
        <f>IF(U311&lt;&gt;"",Q311*U311,"")</f>
        <v>9408306932</v>
      </c>
      <c r="W311" s="94">
        <f t="shared" si="45"/>
        <v>16601.918002470444</v>
      </c>
      <c r="X311" s="94">
        <f t="shared" si="46"/>
        <v>11621.34260172931</v>
      </c>
      <c r="Y311" s="686" t="str">
        <f>+IF(X311="","",IF(X311&gt;=[20]PARÁMETROS!$J$5,"CUMPLE","NO CUMPLE"))</f>
        <v>CUMPLE</v>
      </c>
      <c r="Z311" s="96"/>
    </row>
    <row r="312" spans="1:26" ht="57">
      <c r="A312" s="1615"/>
      <c r="B312" s="1510"/>
      <c r="C312" s="19" t="s">
        <v>507</v>
      </c>
      <c r="D312" s="36">
        <v>11</v>
      </c>
      <c r="E312" s="651" t="s">
        <v>2246</v>
      </c>
      <c r="F312" s="657" t="s">
        <v>2020</v>
      </c>
      <c r="G312" s="698" t="s">
        <v>2470</v>
      </c>
      <c r="H312" s="1388" t="s">
        <v>22</v>
      </c>
      <c r="I312" s="1388" t="s">
        <v>22</v>
      </c>
      <c r="J312" s="1388" t="s">
        <v>22</v>
      </c>
      <c r="K312" s="1388" t="s">
        <v>129</v>
      </c>
      <c r="L312" s="24">
        <v>0.7</v>
      </c>
      <c r="M312" s="25">
        <v>39822</v>
      </c>
      <c r="N312" s="25">
        <v>40916</v>
      </c>
      <c r="O312" s="26">
        <f t="shared" si="44"/>
        <v>2012</v>
      </c>
      <c r="P312" s="27">
        <f>+IFERROR(INDEX([20]PARÁMETROS!$B$11:$B$37,MATCH(O312,[20]PARÁMETROS!$A$11:$A$37,0)),"")</f>
        <v>566700</v>
      </c>
      <c r="Q312" s="28">
        <v>4789659546</v>
      </c>
      <c r="R312" s="29" t="s">
        <v>151</v>
      </c>
      <c r="S312" s="19" t="s">
        <v>326</v>
      </c>
      <c r="T312" s="30" t="s">
        <v>326</v>
      </c>
      <c r="U312" s="31">
        <v>1</v>
      </c>
      <c r="V312" s="27">
        <f>3214700088+1574090106</f>
        <v>4788790194</v>
      </c>
      <c r="W312" s="16">
        <f t="shared" si="45"/>
        <v>8450.3091476971949</v>
      </c>
      <c r="X312" s="16">
        <f t="shared" si="46"/>
        <v>5915.2164033880363</v>
      </c>
      <c r="Y312" s="699" t="str">
        <f>+IF(X312="","",IF(X312&gt;=[20]PARÁMETROS!$J$5,"CUMPLE","NO CUMPLE"))</f>
        <v>CUMPLE</v>
      </c>
      <c r="Z312" s="97"/>
    </row>
    <row r="313" spans="1:26" ht="42.75">
      <c r="A313" s="1615"/>
      <c r="B313" s="1510"/>
      <c r="C313" s="19" t="s">
        <v>507</v>
      </c>
      <c r="D313" s="36">
        <v>15</v>
      </c>
      <c r="E313" s="651" t="s">
        <v>2246</v>
      </c>
      <c r="F313" s="657" t="s">
        <v>1744</v>
      </c>
      <c r="G313" s="658" t="s">
        <v>2260</v>
      </c>
      <c r="H313" s="1388" t="s">
        <v>22</v>
      </c>
      <c r="I313" s="1388" t="s">
        <v>22</v>
      </c>
      <c r="J313" s="1388" t="s">
        <v>22</v>
      </c>
      <c r="K313" s="1388" t="s">
        <v>129</v>
      </c>
      <c r="L313" s="659">
        <v>0.5</v>
      </c>
      <c r="M313" s="25">
        <v>35457</v>
      </c>
      <c r="N313" s="25">
        <v>37126</v>
      </c>
      <c r="O313" s="26">
        <f t="shared" si="44"/>
        <v>2001</v>
      </c>
      <c r="P313" s="27">
        <f>+IFERROR(INDEX([20]PARÁMETROS!$B$11:$B$37,MATCH(O313,[20]PARÁMETROS!$A$11:$A$37,0)),"")</f>
        <v>286000</v>
      </c>
      <c r="Q313" s="663">
        <v>5240267062</v>
      </c>
      <c r="R313" s="29" t="s">
        <v>151</v>
      </c>
      <c r="S313" s="19" t="s">
        <v>326</v>
      </c>
      <c r="T313" s="30" t="s">
        <v>326</v>
      </c>
      <c r="U313" s="31">
        <v>1</v>
      </c>
      <c r="V313" s="27">
        <f t="shared" ref="V313:V331" si="47">IF(U313&lt;&gt;"",Q313*U313,"")</f>
        <v>5240267062</v>
      </c>
      <c r="W313" s="16">
        <f t="shared" si="45"/>
        <v>18322.612104895106</v>
      </c>
      <c r="X313" s="16">
        <f t="shared" si="46"/>
        <v>9161.3060524475532</v>
      </c>
      <c r="Y313" s="699" t="str">
        <f>+IF(X313="","",IF(X313&gt;=[20]PARÁMETROS!$J$5,"CUMPLE","NO CUMPLE"))</f>
        <v>CUMPLE</v>
      </c>
      <c r="Z313" s="97"/>
    </row>
    <row r="314" spans="1:26" ht="57.75" thickBot="1">
      <c r="A314" s="1615"/>
      <c r="B314" s="1511"/>
      <c r="C314" s="99" t="s">
        <v>507</v>
      </c>
      <c r="D314" s="100">
        <v>22</v>
      </c>
      <c r="E314" s="654" t="s">
        <v>2246</v>
      </c>
      <c r="F314" s="700" t="s">
        <v>2249</v>
      </c>
      <c r="G314" s="701" t="s">
        <v>2250</v>
      </c>
      <c r="H314" s="1402" t="s">
        <v>22</v>
      </c>
      <c r="I314" s="1402" t="s">
        <v>22</v>
      </c>
      <c r="J314" s="1402" t="s">
        <v>22</v>
      </c>
      <c r="K314" s="1402" t="s">
        <v>129</v>
      </c>
      <c r="L314" s="702">
        <v>0.5</v>
      </c>
      <c r="M314" s="327">
        <v>36333</v>
      </c>
      <c r="N314" s="327">
        <v>38915</v>
      </c>
      <c r="O314" s="1391">
        <f t="shared" si="44"/>
        <v>2006</v>
      </c>
      <c r="P314" s="328">
        <f>+IFERROR(INDEX([20]PARÁMETROS!$B$11:$B$37,MATCH(O314,[20]PARÁMETROS!$A$11:$A$37,0)),"")</f>
        <v>408000</v>
      </c>
      <c r="Q314" s="703">
        <v>19941780178.779999</v>
      </c>
      <c r="R314" s="330" t="s">
        <v>151</v>
      </c>
      <c r="S314" s="331" t="s">
        <v>326</v>
      </c>
      <c r="T314" s="332" t="s">
        <v>326</v>
      </c>
      <c r="U314" s="333">
        <v>1</v>
      </c>
      <c r="V314" s="328">
        <f t="shared" si="47"/>
        <v>19941780178.779999</v>
      </c>
      <c r="W314" s="334">
        <f t="shared" si="45"/>
        <v>48876.912202892156</v>
      </c>
      <c r="X314" s="334">
        <f t="shared" si="46"/>
        <v>24438.456101446078</v>
      </c>
      <c r="Y314" s="1399" t="str">
        <f>+IF(X314="","",IF(X314&gt;=[20]PARÁMETROS!$J$5,"CUMPLE","NO CUMPLE"))</f>
        <v>CUMPLE</v>
      </c>
      <c r="Z314" s="113"/>
    </row>
    <row r="315" spans="1:26" ht="57">
      <c r="A315" s="1615"/>
      <c r="B315" s="1509" t="s">
        <v>2262</v>
      </c>
      <c r="C315" s="81" t="s">
        <v>1863</v>
      </c>
      <c r="D315" s="704">
        <v>2</v>
      </c>
      <c r="E315" s="648" t="s">
        <v>2263</v>
      </c>
      <c r="F315" s="705" t="s">
        <v>155</v>
      </c>
      <c r="G315" s="85" t="s">
        <v>2265</v>
      </c>
      <c r="H315" s="1393" t="s">
        <v>22</v>
      </c>
      <c r="I315" s="1393" t="s">
        <v>22</v>
      </c>
      <c r="J315" s="1393" t="s">
        <v>22</v>
      </c>
      <c r="K315" s="1393" t="s">
        <v>129</v>
      </c>
      <c r="L315" s="706">
        <v>1</v>
      </c>
      <c r="M315" s="707">
        <v>36523</v>
      </c>
      <c r="N315" s="708">
        <v>37769</v>
      </c>
      <c r="O315" s="1389">
        <f t="shared" si="44"/>
        <v>2003</v>
      </c>
      <c r="P315" s="298">
        <f>+IFERROR(INDEX([20]PARÁMETROS!$B$11:$B$37,MATCH(O315,[20]PARÁMETROS!$A$11:$A$37,0)),"")</f>
        <v>332000</v>
      </c>
      <c r="Q315" s="709">
        <v>3291518374</v>
      </c>
      <c r="R315" s="298" t="s">
        <v>151</v>
      </c>
      <c r="S315" s="308" t="s">
        <v>326</v>
      </c>
      <c r="T315" s="297" t="s">
        <v>326</v>
      </c>
      <c r="U315" s="309">
        <v>1</v>
      </c>
      <c r="V315" s="298">
        <f t="shared" si="47"/>
        <v>3291518374</v>
      </c>
      <c r="W315" s="299">
        <f t="shared" si="45"/>
        <v>9914.2119698795177</v>
      </c>
      <c r="X315" s="299">
        <f t="shared" si="46"/>
        <v>9914.2119698795177</v>
      </c>
      <c r="Y315" s="686" t="str">
        <f>+IF(X315="","",IF(X315&gt;=[20]PARÁMETROS!$J$5,"CUMPLE","NO CUMPLE"))</f>
        <v>CUMPLE</v>
      </c>
      <c r="Z315" s="96"/>
    </row>
    <row r="316" spans="1:26" ht="71.25">
      <c r="A316" s="1615"/>
      <c r="B316" s="1510"/>
      <c r="C316" s="19" t="s">
        <v>1863</v>
      </c>
      <c r="D316" s="710">
        <v>7</v>
      </c>
      <c r="E316" s="651" t="s">
        <v>2263</v>
      </c>
      <c r="F316" s="711" t="s">
        <v>207</v>
      </c>
      <c r="G316" s="22" t="s">
        <v>2264</v>
      </c>
      <c r="H316" s="1388" t="s">
        <v>22</v>
      </c>
      <c r="I316" s="1388" t="s">
        <v>22</v>
      </c>
      <c r="J316" s="1388" t="s">
        <v>22</v>
      </c>
      <c r="K316" s="1388" t="s">
        <v>129</v>
      </c>
      <c r="L316" s="672">
        <v>0.65</v>
      </c>
      <c r="M316" s="673">
        <v>37986</v>
      </c>
      <c r="N316" s="673">
        <v>40748</v>
      </c>
      <c r="O316" s="26">
        <f t="shared" si="44"/>
        <v>2011</v>
      </c>
      <c r="P316" s="27">
        <f>+IFERROR(INDEX([20]PARÁMETROS!$B$11:$B$37,MATCH(O316,[20]PARÁMETROS!$A$11:$A$37,0)),"")</f>
        <v>535600</v>
      </c>
      <c r="Q316" s="674">
        <v>6087540759</v>
      </c>
      <c r="R316" s="29" t="s">
        <v>151</v>
      </c>
      <c r="S316" s="19" t="s">
        <v>326</v>
      </c>
      <c r="T316" s="30" t="s">
        <v>326</v>
      </c>
      <c r="U316" s="31">
        <v>1</v>
      </c>
      <c r="V316" s="27">
        <f t="shared" si="47"/>
        <v>6087540759</v>
      </c>
      <c r="W316" s="16">
        <f t="shared" si="45"/>
        <v>11365.834128080658</v>
      </c>
      <c r="X316" s="16">
        <f t="shared" si="46"/>
        <v>7387.792183252428</v>
      </c>
      <c r="Y316" s="699" t="str">
        <f>+IF(X316="","",IF(X316&gt;=[20]PARÁMETROS!$J$5,"CUMPLE","NO CUMPLE"))</f>
        <v>CUMPLE</v>
      </c>
      <c r="Z316" s="97"/>
    </row>
    <row r="317" spans="1:26" ht="42.75">
      <c r="A317" s="1615"/>
      <c r="B317" s="1510"/>
      <c r="C317" s="19" t="s">
        <v>519</v>
      </c>
      <c r="D317" s="710">
        <v>13</v>
      </c>
      <c r="E317" s="651" t="s">
        <v>2267</v>
      </c>
      <c r="F317" s="711" t="s">
        <v>1124</v>
      </c>
      <c r="G317" s="23" t="s">
        <v>2268</v>
      </c>
      <c r="H317" s="1388" t="s">
        <v>22</v>
      </c>
      <c r="I317" s="1388" t="s">
        <v>129</v>
      </c>
      <c r="J317" s="1388" t="s">
        <v>22</v>
      </c>
      <c r="K317" s="1388" t="s">
        <v>129</v>
      </c>
      <c r="L317" s="659">
        <v>1</v>
      </c>
      <c r="M317" s="673">
        <v>41018</v>
      </c>
      <c r="N317" s="673">
        <v>41486</v>
      </c>
      <c r="O317" s="26">
        <f t="shared" si="44"/>
        <v>2013</v>
      </c>
      <c r="P317" s="27">
        <f>+IFERROR(INDEX([20]PARÁMETROS!$B$11:$B$37,MATCH(O317,[20]PARÁMETROS!$A$11:$A$37,0)),"")</f>
        <v>589500</v>
      </c>
      <c r="Q317" s="674">
        <v>2132195139</v>
      </c>
      <c r="R317" s="29" t="s">
        <v>151</v>
      </c>
      <c r="S317" s="19" t="s">
        <v>326</v>
      </c>
      <c r="T317" s="30" t="s">
        <v>326</v>
      </c>
      <c r="U317" s="31">
        <v>1</v>
      </c>
      <c r="V317" s="27">
        <f t="shared" si="47"/>
        <v>2132195139</v>
      </c>
      <c r="W317" s="16">
        <f t="shared" si="45"/>
        <v>3616.9552824427483</v>
      </c>
      <c r="X317" s="16">
        <f t="shared" si="46"/>
        <v>3616.9552824427483</v>
      </c>
      <c r="Y317" s="699" t="str">
        <f>+IF(X317="","",IF(X317&gt;=[20]PARÁMETROS!$J$5,"CUMPLE","NO CUMPLE"))</f>
        <v>CUMPLE</v>
      </c>
      <c r="Z317" s="97"/>
    </row>
    <row r="318" spans="1:26" ht="57.75" thickBot="1">
      <c r="A318" s="1615"/>
      <c r="B318" s="1511"/>
      <c r="C318" s="99" t="s">
        <v>1863</v>
      </c>
      <c r="D318" s="178">
        <v>18</v>
      </c>
      <c r="E318" s="654" t="s">
        <v>2263</v>
      </c>
      <c r="F318" s="712" t="s">
        <v>155</v>
      </c>
      <c r="G318" s="103" t="s">
        <v>2266</v>
      </c>
      <c r="H318" s="1392" t="s">
        <v>22</v>
      </c>
      <c r="I318" s="1392" t="s">
        <v>129</v>
      </c>
      <c r="J318" s="1392" t="s">
        <v>22</v>
      </c>
      <c r="K318" s="1392" t="s">
        <v>129</v>
      </c>
      <c r="L318" s="713">
        <v>1</v>
      </c>
      <c r="M318" s="714">
        <v>38366</v>
      </c>
      <c r="N318" s="714">
        <v>39064</v>
      </c>
      <c r="O318" s="106">
        <f t="shared" si="44"/>
        <v>2006</v>
      </c>
      <c r="P318" s="107">
        <f>+IFERROR(INDEX([20]PARÁMETROS!$B$11:$B$37,MATCH(O318,[20]PARÁMETROS!$A$11:$A$37,0)),"")</f>
        <v>408000</v>
      </c>
      <c r="Q318" s="715">
        <v>1473683024</v>
      </c>
      <c r="R318" s="109" t="s">
        <v>151</v>
      </c>
      <c r="S318" s="99" t="s">
        <v>326</v>
      </c>
      <c r="T318" s="110" t="s">
        <v>326</v>
      </c>
      <c r="U318" s="111">
        <v>1</v>
      </c>
      <c r="V318" s="107">
        <f t="shared" si="47"/>
        <v>1473683024</v>
      </c>
      <c r="W318" s="112">
        <f t="shared" si="45"/>
        <v>3611.9681960784314</v>
      </c>
      <c r="X318" s="112">
        <f t="shared" si="46"/>
        <v>3611.9681960784314</v>
      </c>
      <c r="Y318" s="1399" t="str">
        <f>+IF(X318="","",IF(X318&gt;=[20]PARÁMETROS!$J$5,"CUMPLE","NO CUMPLE"))</f>
        <v>CUMPLE</v>
      </c>
      <c r="Z318" s="113"/>
    </row>
    <row r="319" spans="1:26" ht="57">
      <c r="A319" s="1615"/>
      <c r="B319" s="1509" t="s">
        <v>2270</v>
      </c>
      <c r="C319" s="81" t="s">
        <v>526</v>
      </c>
      <c r="D319" s="704">
        <v>4</v>
      </c>
      <c r="E319" s="648" t="s">
        <v>2271</v>
      </c>
      <c r="F319" s="1406" t="s">
        <v>155</v>
      </c>
      <c r="G319" s="85" t="s">
        <v>2272</v>
      </c>
      <c r="H319" s="1393" t="s">
        <v>22</v>
      </c>
      <c r="I319" s="1393" t="s">
        <v>129</v>
      </c>
      <c r="J319" s="1393" t="s">
        <v>22</v>
      </c>
      <c r="K319" s="1393" t="s">
        <v>129</v>
      </c>
      <c r="L319" s="86">
        <v>1</v>
      </c>
      <c r="M319" s="87">
        <v>38323</v>
      </c>
      <c r="N319" s="87">
        <v>40684</v>
      </c>
      <c r="O319" s="88">
        <f t="shared" si="44"/>
        <v>2011</v>
      </c>
      <c r="P319" s="89">
        <f>+IFERROR(INDEX([20]PARÁMETROS!$B$11:$B$37,MATCH(O319,[20]PARÁMETROS!$A$11:$A$37,0)),"")</f>
        <v>535600</v>
      </c>
      <c r="Q319" s="90">
        <v>8415351165</v>
      </c>
      <c r="R319" s="91" t="s">
        <v>151</v>
      </c>
      <c r="S319" s="81" t="s">
        <v>326</v>
      </c>
      <c r="T319" s="92" t="s">
        <v>326</v>
      </c>
      <c r="U319" s="93">
        <v>1</v>
      </c>
      <c r="V319" s="89">
        <f t="shared" si="47"/>
        <v>8415351165</v>
      </c>
      <c r="W319" s="94">
        <f t="shared" si="45"/>
        <v>15712.007402912621</v>
      </c>
      <c r="X319" s="94">
        <f t="shared" si="46"/>
        <v>15712.007402912621</v>
      </c>
      <c r="Y319" s="686" t="str">
        <f>+IF(X319="","",IF(X319&gt;=[20]PARÁMETROS!$J$5,"CUMPLE","NO CUMPLE"))</f>
        <v>CUMPLE</v>
      </c>
      <c r="Z319" s="96"/>
    </row>
    <row r="320" spans="1:26" ht="42.75">
      <c r="A320" s="1615"/>
      <c r="B320" s="1510"/>
      <c r="C320" s="19" t="s">
        <v>526</v>
      </c>
      <c r="D320" s="710">
        <v>11</v>
      </c>
      <c r="E320" s="651" t="s">
        <v>2271</v>
      </c>
      <c r="F320" s="430" t="s">
        <v>155</v>
      </c>
      <c r="G320" s="23" t="s">
        <v>2273</v>
      </c>
      <c r="H320" s="1388" t="s">
        <v>22</v>
      </c>
      <c r="I320" s="1388" t="s">
        <v>129</v>
      </c>
      <c r="J320" s="1388" t="s">
        <v>22</v>
      </c>
      <c r="K320" s="1388" t="s">
        <v>129</v>
      </c>
      <c r="L320" s="24">
        <v>0.5</v>
      </c>
      <c r="M320" s="25">
        <v>36312</v>
      </c>
      <c r="N320" s="25">
        <v>37833</v>
      </c>
      <c r="O320" s="26">
        <f t="shared" si="44"/>
        <v>2003</v>
      </c>
      <c r="P320" s="27">
        <f>+IFERROR(INDEX([20]PARÁMETROS!$B$11:$B$37,MATCH(O320,[20]PARÁMETROS!$A$11:$A$37,0)),"")</f>
        <v>332000</v>
      </c>
      <c r="Q320" s="28">
        <v>5331439397</v>
      </c>
      <c r="R320" s="29" t="s">
        <v>151</v>
      </c>
      <c r="S320" s="19" t="s">
        <v>326</v>
      </c>
      <c r="T320" s="30" t="s">
        <v>326</v>
      </c>
      <c r="U320" s="31">
        <v>1</v>
      </c>
      <c r="V320" s="27">
        <f t="shared" si="47"/>
        <v>5331439397</v>
      </c>
      <c r="W320" s="16">
        <f t="shared" si="45"/>
        <v>16058.55240060241</v>
      </c>
      <c r="X320" s="16">
        <f t="shared" si="46"/>
        <v>8029.2762003012049</v>
      </c>
      <c r="Y320" s="699" t="str">
        <f>+IF(X320="","",IF(X320&gt;=[20]PARÁMETROS!$J$5,"CUMPLE","NO CUMPLE"))</f>
        <v>CUMPLE</v>
      </c>
      <c r="Z320" s="97"/>
    </row>
    <row r="321" spans="1:26" ht="57">
      <c r="A321" s="1615"/>
      <c r="B321" s="1510"/>
      <c r="C321" s="19" t="s">
        <v>526</v>
      </c>
      <c r="D321" s="710">
        <v>17</v>
      </c>
      <c r="E321" s="651" t="s">
        <v>2271</v>
      </c>
      <c r="F321" s="32" t="s">
        <v>528</v>
      </c>
      <c r="G321" s="23" t="s">
        <v>2471</v>
      </c>
      <c r="H321" s="1388" t="s">
        <v>22</v>
      </c>
      <c r="I321" s="1388" t="s">
        <v>22</v>
      </c>
      <c r="J321" s="1388" t="s">
        <v>22</v>
      </c>
      <c r="K321" s="1388" t="s">
        <v>129</v>
      </c>
      <c r="L321" s="24">
        <v>1</v>
      </c>
      <c r="M321" s="25">
        <v>37204</v>
      </c>
      <c r="N321" s="25">
        <v>38299</v>
      </c>
      <c r="O321" s="26">
        <f t="shared" si="44"/>
        <v>2004</v>
      </c>
      <c r="P321" s="27">
        <f>+IFERROR(INDEX([20]PARÁMETROS!$B$11:$B$37,MATCH(O321,[20]PARÁMETROS!$A$11:$A$37,0)),"")</f>
        <v>358000</v>
      </c>
      <c r="Q321" s="28">
        <v>1278307085</v>
      </c>
      <c r="R321" s="29" t="s">
        <v>151</v>
      </c>
      <c r="S321" s="19" t="s">
        <v>326</v>
      </c>
      <c r="T321" s="30" t="s">
        <v>326</v>
      </c>
      <c r="U321" s="31">
        <v>1</v>
      </c>
      <c r="V321" s="27">
        <f t="shared" si="47"/>
        <v>1278307085</v>
      </c>
      <c r="W321" s="16">
        <f t="shared" si="45"/>
        <v>3570.6901815642459</v>
      </c>
      <c r="X321" s="16">
        <f t="shared" si="46"/>
        <v>3570.6901815642459</v>
      </c>
      <c r="Y321" s="699" t="str">
        <f>+IF(X321="","",IF(X321&gt;=[20]PARÁMETROS!$J$5,"CUMPLE","NO CUMPLE"))</f>
        <v>CUMPLE</v>
      </c>
      <c r="Z321" s="97"/>
    </row>
    <row r="322" spans="1:26" ht="57.75" thickBot="1">
      <c r="A322" s="1615"/>
      <c r="B322" s="1511"/>
      <c r="C322" s="99" t="s">
        <v>526</v>
      </c>
      <c r="D322" s="691">
        <v>31</v>
      </c>
      <c r="E322" s="654" t="s">
        <v>2271</v>
      </c>
      <c r="F322" s="225" t="s">
        <v>207</v>
      </c>
      <c r="G322" s="103" t="s">
        <v>2276</v>
      </c>
      <c r="H322" s="1392" t="s">
        <v>22</v>
      </c>
      <c r="I322" s="1392" t="s">
        <v>129</v>
      </c>
      <c r="J322" s="1392" t="s">
        <v>22</v>
      </c>
      <c r="K322" s="1392" t="s">
        <v>129</v>
      </c>
      <c r="L322" s="104">
        <v>1</v>
      </c>
      <c r="M322" s="105">
        <v>39246</v>
      </c>
      <c r="N322" s="105">
        <v>40311</v>
      </c>
      <c r="O322" s="106">
        <f t="shared" si="44"/>
        <v>2010</v>
      </c>
      <c r="P322" s="107">
        <f>+IFERROR(INDEX([20]PARÁMETROS!$B$11:$B$37,MATCH(O322,[20]PARÁMETROS!$A$11:$A$37,0)),"")</f>
        <v>515000</v>
      </c>
      <c r="Q322" s="108">
        <v>4653247126</v>
      </c>
      <c r="R322" s="109" t="s">
        <v>151</v>
      </c>
      <c r="S322" s="99" t="s">
        <v>326</v>
      </c>
      <c r="T322" s="110" t="s">
        <v>326</v>
      </c>
      <c r="U322" s="111">
        <v>1</v>
      </c>
      <c r="V322" s="107">
        <f t="shared" si="47"/>
        <v>4653247126</v>
      </c>
      <c r="W322" s="112">
        <f t="shared" si="45"/>
        <v>9035.4313126213601</v>
      </c>
      <c r="X322" s="112">
        <f t="shared" si="46"/>
        <v>9035.4313126213601</v>
      </c>
      <c r="Y322" s="1399" t="str">
        <f>+IF(X322="","",IF(X322&gt;=[20]PARÁMETROS!$J$5,"CUMPLE","NO CUMPLE"))</f>
        <v>CUMPLE</v>
      </c>
      <c r="Z322" s="113"/>
    </row>
    <row r="323" spans="1:26" ht="57">
      <c r="A323" s="1615"/>
      <c r="B323" s="1509" t="s">
        <v>2277</v>
      </c>
      <c r="C323" s="81" t="s">
        <v>540</v>
      </c>
      <c r="D323" s="114">
        <v>3</v>
      </c>
      <c r="E323" s="648" t="s">
        <v>504</v>
      </c>
      <c r="F323" s="84" t="s">
        <v>2015</v>
      </c>
      <c r="G323" s="85" t="s">
        <v>2472</v>
      </c>
      <c r="H323" s="1393" t="s">
        <v>129</v>
      </c>
      <c r="I323" s="1393" t="s">
        <v>129</v>
      </c>
      <c r="J323" s="1393" t="s">
        <v>22</v>
      </c>
      <c r="K323" s="1393" t="s">
        <v>129</v>
      </c>
      <c r="L323" s="86">
        <v>0.5</v>
      </c>
      <c r="M323" s="87">
        <v>36746</v>
      </c>
      <c r="N323" s="87">
        <v>38175</v>
      </c>
      <c r="O323" s="88">
        <f t="shared" si="44"/>
        <v>2004</v>
      </c>
      <c r="P323" s="89">
        <f>+IFERROR(INDEX([20]PARÁMETROS!$B$11:$B$37,MATCH(O323,[20]PARÁMETROS!$A$11:$A$37,0)),"")</f>
        <v>358000</v>
      </c>
      <c r="Q323" s="90">
        <v>1913345.14</v>
      </c>
      <c r="R323" s="91" t="s">
        <v>142</v>
      </c>
      <c r="S323" s="81">
        <v>1.2287999999999999</v>
      </c>
      <c r="T323" s="92">
        <f>+S323*Q323</f>
        <v>2351118.5080319997</v>
      </c>
      <c r="U323" s="93">
        <v>2672.95</v>
      </c>
      <c r="V323" s="89">
        <f>IF(U323&lt;&gt;"",T323*U323,"")</f>
        <v>6284422216.0441332</v>
      </c>
      <c r="W323" s="94">
        <f t="shared" si="45"/>
        <v>17554.252000123277</v>
      </c>
      <c r="X323" s="94">
        <f t="shared" si="46"/>
        <v>8777.1260000616385</v>
      </c>
      <c r="Y323" s="686" t="str">
        <f>+IF(X323="","",IF(X323&gt;=[20]PARÁMETROS!$J$5,"CUMPLE","NO CUMPLE"))</f>
        <v>CUMPLE</v>
      </c>
      <c r="Z323" s="96"/>
    </row>
    <row r="324" spans="1:26" ht="28.5">
      <c r="A324" s="1615"/>
      <c r="B324" s="1510"/>
      <c r="C324" s="19" t="s">
        <v>549</v>
      </c>
      <c r="D324" s="36">
        <v>7</v>
      </c>
      <c r="E324" s="651" t="s">
        <v>2280</v>
      </c>
      <c r="F324" s="22" t="s">
        <v>155</v>
      </c>
      <c r="G324" s="23" t="s">
        <v>2473</v>
      </c>
      <c r="H324" s="1388" t="s">
        <v>22</v>
      </c>
      <c r="I324" s="1388" t="s">
        <v>129</v>
      </c>
      <c r="J324" s="1388" t="s">
        <v>22</v>
      </c>
      <c r="K324" s="1388" t="s">
        <v>129</v>
      </c>
      <c r="L324" s="24">
        <v>0.9</v>
      </c>
      <c r="M324" s="25">
        <v>35439</v>
      </c>
      <c r="N324" s="25">
        <v>36168</v>
      </c>
      <c r="O324" s="26">
        <f t="shared" si="44"/>
        <v>1999</v>
      </c>
      <c r="P324" s="27">
        <f>+IFERROR(INDEX([20]PARÁMETROS!$B$11:$B$37,MATCH(O324,[20]PARÁMETROS!$A$11:$A$37,0)),"")</f>
        <v>236460</v>
      </c>
      <c r="Q324" s="28">
        <v>1159173414.03</v>
      </c>
      <c r="R324" s="29" t="s">
        <v>151</v>
      </c>
      <c r="S324" s="19" t="s">
        <v>326</v>
      </c>
      <c r="T324" s="30" t="s">
        <v>326</v>
      </c>
      <c r="U324" s="31">
        <v>1</v>
      </c>
      <c r="V324" s="27">
        <f t="shared" si="47"/>
        <v>1159173414.03</v>
      </c>
      <c r="W324" s="16">
        <f t="shared" si="45"/>
        <v>4902.1966253488963</v>
      </c>
      <c r="X324" s="16">
        <f t="shared" si="46"/>
        <v>4411.9769628140066</v>
      </c>
      <c r="Y324" s="699" t="str">
        <f>+IF(X324="","",IF(X324&gt;=[20]PARÁMETROS!$J$5,"CUMPLE","NO CUMPLE"))</f>
        <v>CUMPLE</v>
      </c>
      <c r="Z324" s="97"/>
    </row>
    <row r="325" spans="1:26" ht="42.75">
      <c r="A325" s="1615"/>
      <c r="B325" s="1510"/>
      <c r="C325" s="19" t="s">
        <v>549</v>
      </c>
      <c r="D325" s="36">
        <v>9</v>
      </c>
      <c r="E325" s="651" t="s">
        <v>2280</v>
      </c>
      <c r="F325" s="23" t="s">
        <v>155</v>
      </c>
      <c r="G325" s="23" t="s">
        <v>2474</v>
      </c>
      <c r="H325" s="1388" t="s">
        <v>22</v>
      </c>
      <c r="I325" s="1388" t="s">
        <v>129</v>
      </c>
      <c r="J325" s="1388" t="s">
        <v>22</v>
      </c>
      <c r="K325" s="1388" t="s">
        <v>129</v>
      </c>
      <c r="L325" s="39">
        <v>0.5</v>
      </c>
      <c r="M325" s="25">
        <v>37411</v>
      </c>
      <c r="N325" s="25">
        <v>38776</v>
      </c>
      <c r="O325" s="26">
        <f t="shared" si="44"/>
        <v>2006</v>
      </c>
      <c r="P325" s="27">
        <f>+IFERROR(INDEX([20]PARÁMETROS!$B$11:$B$37,MATCH(O325,[20]PARÁMETROS!$A$11:$A$37,0)),"")</f>
        <v>408000</v>
      </c>
      <c r="Q325" s="28">
        <v>3791186168</v>
      </c>
      <c r="R325" s="29" t="s">
        <v>151</v>
      </c>
      <c r="S325" s="19" t="s">
        <v>326</v>
      </c>
      <c r="T325" s="30" t="s">
        <v>326</v>
      </c>
      <c r="U325" s="31">
        <v>1</v>
      </c>
      <c r="V325" s="27">
        <f t="shared" si="47"/>
        <v>3791186168</v>
      </c>
      <c r="W325" s="16">
        <f t="shared" si="45"/>
        <v>9292.1229607843143</v>
      </c>
      <c r="X325" s="16">
        <f t="shared" si="46"/>
        <v>4646.0614803921571</v>
      </c>
      <c r="Y325" s="699" t="str">
        <f>+IF(X325="","",IF(X325&gt;=[20]PARÁMETROS!$J$5,"CUMPLE","NO CUMPLE"))</f>
        <v>CUMPLE</v>
      </c>
      <c r="Z325" s="97"/>
    </row>
    <row r="326" spans="1:26" ht="43.5" thickBot="1">
      <c r="A326" s="1615"/>
      <c r="B326" s="1511"/>
      <c r="C326" s="99" t="s">
        <v>549</v>
      </c>
      <c r="D326" s="179">
        <v>15</v>
      </c>
      <c r="E326" s="654" t="s">
        <v>2280</v>
      </c>
      <c r="F326" s="102" t="s">
        <v>2475</v>
      </c>
      <c r="G326" s="103" t="s">
        <v>2476</v>
      </c>
      <c r="H326" s="1392" t="s">
        <v>22</v>
      </c>
      <c r="I326" s="1392" t="s">
        <v>22</v>
      </c>
      <c r="J326" s="1392" t="s">
        <v>22</v>
      </c>
      <c r="K326" s="1392" t="s">
        <v>129</v>
      </c>
      <c r="L326" s="292">
        <v>1</v>
      </c>
      <c r="M326" s="293">
        <v>34373</v>
      </c>
      <c r="N326" s="294">
        <v>36439</v>
      </c>
      <c r="O326" s="106">
        <f t="shared" si="44"/>
        <v>1999</v>
      </c>
      <c r="P326" s="107">
        <f>+IFERROR(INDEX([20]PARÁMETROS!$B$11:$B$37,MATCH(O326,[20]PARÁMETROS!$A$11:$A$37,0)),"")</f>
        <v>236460</v>
      </c>
      <c r="Q326" s="109"/>
      <c r="R326" s="109" t="s">
        <v>151</v>
      </c>
      <c r="S326" s="109" t="s">
        <v>326</v>
      </c>
      <c r="T326" s="109" t="s">
        <v>326</v>
      </c>
      <c r="U326" s="111">
        <v>1</v>
      </c>
      <c r="V326" s="107"/>
      <c r="W326" s="112">
        <v>31850</v>
      </c>
      <c r="X326" s="112">
        <f t="shared" si="46"/>
        <v>31850</v>
      </c>
      <c r="Y326" s="1399" t="str">
        <f>+IF(X326="","",IF(X326&gt;=[20]PARÁMETROS!$J$5,"CUMPLE","NO CUMPLE"))</f>
        <v>CUMPLE</v>
      </c>
      <c r="Z326" s="113"/>
    </row>
    <row r="327" spans="1:26" ht="85.5">
      <c r="A327" s="1615"/>
      <c r="B327" s="1509" t="s">
        <v>2285</v>
      </c>
      <c r="C327" s="81" t="s">
        <v>560</v>
      </c>
      <c r="D327" s="114">
        <v>364</v>
      </c>
      <c r="E327" s="648" t="s">
        <v>2286</v>
      </c>
      <c r="F327" s="694" t="s">
        <v>2477</v>
      </c>
      <c r="G327" s="694" t="s">
        <v>2422</v>
      </c>
      <c r="H327" s="1393" t="s">
        <v>22</v>
      </c>
      <c r="I327" s="1393" t="s">
        <v>129</v>
      </c>
      <c r="J327" s="1393" t="s">
        <v>22</v>
      </c>
      <c r="K327" s="1393" t="s">
        <v>129</v>
      </c>
      <c r="L327" s="86">
        <v>0.25</v>
      </c>
      <c r="M327" s="87">
        <v>40487</v>
      </c>
      <c r="N327" s="87">
        <v>42389</v>
      </c>
      <c r="O327" s="88">
        <f t="shared" si="44"/>
        <v>2016</v>
      </c>
      <c r="P327" s="89">
        <f>+IFERROR(INDEX([20]PARÁMETROS!$B$11:$B$37,MATCH(O327,[20]PARÁMETROS!$A$11:$A$37,0)),"")</f>
        <v>689554</v>
      </c>
      <c r="Q327" s="90">
        <v>25305101612</v>
      </c>
      <c r="R327" s="91" t="s">
        <v>151</v>
      </c>
      <c r="S327" s="81" t="s">
        <v>326</v>
      </c>
      <c r="T327" s="92" t="s">
        <v>326</v>
      </c>
      <c r="U327" s="93">
        <v>1</v>
      </c>
      <c r="V327" s="89">
        <f t="shared" si="47"/>
        <v>25305101612</v>
      </c>
      <c r="W327" s="94">
        <f t="shared" si="45"/>
        <v>36697.780901858299</v>
      </c>
      <c r="X327" s="94">
        <f t="shared" si="46"/>
        <v>9174.4452254645748</v>
      </c>
      <c r="Y327" s="686" t="str">
        <f>+IF(X327="","",IF(X327&gt;=[20]PARÁMETROS!$J$5,"CUMPLE","NO CUMPLE"))</f>
        <v>CUMPLE</v>
      </c>
      <c r="Z327" s="96"/>
    </row>
    <row r="328" spans="1:26" ht="85.5">
      <c r="A328" s="1615"/>
      <c r="B328" s="1510"/>
      <c r="C328" s="19" t="s">
        <v>560</v>
      </c>
      <c r="D328" s="36">
        <v>371</v>
      </c>
      <c r="E328" s="651" t="s">
        <v>2286</v>
      </c>
      <c r="F328" s="657" t="s">
        <v>2015</v>
      </c>
      <c r="G328" s="657" t="s">
        <v>2423</v>
      </c>
      <c r="H328" s="1388" t="s">
        <v>22</v>
      </c>
      <c r="I328" s="1388" t="s">
        <v>129</v>
      </c>
      <c r="J328" s="1388" t="s">
        <v>22</v>
      </c>
      <c r="K328" s="1388" t="s">
        <v>129</v>
      </c>
      <c r="L328" s="24">
        <v>0.5</v>
      </c>
      <c r="M328" s="25">
        <v>38811</v>
      </c>
      <c r="N328" s="25">
        <v>39792</v>
      </c>
      <c r="O328" s="26">
        <f t="shared" si="44"/>
        <v>2008</v>
      </c>
      <c r="P328" s="27">
        <f>+IFERROR(INDEX([20]PARÁMETROS!$B$11:$B$37,MATCH(O328,[20]PARÁMETROS!$A$11:$A$37,0)),"")</f>
        <v>461500</v>
      </c>
      <c r="Q328" s="28">
        <v>1072056.71</v>
      </c>
      <c r="R328" s="29" t="s">
        <v>142</v>
      </c>
      <c r="S328" s="19">
        <v>1.28904</v>
      </c>
      <c r="T328" s="30">
        <f>+S328*Q328</f>
        <v>1381923.9814583999</v>
      </c>
      <c r="U328" s="31">
        <v>2311.6999999999998</v>
      </c>
      <c r="V328" s="27">
        <f>IF(U328&lt;&gt;"",T328*U328,"")</f>
        <v>3194593667.9373827</v>
      </c>
      <c r="W328" s="16">
        <f t="shared" si="45"/>
        <v>6922.1964635696268</v>
      </c>
      <c r="X328" s="16">
        <f t="shared" si="46"/>
        <v>3461.0982317848134</v>
      </c>
      <c r="Y328" s="699" t="s">
        <v>2196</v>
      </c>
      <c r="Z328" s="97"/>
    </row>
    <row r="329" spans="1:26" ht="85.5">
      <c r="A329" s="1615"/>
      <c r="B329" s="1510"/>
      <c r="C329" s="19" t="s">
        <v>560</v>
      </c>
      <c r="D329" s="36">
        <v>380</v>
      </c>
      <c r="E329" s="651" t="s">
        <v>2286</v>
      </c>
      <c r="F329" s="657" t="s">
        <v>2015</v>
      </c>
      <c r="G329" s="657" t="s">
        <v>2424</v>
      </c>
      <c r="H329" s="1388" t="s">
        <v>22</v>
      </c>
      <c r="I329" s="1388" t="s">
        <v>129</v>
      </c>
      <c r="J329" s="1388" t="s">
        <v>22</v>
      </c>
      <c r="K329" s="1388" t="s">
        <v>129</v>
      </c>
      <c r="L329" s="24">
        <v>0.5</v>
      </c>
      <c r="M329" s="25">
        <v>37966</v>
      </c>
      <c r="N329" s="25">
        <v>39352</v>
      </c>
      <c r="O329" s="26">
        <f t="shared" si="44"/>
        <v>2007</v>
      </c>
      <c r="P329" s="27">
        <f>+IFERROR(INDEX([20]PARÁMETROS!$B$11:$B$37,MATCH(O329,[20]PARÁMETROS!$A$11:$A$37,0)),"")</f>
        <v>433700</v>
      </c>
      <c r="Q329" s="28">
        <v>2523923.36</v>
      </c>
      <c r="R329" s="29" t="s">
        <v>142</v>
      </c>
      <c r="S329" s="19">
        <v>1.4132899999999999</v>
      </c>
      <c r="T329" s="30">
        <f>+S329*Q329</f>
        <v>3567035.6454543998</v>
      </c>
      <c r="U329" s="31">
        <v>2009.46</v>
      </c>
      <c r="V329" s="27">
        <f>IF(U329&lt;&gt;"",T329*U329,"")</f>
        <v>7167815448.1147985</v>
      </c>
      <c r="W329" s="16">
        <f t="shared" si="45"/>
        <v>16527.128079582195</v>
      </c>
      <c r="X329" s="16">
        <f t="shared" si="46"/>
        <v>8263.5640397910975</v>
      </c>
      <c r="Y329" s="699" t="s">
        <v>2196</v>
      </c>
      <c r="Z329" s="97"/>
    </row>
    <row r="330" spans="1:26" ht="143.25" thickBot="1">
      <c r="A330" s="1615"/>
      <c r="B330" s="1511"/>
      <c r="C330" s="99" t="s">
        <v>552</v>
      </c>
      <c r="D330" s="100">
        <v>391</v>
      </c>
      <c r="E330" s="654" t="s">
        <v>2287</v>
      </c>
      <c r="F330" s="667" t="s">
        <v>2020</v>
      </c>
      <c r="G330" s="667" t="s">
        <v>2478</v>
      </c>
      <c r="H330" s="1392" t="s">
        <v>129</v>
      </c>
      <c r="I330" s="1392" t="s">
        <v>22</v>
      </c>
      <c r="J330" s="1392" t="s">
        <v>22</v>
      </c>
      <c r="K330" s="1392" t="s">
        <v>129</v>
      </c>
      <c r="L330" s="104">
        <v>0.45</v>
      </c>
      <c r="M330" s="105">
        <v>40954</v>
      </c>
      <c r="N330" s="105">
        <v>42331</v>
      </c>
      <c r="O330" s="106">
        <f t="shared" si="44"/>
        <v>2015</v>
      </c>
      <c r="P330" s="107">
        <f>+IFERROR(INDEX([20]PARÁMETROS!$B$11:$B$37,MATCH(O330,[20]PARÁMETROS!$A$11:$A$37,0)),"")</f>
        <v>644350</v>
      </c>
      <c r="Q330" s="108">
        <v>6670475572</v>
      </c>
      <c r="R330" s="109" t="s">
        <v>151</v>
      </c>
      <c r="S330" s="99" t="s">
        <v>326</v>
      </c>
      <c r="T330" s="110" t="s">
        <v>326</v>
      </c>
      <c r="U330" s="111">
        <v>1</v>
      </c>
      <c r="V330" s="107">
        <f t="shared" si="47"/>
        <v>6670475572</v>
      </c>
      <c r="W330" s="112">
        <f t="shared" si="45"/>
        <v>10352.255097384961</v>
      </c>
      <c r="X330" s="112">
        <f t="shared" si="46"/>
        <v>4658.514793823233</v>
      </c>
      <c r="Y330" s="1399" t="str">
        <f>+IF(X330="","",IF(X330&gt;=[20]PARÁMETROS!$J$5,"CUMPLE","NO CUMPLE"))</f>
        <v>CUMPLE</v>
      </c>
      <c r="Z330" s="113"/>
    </row>
    <row r="331" spans="1:26" ht="57">
      <c r="A331" s="1615"/>
      <c r="B331" s="1509" t="s">
        <v>2288</v>
      </c>
      <c r="C331" s="81" t="s">
        <v>569</v>
      </c>
      <c r="D331" s="683">
        <v>3</v>
      </c>
      <c r="E331" s="684" t="s">
        <v>2289</v>
      </c>
      <c r="F331" s="1406" t="s">
        <v>155</v>
      </c>
      <c r="G331" s="85" t="s">
        <v>2290</v>
      </c>
      <c r="H331" s="1397" t="s">
        <v>22</v>
      </c>
      <c r="I331" s="1349" t="s">
        <v>129</v>
      </c>
      <c r="J331" s="1397" t="s">
        <v>22</v>
      </c>
      <c r="K331" s="1397" t="s">
        <v>129</v>
      </c>
      <c r="L331" s="86">
        <v>0.5</v>
      </c>
      <c r="M331" s="87">
        <v>38338</v>
      </c>
      <c r="N331" s="87">
        <v>40296</v>
      </c>
      <c r="O331" s="88">
        <f t="shared" si="44"/>
        <v>2010</v>
      </c>
      <c r="P331" s="89">
        <f>+IFERROR(INDEX([20]PARÁMETROS!$B$11:$B$37,MATCH(O331,[20]PARÁMETROS!$A$11:$A$37,0)),"")</f>
        <v>515000</v>
      </c>
      <c r="Q331" s="649">
        <v>5611007434</v>
      </c>
      <c r="R331" s="91" t="s">
        <v>151</v>
      </c>
      <c r="S331" s="81" t="s">
        <v>326</v>
      </c>
      <c r="T331" s="92" t="s">
        <v>326</v>
      </c>
      <c r="U331" s="93">
        <v>1</v>
      </c>
      <c r="V331" s="89">
        <f t="shared" si="47"/>
        <v>5611007434</v>
      </c>
      <c r="W331" s="94">
        <f t="shared" si="45"/>
        <v>10895.160066019418</v>
      </c>
      <c r="X331" s="94">
        <f t="shared" si="46"/>
        <v>5447.580033009709</v>
      </c>
      <c r="Y331" s="686" t="str">
        <f>+IF(X331="","",IF(X331&gt;=[20]PARÁMETROS!$J$5,"CUMPLE","NO CUMPLE"))</f>
        <v>CUMPLE</v>
      </c>
      <c r="Z331" s="96"/>
    </row>
    <row r="332" spans="1:26" ht="57">
      <c r="A332" s="1615"/>
      <c r="B332" s="1510"/>
      <c r="C332" s="687" t="s">
        <v>579</v>
      </c>
      <c r="D332" s="688">
        <v>30</v>
      </c>
      <c r="E332" s="689" t="s">
        <v>1297</v>
      </c>
      <c r="F332" s="716" t="s">
        <v>2293</v>
      </c>
      <c r="G332" s="716" t="s">
        <v>2479</v>
      </c>
      <c r="H332" s="1398" t="s">
        <v>22</v>
      </c>
      <c r="I332" s="1398" t="s">
        <v>22</v>
      </c>
      <c r="J332" s="1398" t="s">
        <v>22</v>
      </c>
      <c r="K332" s="1398" t="s">
        <v>129</v>
      </c>
      <c r="L332" s="46">
        <v>0.5</v>
      </c>
      <c r="M332" s="47">
        <v>37288</v>
      </c>
      <c r="N332" s="47">
        <v>42265</v>
      </c>
      <c r="O332" s="26">
        <f t="shared" si="44"/>
        <v>2015</v>
      </c>
      <c r="P332" s="27">
        <f>+IFERROR(INDEX([20]PARÁMETROS!$B$11:$B$37,MATCH(O332,[20]PARÁMETROS!$A$11:$A$37,0)),"")</f>
        <v>644350</v>
      </c>
      <c r="Q332" s="682"/>
      <c r="R332" s="49" t="s">
        <v>151</v>
      </c>
      <c r="S332" s="19" t="s">
        <v>326</v>
      </c>
      <c r="T332" s="30" t="s">
        <v>326</v>
      </c>
      <c r="U332" s="31">
        <v>1</v>
      </c>
      <c r="V332" s="27"/>
      <c r="W332" s="16">
        <v>16317.48</v>
      </c>
      <c r="X332" s="16">
        <f t="shared" si="46"/>
        <v>8158.74</v>
      </c>
      <c r="Y332" s="1398" t="str">
        <f>+IF(X332="","",IF(X332&gt;=[20]PARÁMETROS!$J$5,"CUMPLE","NO CUMPLE"))</f>
        <v>CUMPLE</v>
      </c>
      <c r="Z332" s="717"/>
    </row>
    <row r="333" spans="1:26" ht="42.75">
      <c r="A333" s="1615"/>
      <c r="B333" s="1510"/>
      <c r="C333" s="687" t="s">
        <v>782</v>
      </c>
      <c r="D333" s="688">
        <v>58</v>
      </c>
      <c r="E333" s="689" t="s">
        <v>2295</v>
      </c>
      <c r="F333" s="22" t="s">
        <v>2296</v>
      </c>
      <c r="G333" s="23" t="s">
        <v>2480</v>
      </c>
      <c r="H333" s="1398" t="s">
        <v>22</v>
      </c>
      <c r="I333" s="1398" t="s">
        <v>129</v>
      </c>
      <c r="J333" s="1398" t="s">
        <v>22</v>
      </c>
      <c r="K333" s="1398" t="s">
        <v>129</v>
      </c>
      <c r="L333" s="24">
        <v>1</v>
      </c>
      <c r="M333" s="25">
        <v>39539</v>
      </c>
      <c r="N333" s="25">
        <v>41061</v>
      </c>
      <c r="O333" s="26">
        <f t="shared" si="44"/>
        <v>2012</v>
      </c>
      <c r="P333" s="27">
        <f>+IFERROR(INDEX([20]PARÁMETROS!$B$11:$B$37,MATCH(O333,[20]PARÁMETROS!$A$11:$A$37,0)),"")</f>
        <v>566700</v>
      </c>
      <c r="Q333" s="653">
        <v>12427664</v>
      </c>
      <c r="R333" s="29" t="s">
        <v>142</v>
      </c>
      <c r="S333" s="19">
        <v>1.23814</v>
      </c>
      <c r="T333" s="30">
        <f>+S333*Q333</f>
        <v>15387187.904960001</v>
      </c>
      <c r="U333" s="31">
        <v>1833.8</v>
      </c>
      <c r="V333" s="27">
        <f>IF(U333&lt;&gt;"",T333*U333,"")</f>
        <v>28217025180.11565</v>
      </c>
      <c r="W333" s="16">
        <f t="shared" si="45"/>
        <v>49791.821387181313</v>
      </c>
      <c r="X333" s="16">
        <f t="shared" si="46"/>
        <v>49791.821387181313</v>
      </c>
      <c r="Y333" s="699" t="s">
        <v>2196</v>
      </c>
      <c r="Z333" s="690"/>
    </row>
    <row r="334" spans="1:26" ht="43.5" thickBot="1">
      <c r="A334" s="1615"/>
      <c r="B334" s="1511"/>
      <c r="C334" s="476" t="s">
        <v>782</v>
      </c>
      <c r="D334" s="691">
        <v>66</v>
      </c>
      <c r="E334" s="692" t="s">
        <v>2295</v>
      </c>
      <c r="F334" s="718" t="s">
        <v>2481</v>
      </c>
      <c r="G334" s="719" t="s">
        <v>2482</v>
      </c>
      <c r="H334" s="1399" t="s">
        <v>22</v>
      </c>
      <c r="I334" s="1399" t="s">
        <v>129</v>
      </c>
      <c r="J334" s="1399" t="s">
        <v>22</v>
      </c>
      <c r="K334" s="1399" t="s">
        <v>129</v>
      </c>
      <c r="L334" s="473">
        <v>1</v>
      </c>
      <c r="M334" s="720">
        <v>38418</v>
      </c>
      <c r="N334" s="720">
        <v>40298</v>
      </c>
      <c r="O334" s="721">
        <f t="shared" si="44"/>
        <v>2010</v>
      </c>
      <c r="P334" s="464">
        <f>+IFERROR(INDEX([20]PARÁMETROS!$B$11:$B$37,MATCH(O334,[20]PARÁMETROS!$A$11:$A$37,0)),"")</f>
        <v>515000</v>
      </c>
      <c r="Q334" s="474">
        <v>2815460</v>
      </c>
      <c r="R334" s="475" t="s">
        <v>142</v>
      </c>
      <c r="S334" s="476">
        <v>1.3236300000000001</v>
      </c>
      <c r="T334" s="477">
        <f>+S334*Q334</f>
        <v>3726627.3198000002</v>
      </c>
      <c r="U334" s="478">
        <v>1969.75</v>
      </c>
      <c r="V334" s="464">
        <f>IF(U334&lt;&gt;"",T334*U334,"")</f>
        <v>7340524163.1760502</v>
      </c>
      <c r="W334" s="465">
        <f t="shared" si="45"/>
        <v>14253.444977040874</v>
      </c>
      <c r="X334" s="465">
        <f t="shared" si="46"/>
        <v>14253.444977040874</v>
      </c>
      <c r="Y334" s="1399" t="s">
        <v>2196</v>
      </c>
      <c r="Z334" s="693"/>
    </row>
    <row r="335" spans="1:26" ht="71.25">
      <c r="A335" s="1615"/>
      <c r="B335" s="1509" t="s">
        <v>1903</v>
      </c>
      <c r="C335" s="81" t="s">
        <v>589</v>
      </c>
      <c r="D335" s="82">
        <v>4</v>
      </c>
      <c r="E335" s="83" t="s">
        <v>2298</v>
      </c>
      <c r="F335" s="84" t="s">
        <v>448</v>
      </c>
      <c r="G335" s="85" t="s">
        <v>2299</v>
      </c>
      <c r="H335" s="1393" t="s">
        <v>22</v>
      </c>
      <c r="I335" s="1393" t="s">
        <v>129</v>
      </c>
      <c r="J335" s="1393" t="s">
        <v>22</v>
      </c>
      <c r="K335" s="1393" t="s">
        <v>129</v>
      </c>
      <c r="L335" s="86">
        <v>0.5</v>
      </c>
      <c r="M335" s="87">
        <v>38034</v>
      </c>
      <c r="N335" s="87">
        <v>40770</v>
      </c>
      <c r="O335" s="88">
        <f>IF(N335="","",YEAR(N335))</f>
        <v>2011</v>
      </c>
      <c r="P335" s="89">
        <f>+IFERROR(INDEX([21]PARÁMETROS!$B$11:$B$37,MATCH(O335,[21]PARÁMETROS!$A$11:$A$37,0)),"")</f>
        <v>535600</v>
      </c>
      <c r="Q335" s="90">
        <v>9131630030</v>
      </c>
      <c r="R335" s="91" t="s">
        <v>151</v>
      </c>
      <c r="S335" s="81" t="s">
        <v>140</v>
      </c>
      <c r="T335" s="92" t="s">
        <v>140</v>
      </c>
      <c r="U335" s="93">
        <v>1</v>
      </c>
      <c r="V335" s="89">
        <f>IF(U335&lt;&gt;"",Q335*U335,"")</f>
        <v>9131630030</v>
      </c>
      <c r="W335" s="94">
        <f>+IFERROR(V335/P335,"")</f>
        <v>17049.346583271097</v>
      </c>
      <c r="X335" s="94">
        <f>IFERROR(W335*L335,"")</f>
        <v>8524.6732916355486</v>
      </c>
      <c r="Y335" s="1393" t="str">
        <f>+IF(X335="","",IF(X335&gt;=[21]PARÁMETROS!$J$5,"CUMPLE","NO CUMPLE"))</f>
        <v>CUMPLE</v>
      </c>
      <c r="Z335" s="96"/>
    </row>
    <row r="336" spans="1:26" ht="85.5">
      <c r="A336" s="1615"/>
      <c r="B336" s="1510"/>
      <c r="C336" s="19" t="s">
        <v>589</v>
      </c>
      <c r="D336" s="20">
        <v>9</v>
      </c>
      <c r="E336" s="21" t="s">
        <v>2298</v>
      </c>
      <c r="F336" s="22" t="s">
        <v>442</v>
      </c>
      <c r="G336" s="23" t="s">
        <v>2302</v>
      </c>
      <c r="H336" s="1388" t="s">
        <v>22</v>
      </c>
      <c r="I336" s="1388" t="s">
        <v>22</v>
      </c>
      <c r="J336" s="1388" t="s">
        <v>22</v>
      </c>
      <c r="K336" s="1388" t="s">
        <v>129</v>
      </c>
      <c r="L336" s="34">
        <v>0.75</v>
      </c>
      <c r="M336" s="25">
        <v>38374</v>
      </c>
      <c r="N336" s="25">
        <v>39512</v>
      </c>
      <c r="O336" s="26">
        <f t="shared" ref="O336:O357" si="48">IF(N336="","",YEAR(N336))</f>
        <v>2008</v>
      </c>
      <c r="P336" s="27">
        <f>+IFERROR(INDEX([21]PARÁMETROS!$B$11:$B$37,MATCH(O336,[21]PARÁMETROS!$A$11:$A$37,0)),"")</f>
        <v>461500</v>
      </c>
      <c r="Q336" s="35">
        <v>4505935152</v>
      </c>
      <c r="R336" s="27" t="s">
        <v>151</v>
      </c>
      <c r="S336" s="19" t="s">
        <v>140</v>
      </c>
      <c r="T336" s="30" t="s">
        <v>140</v>
      </c>
      <c r="U336" s="31">
        <v>1</v>
      </c>
      <c r="V336" s="27">
        <f t="shared" ref="V336:V360" si="49">IF(U336&lt;&gt;"",Q336*U336,"")</f>
        <v>4505935152</v>
      </c>
      <c r="W336" s="16">
        <f t="shared" ref="W336:W360" si="50">+IFERROR(V336/P336,"")</f>
        <v>9763.6731354279527</v>
      </c>
      <c r="X336" s="16">
        <f t="shared" ref="X336:X360" si="51">IFERROR(W336*L336,"")</f>
        <v>7322.7548515709641</v>
      </c>
      <c r="Y336" s="1388" t="str">
        <f>+IF(X336="","",IF(X336&gt;=[21]PARÁMETROS!$J$5,"CUMPLE","NO CUMPLE"))</f>
        <v>CUMPLE</v>
      </c>
      <c r="Z336" s="97"/>
    </row>
    <row r="337" spans="1:26" ht="85.5">
      <c r="A337" s="1615"/>
      <c r="B337" s="1510"/>
      <c r="C337" s="19" t="s">
        <v>589</v>
      </c>
      <c r="D337" s="20">
        <v>16</v>
      </c>
      <c r="E337" s="21" t="s">
        <v>2298</v>
      </c>
      <c r="F337" s="22" t="s">
        <v>442</v>
      </c>
      <c r="G337" s="23" t="s">
        <v>2301</v>
      </c>
      <c r="H337" s="1388" t="s">
        <v>22</v>
      </c>
      <c r="I337" s="1388" t="s">
        <v>22</v>
      </c>
      <c r="J337" s="1388" t="s">
        <v>22</v>
      </c>
      <c r="K337" s="1388" t="s">
        <v>129</v>
      </c>
      <c r="L337" s="24">
        <v>0.75</v>
      </c>
      <c r="M337" s="25">
        <v>38177</v>
      </c>
      <c r="N337" s="25">
        <v>39760</v>
      </c>
      <c r="O337" s="26">
        <f t="shared" si="48"/>
        <v>2008</v>
      </c>
      <c r="P337" s="27">
        <f>+IFERROR(INDEX([21]PARÁMETROS!$B$11:$B$37,MATCH(O337,[21]PARÁMETROS!$A$11:$A$37,0)),"")</f>
        <v>461500</v>
      </c>
      <c r="Q337" s="28">
        <f>1494762080+586180723.08+207910583.88</f>
        <v>2288853386.96</v>
      </c>
      <c r="R337" s="29" t="s">
        <v>151</v>
      </c>
      <c r="S337" s="19" t="s">
        <v>140</v>
      </c>
      <c r="T337" s="30" t="s">
        <v>140</v>
      </c>
      <c r="U337" s="31">
        <v>1</v>
      </c>
      <c r="V337" s="27">
        <f t="shared" si="49"/>
        <v>2288853386.96</v>
      </c>
      <c r="W337" s="16">
        <f t="shared" si="50"/>
        <v>4959.5956380498374</v>
      </c>
      <c r="X337" s="16">
        <f t="shared" si="51"/>
        <v>3719.696728537378</v>
      </c>
      <c r="Y337" s="1388" t="str">
        <f>+IF(X337="","",IF(X337&gt;=[21]PARÁMETROS!$J$5,"CUMPLE","NO CUMPLE"))</f>
        <v>CUMPLE</v>
      </c>
      <c r="Z337" s="98"/>
    </row>
    <row r="338" spans="1:26" ht="72" thickBot="1">
      <c r="A338" s="1615"/>
      <c r="B338" s="1511"/>
      <c r="C338" s="99" t="s">
        <v>589</v>
      </c>
      <c r="D338" s="123">
        <v>27</v>
      </c>
      <c r="E338" s="101" t="s">
        <v>2298</v>
      </c>
      <c r="F338" s="102" t="s">
        <v>493</v>
      </c>
      <c r="G338" s="103" t="s">
        <v>2300</v>
      </c>
      <c r="H338" s="1392" t="s">
        <v>22</v>
      </c>
      <c r="I338" s="1392" t="s">
        <v>129</v>
      </c>
      <c r="J338" s="1392" t="s">
        <v>22</v>
      </c>
      <c r="K338" s="1392" t="s">
        <v>129</v>
      </c>
      <c r="L338" s="104">
        <v>1</v>
      </c>
      <c r="M338" s="105">
        <v>38337</v>
      </c>
      <c r="N338" s="105">
        <v>39401</v>
      </c>
      <c r="O338" s="106">
        <f t="shared" si="48"/>
        <v>2007</v>
      </c>
      <c r="P338" s="107">
        <f>+IFERROR(INDEX([21]PARÁMETROS!$B$11:$B$37,MATCH(O338,[21]PARÁMETROS!$A$11:$A$37,0)),"")</f>
        <v>433700</v>
      </c>
      <c r="Q338" s="108">
        <v>2544987926</v>
      </c>
      <c r="R338" s="109" t="s">
        <v>151</v>
      </c>
      <c r="S338" s="99" t="s">
        <v>140</v>
      </c>
      <c r="T338" s="110" t="s">
        <v>140</v>
      </c>
      <c r="U338" s="111">
        <v>1</v>
      </c>
      <c r="V338" s="107">
        <f t="shared" si="49"/>
        <v>2544987926</v>
      </c>
      <c r="W338" s="112">
        <f t="shared" si="50"/>
        <v>5868.0837583583125</v>
      </c>
      <c r="X338" s="112">
        <f t="shared" si="51"/>
        <v>5868.0837583583125</v>
      </c>
      <c r="Y338" s="1392" t="str">
        <f>+IF(X338="","",IF(X338&gt;=[21]PARÁMETROS!$J$5,"CUMPLE","NO CUMPLE"))</f>
        <v>CUMPLE</v>
      </c>
      <c r="Z338" s="124"/>
    </row>
    <row r="339" spans="1:26" ht="78.75">
      <c r="A339" s="1615"/>
      <c r="B339" s="1509" t="s">
        <v>1907</v>
      </c>
      <c r="C339" s="81" t="s">
        <v>1912</v>
      </c>
      <c r="D339" s="169">
        <v>6</v>
      </c>
      <c r="E339" s="83" t="s">
        <v>979</v>
      </c>
      <c r="F339" s="84" t="s">
        <v>1499</v>
      </c>
      <c r="G339" s="85" t="s">
        <v>2309</v>
      </c>
      <c r="H339" s="1393" t="s">
        <v>129</v>
      </c>
      <c r="I339" s="1393" t="s">
        <v>129</v>
      </c>
      <c r="J339" s="1393" t="s">
        <v>22</v>
      </c>
      <c r="K339" s="1393" t="s">
        <v>129</v>
      </c>
      <c r="L339" s="86">
        <v>0.4</v>
      </c>
      <c r="M339" s="87">
        <v>41282</v>
      </c>
      <c r="N339" s="87" t="s">
        <v>2307</v>
      </c>
      <c r="O339" s="88">
        <v>2015</v>
      </c>
      <c r="P339" s="89">
        <f>+IFERROR(INDEX([21]PARÁMETROS!$B$11:$B$37,MATCH(O339,[21]PARÁMETROS!$A$11:$A$37,0)),"")</f>
        <v>644350</v>
      </c>
      <c r="Q339" s="90">
        <v>16123259108</v>
      </c>
      <c r="R339" s="91" t="s">
        <v>151</v>
      </c>
      <c r="S339" s="81" t="s">
        <v>140</v>
      </c>
      <c r="T339" s="92" t="s">
        <v>140</v>
      </c>
      <c r="U339" s="93">
        <v>1</v>
      </c>
      <c r="V339" s="89">
        <f t="shared" si="49"/>
        <v>16123259108</v>
      </c>
      <c r="W339" s="94">
        <f t="shared" si="50"/>
        <v>25022.517433072087</v>
      </c>
      <c r="X339" s="94">
        <f t="shared" si="51"/>
        <v>10009.006973228836</v>
      </c>
      <c r="Y339" s="1393" t="str">
        <f>+IF(X339="","",IF(X339&gt;=[21]PARÁMETROS!$J$5,"CUMPLE","NO CUMPLE"))</f>
        <v>CUMPLE</v>
      </c>
      <c r="Z339" s="96"/>
    </row>
    <row r="340" spans="1:26" ht="42.75">
      <c r="A340" s="1615"/>
      <c r="B340" s="1510"/>
      <c r="C340" s="19" t="s">
        <v>599</v>
      </c>
      <c r="D340" s="170">
        <v>30</v>
      </c>
      <c r="E340" s="21" t="s">
        <v>2310</v>
      </c>
      <c r="F340" s="22" t="s">
        <v>1501</v>
      </c>
      <c r="G340" s="23" t="s">
        <v>2311</v>
      </c>
      <c r="H340" s="1388" t="s">
        <v>22</v>
      </c>
      <c r="I340" s="1388" t="s">
        <v>129</v>
      </c>
      <c r="J340" s="1388" t="s">
        <v>22</v>
      </c>
      <c r="K340" s="1388" t="s">
        <v>129</v>
      </c>
      <c r="L340" s="24">
        <v>1</v>
      </c>
      <c r="M340" s="25">
        <v>39001</v>
      </c>
      <c r="N340" s="25">
        <v>40354</v>
      </c>
      <c r="O340" s="26">
        <f t="shared" si="48"/>
        <v>2010</v>
      </c>
      <c r="P340" s="27">
        <f>+IFERROR(INDEX([21]PARÁMETROS!$B$11:$B$37,MATCH(O340,[21]PARÁMETROS!$A$11:$A$37,0)),"")</f>
        <v>515000</v>
      </c>
      <c r="Q340" s="28">
        <v>6389802.9699999997</v>
      </c>
      <c r="R340" s="29" t="s">
        <v>142</v>
      </c>
      <c r="S340" s="19">
        <v>1.23166</v>
      </c>
      <c r="T340" s="30">
        <f>+Q340*S340</f>
        <v>7870064.7260301998</v>
      </c>
      <c r="U340" s="31">
        <v>1896.87</v>
      </c>
      <c r="V340" s="27">
        <f t="shared" si="49"/>
        <v>12120625559.703899</v>
      </c>
      <c r="W340" s="16">
        <f t="shared" si="50"/>
        <v>23535.19526156097</v>
      </c>
      <c r="X340" s="16">
        <f t="shared" si="51"/>
        <v>23535.19526156097</v>
      </c>
      <c r="Y340" s="1388" t="str">
        <f>+IF(X340="","",IF(X340&gt;=[21]PARÁMETROS!$J$5,"CUMPLE","NO CUMPLE"))</f>
        <v>CUMPLE</v>
      </c>
      <c r="Z340" s="97"/>
    </row>
    <row r="341" spans="1:26" ht="42.75">
      <c r="A341" s="1615"/>
      <c r="B341" s="1510"/>
      <c r="C341" s="19" t="s">
        <v>599</v>
      </c>
      <c r="D341" s="170">
        <v>25</v>
      </c>
      <c r="E341" s="21" t="s">
        <v>2310</v>
      </c>
      <c r="F341" s="22" t="s">
        <v>214</v>
      </c>
      <c r="G341" s="23" t="s">
        <v>2312</v>
      </c>
      <c r="H341" s="1388" t="s">
        <v>22</v>
      </c>
      <c r="I341" s="1388" t="s">
        <v>129</v>
      </c>
      <c r="J341" s="1388" t="s">
        <v>22</v>
      </c>
      <c r="K341" s="1388" t="s">
        <v>129</v>
      </c>
      <c r="L341" s="24">
        <v>1</v>
      </c>
      <c r="M341" s="25">
        <v>38051</v>
      </c>
      <c r="N341" s="25">
        <v>41071</v>
      </c>
      <c r="O341" s="26">
        <f t="shared" si="48"/>
        <v>2012</v>
      </c>
      <c r="P341" s="27">
        <f>+IFERROR(INDEX([21]PARÁMETROS!$B$11:$B$37,MATCH(O341,[21]PARÁMETROS!$A$11:$A$37,0)),"")</f>
        <v>566700</v>
      </c>
      <c r="Q341" s="28">
        <v>4711321.91</v>
      </c>
      <c r="R341" s="29" t="s">
        <v>142</v>
      </c>
      <c r="S341" s="19">
        <v>1.2534400000000001</v>
      </c>
      <c r="T341" s="30">
        <f>+Q341*S341</f>
        <v>5905359.3348704008</v>
      </c>
      <c r="U341" s="31">
        <v>1776.26</v>
      </c>
      <c r="V341" s="27">
        <f t="shared" si="49"/>
        <v>8368532655.8565998</v>
      </c>
      <c r="W341" s="16">
        <f t="shared" si="50"/>
        <v>14767.130149738132</v>
      </c>
      <c r="X341" s="16">
        <f t="shared" si="51"/>
        <v>14767.130149738132</v>
      </c>
      <c r="Y341" s="1388" t="str">
        <f>+IF(X341="","",IF(X341&gt;=[21]PARÁMETROS!$J$5,"CUMPLE","NO CUMPLE"))</f>
        <v>CUMPLE</v>
      </c>
      <c r="Z341" s="97"/>
    </row>
    <row r="342" spans="1:26" ht="57.75" thickBot="1">
      <c r="A342" s="1615"/>
      <c r="B342" s="1511"/>
      <c r="C342" s="99" t="s">
        <v>599</v>
      </c>
      <c r="D342" s="178">
        <v>35</v>
      </c>
      <c r="E342" s="101" t="s">
        <v>2310</v>
      </c>
      <c r="F342" s="102" t="s">
        <v>2316</v>
      </c>
      <c r="G342" s="103" t="s">
        <v>2483</v>
      </c>
      <c r="H342" s="1392" t="s">
        <v>22</v>
      </c>
      <c r="I342" s="1392" t="s">
        <v>22</v>
      </c>
      <c r="J342" s="1392" t="s">
        <v>22</v>
      </c>
      <c r="K342" s="1392" t="s">
        <v>129</v>
      </c>
      <c r="L342" s="104">
        <v>0.85</v>
      </c>
      <c r="M342" s="105">
        <v>39792</v>
      </c>
      <c r="N342" s="105">
        <v>40887</v>
      </c>
      <c r="O342" s="106">
        <f t="shared" si="48"/>
        <v>2011</v>
      </c>
      <c r="P342" s="107">
        <f>+IFERROR(INDEX([21]PARÁMETROS!$B$11:$B$37,MATCH(O342,[21]PARÁMETROS!$A$11:$A$37,0)),"")</f>
        <v>535600</v>
      </c>
      <c r="Q342" s="108">
        <v>3750285173</v>
      </c>
      <c r="R342" s="109" t="s">
        <v>151</v>
      </c>
      <c r="S342" s="99" t="s">
        <v>140</v>
      </c>
      <c r="T342" s="110" t="s">
        <v>140</v>
      </c>
      <c r="U342" s="111">
        <v>1</v>
      </c>
      <c r="V342" s="107">
        <f t="shared" si="49"/>
        <v>3750285173</v>
      </c>
      <c r="W342" s="112">
        <f t="shared" si="50"/>
        <v>7002.0260884988802</v>
      </c>
      <c r="X342" s="112">
        <f t="shared" si="51"/>
        <v>5951.7221752240484</v>
      </c>
      <c r="Y342" s="1392" t="str">
        <f>+IF(X342="","",IF(X342&gt;=[21]PARÁMETROS!$J$5,"CUMPLE","NO CUMPLE"))</f>
        <v>CUMPLE</v>
      </c>
      <c r="Z342" s="113"/>
    </row>
    <row r="343" spans="1:26" ht="71.25">
      <c r="A343" s="1615"/>
      <c r="B343" s="1509" t="s">
        <v>1918</v>
      </c>
      <c r="C343" s="81" t="s">
        <v>614</v>
      </c>
      <c r="D343" s="169">
        <v>3</v>
      </c>
      <c r="E343" s="83" t="s">
        <v>2313</v>
      </c>
      <c r="F343" s="84" t="s">
        <v>1038</v>
      </c>
      <c r="G343" s="85" t="s">
        <v>1069</v>
      </c>
      <c r="H343" s="1393" t="s">
        <v>22</v>
      </c>
      <c r="I343" s="1393" t="s">
        <v>129</v>
      </c>
      <c r="J343" s="1393" t="s">
        <v>22</v>
      </c>
      <c r="K343" s="1393" t="s">
        <v>129</v>
      </c>
      <c r="L343" s="86">
        <v>1</v>
      </c>
      <c r="M343" s="87">
        <v>39776</v>
      </c>
      <c r="N343" s="87">
        <v>40809</v>
      </c>
      <c r="O343" s="88">
        <f t="shared" si="48"/>
        <v>2011</v>
      </c>
      <c r="P343" s="89">
        <f>+IFERROR(INDEX([21]PARÁMETROS!$B$11:$B$37,MATCH(O343,[21]PARÁMETROS!$A$11:$A$37,0)),"")</f>
        <v>535600</v>
      </c>
      <c r="Q343" s="90">
        <v>3888865854</v>
      </c>
      <c r="R343" s="91" t="s">
        <v>151</v>
      </c>
      <c r="S343" s="81" t="s">
        <v>140</v>
      </c>
      <c r="T343" s="92" t="s">
        <v>140</v>
      </c>
      <c r="U343" s="93">
        <v>1</v>
      </c>
      <c r="V343" s="89">
        <f t="shared" si="49"/>
        <v>3888865854</v>
      </c>
      <c r="W343" s="94">
        <f t="shared" si="50"/>
        <v>7260.7652240477964</v>
      </c>
      <c r="X343" s="94">
        <f t="shared" si="51"/>
        <v>7260.7652240477964</v>
      </c>
      <c r="Y343" s="1393" t="str">
        <f>+IF(X343="","",IF(X343&gt;=[21]PARÁMETROS!$J$5,"CUMPLE","NO CUMPLE"))</f>
        <v>CUMPLE</v>
      </c>
      <c r="Z343" s="96"/>
    </row>
    <row r="344" spans="1:26" ht="57">
      <c r="A344" s="1615"/>
      <c r="B344" s="1510"/>
      <c r="C344" s="19" t="s">
        <v>614</v>
      </c>
      <c r="D344" s="170">
        <v>41</v>
      </c>
      <c r="E344" s="21" t="s">
        <v>2313</v>
      </c>
      <c r="F344" s="22" t="s">
        <v>448</v>
      </c>
      <c r="G344" s="22" t="s">
        <v>1070</v>
      </c>
      <c r="H344" s="1388" t="s">
        <v>22</v>
      </c>
      <c r="I344" s="1388" t="s">
        <v>129</v>
      </c>
      <c r="J344" s="1388" t="s">
        <v>22</v>
      </c>
      <c r="K344" s="1388" t="s">
        <v>129</v>
      </c>
      <c r="L344" s="34">
        <v>0.6</v>
      </c>
      <c r="M344" s="25">
        <v>37432</v>
      </c>
      <c r="N344" s="25">
        <v>38352</v>
      </c>
      <c r="O344" s="26">
        <f t="shared" si="48"/>
        <v>2004</v>
      </c>
      <c r="P344" s="27">
        <f>+IFERROR(INDEX([21]PARÁMETROS!$B$11:$B$37,MATCH(O344,[21]PARÁMETROS!$A$11:$A$37,0)),"")</f>
        <v>358000</v>
      </c>
      <c r="Q344" s="35">
        <v>2437834762</v>
      </c>
      <c r="R344" s="27" t="s">
        <v>151</v>
      </c>
      <c r="S344" s="19" t="s">
        <v>140</v>
      </c>
      <c r="T344" s="30" t="s">
        <v>140</v>
      </c>
      <c r="U344" s="31">
        <v>1</v>
      </c>
      <c r="V344" s="27">
        <f t="shared" si="49"/>
        <v>2437834762</v>
      </c>
      <c r="W344" s="16">
        <f t="shared" si="50"/>
        <v>6809.5943072625696</v>
      </c>
      <c r="X344" s="16">
        <f t="shared" si="51"/>
        <v>4085.7565843575417</v>
      </c>
      <c r="Y344" s="1388" t="str">
        <f>+IF(X344="","",IF(X344&gt;=[21]PARÁMETROS!$J$5,"CUMPLE","NO CUMPLE"))</f>
        <v>CUMPLE</v>
      </c>
      <c r="Z344" s="97"/>
    </row>
    <row r="345" spans="1:26" ht="85.5">
      <c r="A345" s="1615"/>
      <c r="B345" s="1510"/>
      <c r="C345" s="19" t="s">
        <v>626</v>
      </c>
      <c r="D345" s="170">
        <v>62</v>
      </c>
      <c r="E345" s="21" t="s">
        <v>2315</v>
      </c>
      <c r="F345" s="22" t="s">
        <v>2316</v>
      </c>
      <c r="G345" s="23" t="s">
        <v>1060</v>
      </c>
      <c r="H345" s="1388" t="s">
        <v>22</v>
      </c>
      <c r="I345" s="1388" t="s">
        <v>22</v>
      </c>
      <c r="J345" s="1388" t="s">
        <v>22</v>
      </c>
      <c r="K345" s="1388" t="s">
        <v>129</v>
      </c>
      <c r="L345" s="24">
        <v>0.6</v>
      </c>
      <c r="M345" s="25">
        <v>41075</v>
      </c>
      <c r="N345" s="25" t="s">
        <v>2307</v>
      </c>
      <c r="O345" s="26">
        <v>2015</v>
      </c>
      <c r="P345" s="27">
        <f>+IFERROR(INDEX([21]PARÁMETROS!$B$11:$B$37,MATCH(O345,[21]PARÁMETROS!$A$11:$A$37,0)),"")</f>
        <v>644350</v>
      </c>
      <c r="Q345" s="28">
        <v>20766942881</v>
      </c>
      <c r="R345" s="29" t="s">
        <v>151</v>
      </c>
      <c r="S345" s="19" t="s">
        <v>140</v>
      </c>
      <c r="T345" s="30" t="s">
        <v>140</v>
      </c>
      <c r="U345" s="31">
        <v>1</v>
      </c>
      <c r="V345" s="27">
        <f t="shared" si="49"/>
        <v>20766942881</v>
      </c>
      <c r="W345" s="16">
        <f t="shared" si="50"/>
        <v>32229.289797470319</v>
      </c>
      <c r="X345" s="16">
        <f t="shared" si="51"/>
        <v>19337.573878482192</v>
      </c>
      <c r="Y345" s="1388" t="str">
        <f>+IF(X345="","",IF(X345&gt;=[21]PARÁMETROS!$J$5,"CUMPLE","NO CUMPLE"))</f>
        <v>CUMPLE</v>
      </c>
      <c r="Z345" s="97"/>
    </row>
    <row r="346" spans="1:26" ht="63.75" thickBot="1">
      <c r="A346" s="1615"/>
      <c r="B346" s="1511"/>
      <c r="C346" s="99" t="s">
        <v>626</v>
      </c>
      <c r="D346" s="178">
        <v>67</v>
      </c>
      <c r="E346" s="101" t="s">
        <v>2315</v>
      </c>
      <c r="F346" s="102" t="s">
        <v>1517</v>
      </c>
      <c r="G346" s="103" t="s">
        <v>1062</v>
      </c>
      <c r="H346" s="1392" t="s">
        <v>22</v>
      </c>
      <c r="I346" s="1392" t="s">
        <v>129</v>
      </c>
      <c r="J346" s="1392" t="s">
        <v>22</v>
      </c>
      <c r="K346" s="1392" t="s">
        <v>129</v>
      </c>
      <c r="L346" s="104">
        <v>1</v>
      </c>
      <c r="M346" s="105">
        <v>39671</v>
      </c>
      <c r="N346" s="105">
        <v>40273</v>
      </c>
      <c r="O346" s="106">
        <f t="shared" si="48"/>
        <v>2010</v>
      </c>
      <c r="P346" s="107">
        <f>+IFERROR(INDEX([21]PARÁMETROS!$B$11:$B$37,MATCH(O346,[21]PARÁMETROS!$A$11:$A$37,0)),"")</f>
        <v>515000</v>
      </c>
      <c r="Q346" s="108">
        <v>612800000</v>
      </c>
      <c r="R346" s="109" t="s">
        <v>177</v>
      </c>
      <c r="S346" s="99">
        <v>1.83E-3</v>
      </c>
      <c r="T346" s="110">
        <v>1184567</v>
      </c>
      <c r="U346" s="111">
        <v>1921.88</v>
      </c>
      <c r="V346" s="110">
        <f>+T346*U346</f>
        <v>2276595625.96</v>
      </c>
      <c r="W346" s="112">
        <f t="shared" si="50"/>
        <v>4420.5740309902912</v>
      </c>
      <c r="X346" s="112">
        <f t="shared" si="51"/>
        <v>4420.5740309902912</v>
      </c>
      <c r="Y346" s="1392" t="str">
        <f>+IF(X346="","",IF(X346&gt;=[21]PARÁMETROS!$J$5,"CUMPLE","NO CUMPLE"))</f>
        <v>CUMPLE</v>
      </c>
      <c r="Z346" s="113"/>
    </row>
    <row r="347" spans="1:26" ht="57">
      <c r="A347" s="1615"/>
      <c r="B347" s="1509" t="s">
        <v>1928</v>
      </c>
      <c r="C347" s="81" t="s">
        <v>631</v>
      </c>
      <c r="D347" s="169">
        <v>16</v>
      </c>
      <c r="E347" s="83" t="s">
        <v>1148</v>
      </c>
      <c r="F347" s="84" t="s">
        <v>442</v>
      </c>
      <c r="G347" s="85" t="s">
        <v>2319</v>
      </c>
      <c r="H347" s="1393" t="s">
        <v>22</v>
      </c>
      <c r="I347" s="1393" t="s">
        <v>22</v>
      </c>
      <c r="J347" s="1393" t="s">
        <v>22</v>
      </c>
      <c r="K347" s="1393" t="s">
        <v>129</v>
      </c>
      <c r="L347" s="86">
        <v>0.75</v>
      </c>
      <c r="M347" s="87">
        <v>38343</v>
      </c>
      <c r="N347" s="87">
        <v>39804</v>
      </c>
      <c r="O347" s="88">
        <f t="shared" si="48"/>
        <v>2008</v>
      </c>
      <c r="P347" s="89">
        <f>+IFERROR(INDEX([21]PARÁMETROS!$B$11:$B$37,MATCH(O347,[21]PARÁMETROS!$A$11:$A$37,0)),"")</f>
        <v>461500</v>
      </c>
      <c r="Q347" s="90">
        <v>2538978678</v>
      </c>
      <c r="R347" s="91" t="s">
        <v>151</v>
      </c>
      <c r="S347" s="81" t="s">
        <v>140</v>
      </c>
      <c r="T347" s="92" t="s">
        <v>140</v>
      </c>
      <c r="U347" s="93">
        <v>1</v>
      </c>
      <c r="V347" s="89">
        <f t="shared" si="49"/>
        <v>2538978678</v>
      </c>
      <c r="W347" s="94">
        <f t="shared" si="50"/>
        <v>5501.5789339111589</v>
      </c>
      <c r="X347" s="94">
        <f t="shared" si="51"/>
        <v>4126.1842004333694</v>
      </c>
      <c r="Y347" s="1393" t="str">
        <f>+IF(X347="","",IF(X347&gt;=[21]PARÁMETROS!$J$5,"CUMPLE","NO CUMPLE"))</f>
        <v>CUMPLE</v>
      </c>
      <c r="Z347" s="96"/>
    </row>
    <row r="348" spans="1:26" ht="99.75">
      <c r="A348" s="1615"/>
      <c r="B348" s="1510"/>
      <c r="C348" s="19" t="s">
        <v>631</v>
      </c>
      <c r="D348" s="170">
        <v>4</v>
      </c>
      <c r="E348" s="21" t="s">
        <v>1148</v>
      </c>
      <c r="F348" s="22" t="s">
        <v>161</v>
      </c>
      <c r="G348" s="23" t="s">
        <v>2320</v>
      </c>
      <c r="H348" s="1388" t="s">
        <v>22</v>
      </c>
      <c r="I348" s="1388" t="s">
        <v>129</v>
      </c>
      <c r="J348" s="1388" t="s">
        <v>22</v>
      </c>
      <c r="K348" s="1388" t="s">
        <v>129</v>
      </c>
      <c r="L348" s="24">
        <v>0.5</v>
      </c>
      <c r="M348" s="25">
        <v>40099</v>
      </c>
      <c r="N348" s="25">
        <v>40558</v>
      </c>
      <c r="O348" s="26">
        <f t="shared" si="48"/>
        <v>2011</v>
      </c>
      <c r="P348" s="27">
        <f>+IFERROR(INDEX([21]PARÁMETROS!$B$11:$B$37,MATCH(O348,[21]PARÁMETROS!$A$11:$A$37,0)),"")</f>
        <v>535600</v>
      </c>
      <c r="Q348" s="28">
        <v>4561047955</v>
      </c>
      <c r="R348" s="29" t="s">
        <v>151</v>
      </c>
      <c r="S348" s="19" t="s">
        <v>140</v>
      </c>
      <c r="T348" s="30" t="s">
        <v>140</v>
      </c>
      <c r="U348" s="31">
        <v>1</v>
      </c>
      <c r="V348" s="27">
        <f t="shared" si="49"/>
        <v>4561047955</v>
      </c>
      <c r="W348" s="16">
        <f t="shared" si="50"/>
        <v>8515.7728808812553</v>
      </c>
      <c r="X348" s="16">
        <f t="shared" si="51"/>
        <v>4257.8864404406277</v>
      </c>
      <c r="Y348" s="1388" t="str">
        <f>+IF(X348="","",IF(X348&gt;=[21]PARÁMETROS!$J$5,"CUMPLE","NO CUMPLE"))</f>
        <v>CUMPLE</v>
      </c>
      <c r="Z348" s="97"/>
    </row>
    <row r="349" spans="1:26" ht="85.5">
      <c r="A349" s="1615"/>
      <c r="B349" s="1510"/>
      <c r="C349" s="19" t="s">
        <v>631</v>
      </c>
      <c r="D349" s="170">
        <v>33</v>
      </c>
      <c r="E349" s="21" t="s">
        <v>1148</v>
      </c>
      <c r="F349" s="22" t="s">
        <v>1038</v>
      </c>
      <c r="G349" s="23" t="s">
        <v>2484</v>
      </c>
      <c r="H349" s="1388" t="s">
        <v>22</v>
      </c>
      <c r="I349" s="1388" t="s">
        <v>129</v>
      </c>
      <c r="J349" s="1388" t="s">
        <v>22</v>
      </c>
      <c r="K349" s="1388" t="s">
        <v>129</v>
      </c>
      <c r="L349" s="24">
        <v>0.75</v>
      </c>
      <c r="M349" s="25">
        <v>38327</v>
      </c>
      <c r="N349" s="25">
        <v>40451</v>
      </c>
      <c r="O349" s="26">
        <f t="shared" si="48"/>
        <v>2010</v>
      </c>
      <c r="P349" s="27">
        <f>+IFERROR(INDEX([21]PARÁMETROS!$B$11:$B$37,MATCH(O349,[21]PARÁMETROS!$A$11:$A$37,0)),"")</f>
        <v>515000</v>
      </c>
      <c r="Q349" s="28">
        <v>5934689978</v>
      </c>
      <c r="R349" s="29" t="s">
        <v>151</v>
      </c>
      <c r="S349" s="19" t="s">
        <v>140</v>
      </c>
      <c r="T349" s="30" t="s">
        <v>140</v>
      </c>
      <c r="U349" s="31">
        <v>1</v>
      </c>
      <c r="V349" s="27">
        <f t="shared" si="49"/>
        <v>5934689978</v>
      </c>
      <c r="W349" s="16">
        <f t="shared" si="50"/>
        <v>11523.669860194175</v>
      </c>
      <c r="X349" s="16">
        <f t="shared" si="51"/>
        <v>8642.7523951456315</v>
      </c>
      <c r="Y349" s="1388" t="str">
        <f>+IF(X349="","",IF(X349&gt;=[21]PARÁMETROS!$J$5,"CUMPLE","NO CUMPLE"))</f>
        <v>CUMPLE</v>
      </c>
      <c r="Z349" s="97"/>
    </row>
    <row r="350" spans="1:26" ht="57.75" thickBot="1">
      <c r="A350" s="1615"/>
      <c r="B350" s="1511"/>
      <c r="C350" s="99" t="s">
        <v>631</v>
      </c>
      <c r="D350" s="178">
        <v>47</v>
      </c>
      <c r="E350" s="101" t="s">
        <v>1148</v>
      </c>
      <c r="F350" s="102" t="s">
        <v>2485</v>
      </c>
      <c r="G350" s="103" t="s">
        <v>2486</v>
      </c>
      <c r="H350" s="1392" t="s">
        <v>22</v>
      </c>
      <c r="I350" s="1392" t="s">
        <v>129</v>
      </c>
      <c r="J350" s="1392" t="s">
        <v>22</v>
      </c>
      <c r="K350" s="1392" t="s">
        <v>129</v>
      </c>
      <c r="L350" s="104">
        <v>1</v>
      </c>
      <c r="M350" s="105">
        <v>35438</v>
      </c>
      <c r="N350" s="105">
        <v>35885</v>
      </c>
      <c r="O350" s="106">
        <f t="shared" si="48"/>
        <v>1998</v>
      </c>
      <c r="P350" s="107">
        <f>+IFERROR(INDEX([21]PARÁMETROS!$B$11:$B$37,MATCH(O350,[21]PARÁMETROS!$A$11:$A$37,0)),"")</f>
        <v>203826</v>
      </c>
      <c r="Q350" s="108">
        <v>758870859</v>
      </c>
      <c r="R350" s="109" t="s">
        <v>151</v>
      </c>
      <c r="S350" s="99" t="s">
        <v>140</v>
      </c>
      <c r="T350" s="110" t="s">
        <v>140</v>
      </c>
      <c r="U350" s="111">
        <v>1</v>
      </c>
      <c r="V350" s="107">
        <f t="shared" si="49"/>
        <v>758870859</v>
      </c>
      <c r="W350" s="112">
        <f t="shared" si="50"/>
        <v>3723.1308027435166</v>
      </c>
      <c r="X350" s="112">
        <f t="shared" si="51"/>
        <v>3723.1308027435166</v>
      </c>
      <c r="Y350" s="1392" t="str">
        <f>+IF(X350="","",IF(X350&gt;=[21]PARÁMETROS!$J$5,"CUMPLE","NO CUMPLE"))</f>
        <v>CUMPLE</v>
      </c>
      <c r="Z350" s="113"/>
    </row>
    <row r="351" spans="1:26" ht="99.75">
      <c r="A351" s="1615"/>
      <c r="B351" s="1509" t="s">
        <v>1934</v>
      </c>
      <c r="C351" s="81" t="s">
        <v>653</v>
      </c>
      <c r="D351" s="169">
        <v>25</v>
      </c>
      <c r="E351" s="83" t="s">
        <v>2328</v>
      </c>
      <c r="F351" s="84" t="s">
        <v>2379</v>
      </c>
      <c r="G351" s="85" t="s">
        <v>1805</v>
      </c>
      <c r="H351" s="1393" t="s">
        <v>22</v>
      </c>
      <c r="I351" s="1393" t="s">
        <v>22</v>
      </c>
      <c r="J351" s="1393" t="s">
        <v>22</v>
      </c>
      <c r="K351" s="1393" t="s">
        <v>129</v>
      </c>
      <c r="L351" s="86">
        <v>1</v>
      </c>
      <c r="M351" s="87">
        <v>40444</v>
      </c>
      <c r="N351" s="87">
        <v>41173</v>
      </c>
      <c r="O351" s="88">
        <f t="shared" si="48"/>
        <v>2012</v>
      </c>
      <c r="P351" s="89">
        <f>+IFERROR(INDEX([21]PARÁMETROS!$B$11:$B$37,MATCH(O351,[21]PARÁMETROS!$A$11:$A$37,0)),"")</f>
        <v>566700</v>
      </c>
      <c r="Q351" s="90">
        <v>3241542005</v>
      </c>
      <c r="R351" s="91" t="s">
        <v>151</v>
      </c>
      <c r="S351" s="81" t="s">
        <v>140</v>
      </c>
      <c r="T351" s="92" t="s">
        <v>140</v>
      </c>
      <c r="U351" s="93">
        <v>1</v>
      </c>
      <c r="V351" s="89">
        <f t="shared" si="49"/>
        <v>3241542005</v>
      </c>
      <c r="W351" s="94">
        <f t="shared" si="50"/>
        <v>5720.0317716604904</v>
      </c>
      <c r="X351" s="94">
        <f t="shared" si="51"/>
        <v>5720.0317716604904</v>
      </c>
      <c r="Y351" s="1393" t="str">
        <f>+IF(X351="","",IF(X351&gt;=[21]PARÁMETROS!$J$5,"CUMPLE","NO CUMPLE"))</f>
        <v>CUMPLE</v>
      </c>
      <c r="Z351" s="96"/>
    </row>
    <row r="352" spans="1:26" ht="99.75">
      <c r="A352" s="1615"/>
      <c r="B352" s="1510"/>
      <c r="C352" s="19" t="s">
        <v>653</v>
      </c>
      <c r="D352" s="170">
        <v>85</v>
      </c>
      <c r="E352" s="21" t="s">
        <v>2328</v>
      </c>
      <c r="F352" s="22" t="s">
        <v>1674</v>
      </c>
      <c r="G352" s="23" t="s">
        <v>1804</v>
      </c>
      <c r="H352" s="1388" t="s">
        <v>22</v>
      </c>
      <c r="I352" s="1388" t="s">
        <v>129</v>
      </c>
      <c r="J352" s="1388" t="s">
        <v>22</v>
      </c>
      <c r="K352" s="1388" t="s">
        <v>129</v>
      </c>
      <c r="L352" s="24">
        <v>0.51</v>
      </c>
      <c r="M352" s="25">
        <v>38770</v>
      </c>
      <c r="N352" s="25">
        <v>39778</v>
      </c>
      <c r="O352" s="26">
        <f t="shared" si="48"/>
        <v>2008</v>
      </c>
      <c r="P352" s="27">
        <f>+IFERROR(INDEX([21]PARÁMETROS!$B$11:$B$37,MATCH(O352,[21]PARÁMETROS!$A$11:$A$37,0)),"")</f>
        <v>461500</v>
      </c>
      <c r="Q352" s="28">
        <v>3501850677</v>
      </c>
      <c r="R352" s="29" t="s">
        <v>1801</v>
      </c>
      <c r="S352" s="19" t="s">
        <v>140</v>
      </c>
      <c r="T352" s="30" t="s">
        <v>140</v>
      </c>
      <c r="U352" s="31">
        <v>1</v>
      </c>
      <c r="V352" s="27">
        <f t="shared" si="49"/>
        <v>3501850677</v>
      </c>
      <c r="W352" s="16">
        <f t="shared" si="50"/>
        <v>7587.9754647887321</v>
      </c>
      <c r="X352" s="16">
        <f t="shared" si="51"/>
        <v>3869.8674870422533</v>
      </c>
      <c r="Y352" s="1388" t="str">
        <f>+IF(X352="","",IF(X352&gt;=[21]PARÁMETROS!$J$5,"CUMPLE","NO CUMPLE"))</f>
        <v>CUMPLE</v>
      </c>
      <c r="Z352" s="97"/>
    </row>
    <row r="353" spans="1:26" ht="63">
      <c r="A353" s="1615"/>
      <c r="B353" s="1510"/>
      <c r="C353" s="19" t="s">
        <v>644</v>
      </c>
      <c r="D353" s="170">
        <v>151</v>
      </c>
      <c r="E353" s="21" t="s">
        <v>2326</v>
      </c>
      <c r="F353" s="22" t="s">
        <v>1797</v>
      </c>
      <c r="G353" s="23" t="s">
        <v>1798</v>
      </c>
      <c r="H353" s="1388" t="s">
        <v>22</v>
      </c>
      <c r="I353" s="1388" t="s">
        <v>129</v>
      </c>
      <c r="J353" s="1388" t="s">
        <v>22</v>
      </c>
      <c r="K353" s="1388" t="s">
        <v>129</v>
      </c>
      <c r="L353" s="24">
        <v>1</v>
      </c>
      <c r="M353" s="25">
        <v>37774</v>
      </c>
      <c r="N353" s="25">
        <v>38597</v>
      </c>
      <c r="O353" s="26">
        <f t="shared" si="48"/>
        <v>2005</v>
      </c>
      <c r="P353" s="27">
        <f>+IFERROR(INDEX([21]PARÁMETROS!$B$11:$B$37,MATCH(O353,[21]PARÁMETROS!$A$11:$A$37,0)),"")</f>
        <v>381500</v>
      </c>
      <c r="Q353" s="28">
        <v>1207476.71</v>
      </c>
      <c r="R353" s="29" t="s">
        <v>142</v>
      </c>
      <c r="S353" s="19">
        <v>1.2487999999999999</v>
      </c>
      <c r="T353" s="30">
        <f>+Q353*S353</f>
        <v>1507896.915448</v>
      </c>
      <c r="U353" s="31">
        <v>2298.85</v>
      </c>
      <c r="V353" s="27">
        <f>IF(U353&lt;&gt;"",T353*U353,"")</f>
        <v>3466428824.0776343</v>
      </c>
      <c r="W353" s="16">
        <f t="shared" si="50"/>
        <v>9086.3140867041529</v>
      </c>
      <c r="X353" s="16">
        <f t="shared" si="51"/>
        <v>9086.3140867041529</v>
      </c>
      <c r="Y353" s="1388" t="str">
        <f>+IF(X353="","",IF(X353&gt;=[21]PARÁMETROS!$J$5,"CUMPLE","NO CUMPLE"))</f>
        <v>CUMPLE</v>
      </c>
      <c r="Z353" s="97"/>
    </row>
    <row r="354" spans="1:26" ht="63.75" thickBot="1">
      <c r="A354" s="1615"/>
      <c r="B354" s="1553"/>
      <c r="C354" s="151" t="s">
        <v>644</v>
      </c>
      <c r="D354" s="172">
        <v>156</v>
      </c>
      <c r="E354" s="153" t="s">
        <v>2326</v>
      </c>
      <c r="F354" s="154" t="s">
        <v>1797</v>
      </c>
      <c r="G354" s="155" t="s">
        <v>1799</v>
      </c>
      <c r="H354" s="1419" t="s">
        <v>22</v>
      </c>
      <c r="I354" s="1419" t="s">
        <v>129</v>
      </c>
      <c r="J354" s="1419" t="s">
        <v>22</v>
      </c>
      <c r="K354" s="1419" t="s">
        <v>129</v>
      </c>
      <c r="L354" s="156">
        <v>1</v>
      </c>
      <c r="M354" s="157">
        <v>39329</v>
      </c>
      <c r="N354" s="157">
        <v>40578</v>
      </c>
      <c r="O354" s="158">
        <f t="shared" si="48"/>
        <v>2011</v>
      </c>
      <c r="P354" s="159">
        <f>+IFERROR(INDEX([21]PARÁMETROS!$B$11:$B$37,MATCH(O354,[21]PARÁMETROS!$A$11:$A$37,0)),"")</f>
        <v>535600</v>
      </c>
      <c r="Q354" s="160">
        <v>1551350.29</v>
      </c>
      <c r="R354" s="161" t="s">
        <v>142</v>
      </c>
      <c r="S354" s="151">
        <v>1.3747400000000001</v>
      </c>
      <c r="T354" s="162">
        <f>+S354*Q354</f>
        <v>2132703.2976746</v>
      </c>
      <c r="U354" s="163">
        <v>1863.03</v>
      </c>
      <c r="V354" s="159">
        <f>IF(U354&lt;&gt;"",T354*U354,"")</f>
        <v>3973290224.6667099</v>
      </c>
      <c r="W354" s="164">
        <f t="shared" si="50"/>
        <v>7418.3910094598768</v>
      </c>
      <c r="X354" s="164">
        <f t="shared" si="51"/>
        <v>7418.3910094598768</v>
      </c>
      <c r="Y354" s="1392" t="str">
        <f>+IF(X354="","",IF(X354&gt;=[21]PARÁMETROS!$J$5,"CUMPLE","NO CUMPLE"))</f>
        <v>CUMPLE</v>
      </c>
      <c r="Z354" s="113"/>
    </row>
    <row r="355" spans="1:26" ht="71.25">
      <c r="A355" s="1615"/>
      <c r="B355" s="1509" t="s">
        <v>1941</v>
      </c>
      <c r="C355" s="81" t="s">
        <v>1942</v>
      </c>
      <c r="D355" s="169">
        <v>4</v>
      </c>
      <c r="E355" s="83" t="s">
        <v>2329</v>
      </c>
      <c r="F355" s="84" t="s">
        <v>2330</v>
      </c>
      <c r="G355" s="85" t="s">
        <v>2331</v>
      </c>
      <c r="H355" s="1393" t="s">
        <v>22</v>
      </c>
      <c r="I355" s="1393" t="s">
        <v>129</v>
      </c>
      <c r="J355" s="1393" t="s">
        <v>22</v>
      </c>
      <c r="K355" s="1393" t="s">
        <v>129</v>
      </c>
      <c r="L355" s="86">
        <v>1</v>
      </c>
      <c r="M355" s="87">
        <v>37201</v>
      </c>
      <c r="N355" s="87">
        <v>38173</v>
      </c>
      <c r="O355" s="88">
        <f t="shared" si="48"/>
        <v>2004</v>
      </c>
      <c r="P355" s="89">
        <f>+IFERROR(INDEX([21]PARÁMETROS!$B$11:$B$37,MATCH(O355,[21]PARÁMETROS!$A$11:$A$37,0)),"")</f>
        <v>358000</v>
      </c>
      <c r="Q355" s="90">
        <v>1561333.21</v>
      </c>
      <c r="R355" s="91" t="s">
        <v>142</v>
      </c>
      <c r="S355" s="81">
        <v>1.2318</v>
      </c>
      <c r="T355" s="92">
        <f>+S355*Q355</f>
        <v>1923250.248078</v>
      </c>
      <c r="U355" s="93">
        <v>2674.1</v>
      </c>
      <c r="V355" s="89">
        <f>+T355*U355</f>
        <v>5142963488.3853798</v>
      </c>
      <c r="W355" s="94">
        <f t="shared" si="50"/>
        <v>14365.819799959161</v>
      </c>
      <c r="X355" s="94">
        <f t="shared" si="51"/>
        <v>14365.819799959161</v>
      </c>
      <c r="Y355" s="1393" t="str">
        <f>+IF(X355="","",IF(X355&gt;=[21]PARÁMETROS!$J$5,"CUMPLE","NO CUMPLE"))</f>
        <v>CUMPLE</v>
      </c>
      <c r="Z355" s="96"/>
    </row>
    <row r="356" spans="1:26" ht="71.25">
      <c r="A356" s="1615"/>
      <c r="B356" s="1510"/>
      <c r="C356" s="19" t="s">
        <v>1942</v>
      </c>
      <c r="D356" s="170">
        <v>15</v>
      </c>
      <c r="E356" s="21" t="s">
        <v>2329</v>
      </c>
      <c r="F356" s="22" t="s">
        <v>2330</v>
      </c>
      <c r="G356" s="23" t="s">
        <v>2332</v>
      </c>
      <c r="H356" s="1388" t="s">
        <v>22</v>
      </c>
      <c r="I356" s="1388" t="s">
        <v>129</v>
      </c>
      <c r="J356" s="1388" t="s">
        <v>22</v>
      </c>
      <c r="K356" s="1388" t="s">
        <v>129</v>
      </c>
      <c r="L356" s="24">
        <v>1</v>
      </c>
      <c r="M356" s="25">
        <v>39525</v>
      </c>
      <c r="N356" s="25">
        <v>41580</v>
      </c>
      <c r="O356" s="26">
        <f t="shared" si="48"/>
        <v>2013</v>
      </c>
      <c r="P356" s="27">
        <f>+IFERROR(INDEX([21]PARÁMETROS!$B$11:$B$37,MATCH(O356,[21]PARÁMETROS!$A$11:$A$37,0)),"")</f>
        <v>589500</v>
      </c>
      <c r="Q356" s="28">
        <v>1562052.61</v>
      </c>
      <c r="R356" s="29" t="s">
        <v>142</v>
      </c>
      <c r="S356" s="19">
        <v>1.3530599999999999</v>
      </c>
      <c r="T356" s="30">
        <f>+S356*Q356</f>
        <v>2113550.9044865998</v>
      </c>
      <c r="U356" s="31">
        <v>1901.22</v>
      </c>
      <c r="V356" s="27">
        <f>+T356*U356</f>
        <v>4018325250.6280136</v>
      </c>
      <c r="W356" s="16">
        <f t="shared" si="50"/>
        <v>6816.4974565360708</v>
      </c>
      <c r="X356" s="16">
        <f t="shared" si="51"/>
        <v>6816.4974565360708</v>
      </c>
      <c r="Y356" s="1388" t="str">
        <f>+IF(X356="","",IF(X356&gt;=[21]PARÁMETROS!$J$5,"CUMPLE","NO CUMPLE"))</f>
        <v>CUMPLE</v>
      </c>
      <c r="Z356" s="97"/>
    </row>
    <row r="357" spans="1:26" ht="71.25">
      <c r="A357" s="1615"/>
      <c r="B357" s="1510"/>
      <c r="C357" s="19" t="s">
        <v>1944</v>
      </c>
      <c r="D357" s="170">
        <v>22</v>
      </c>
      <c r="E357" s="21" t="s">
        <v>2333</v>
      </c>
      <c r="F357" s="22" t="s">
        <v>2330</v>
      </c>
      <c r="G357" s="23" t="s">
        <v>2334</v>
      </c>
      <c r="H357" s="1388" t="s">
        <v>22</v>
      </c>
      <c r="I357" s="1388" t="s">
        <v>129</v>
      </c>
      <c r="J357" s="1388" t="s">
        <v>22</v>
      </c>
      <c r="K357" s="1388" t="s">
        <v>129</v>
      </c>
      <c r="L357" s="24">
        <v>0.5</v>
      </c>
      <c r="M357" s="25">
        <v>35586</v>
      </c>
      <c r="N357" s="25">
        <v>37053</v>
      </c>
      <c r="O357" s="26">
        <f t="shared" si="48"/>
        <v>2001</v>
      </c>
      <c r="P357" s="27">
        <f>+IFERROR(INDEX([21]PARÁMETROS!$B$11:$B$37,MATCH(O357,[21]PARÁMETROS!$A$11:$A$37,0)),"")</f>
        <v>286000</v>
      </c>
      <c r="Q357" s="28">
        <v>2678981.1</v>
      </c>
      <c r="R357" s="29" t="s">
        <v>142</v>
      </c>
      <c r="S357" s="19">
        <v>0.84975000000000001</v>
      </c>
      <c r="T357" s="30">
        <f>+S357*Q357</f>
        <v>2276464.1897249999</v>
      </c>
      <c r="U357" s="31">
        <v>2296.31</v>
      </c>
      <c r="V357" s="27">
        <f>IF(U357&lt;&gt;"",T357*U357,"")</f>
        <v>5227467483.5074148</v>
      </c>
      <c r="W357" s="16">
        <f>+IFERROR(V357/P357,"")</f>
        <v>18277.858333942011</v>
      </c>
      <c r="X357" s="16">
        <f t="shared" si="51"/>
        <v>9138.9291669710055</v>
      </c>
      <c r="Y357" s="1388" t="s">
        <v>2196</v>
      </c>
      <c r="Z357" s="97"/>
    </row>
    <row r="358" spans="1:26" ht="86.25" thickBot="1">
      <c r="A358" s="1615"/>
      <c r="B358" s="1511"/>
      <c r="C358" s="99" t="s">
        <v>1944</v>
      </c>
      <c r="D358" s="178">
        <v>32</v>
      </c>
      <c r="E358" s="101" t="s">
        <v>2333</v>
      </c>
      <c r="F358" s="102" t="s">
        <v>2316</v>
      </c>
      <c r="G358" s="103" t="s">
        <v>2487</v>
      </c>
      <c r="H358" s="1392" t="s">
        <v>129</v>
      </c>
      <c r="I358" s="1392" t="s">
        <v>22</v>
      </c>
      <c r="J358" s="1392" t="s">
        <v>22</v>
      </c>
      <c r="K358" s="1392" t="s">
        <v>129</v>
      </c>
      <c r="L358" s="104">
        <v>0.49</v>
      </c>
      <c r="M358" s="105">
        <v>41901</v>
      </c>
      <c r="N358" s="105" t="s">
        <v>1781</v>
      </c>
      <c r="O358" s="106">
        <v>2016</v>
      </c>
      <c r="P358" s="107">
        <f>+IFERROR(INDEX([21]PARÁMETROS!$B$11:$B$37,MATCH(O358,[21]PARÁMETROS!$A$11:$A$37,0)),"")</f>
        <v>689554</v>
      </c>
      <c r="Q358" s="108">
        <v>5527311050</v>
      </c>
      <c r="R358" s="109" t="s">
        <v>151</v>
      </c>
      <c r="S358" s="99" t="s">
        <v>140</v>
      </c>
      <c r="T358" s="110" t="s">
        <v>140</v>
      </c>
      <c r="U358" s="111">
        <v>1</v>
      </c>
      <c r="V358" s="107">
        <f t="shared" si="49"/>
        <v>5527311050</v>
      </c>
      <c r="W358" s="112">
        <f t="shared" si="50"/>
        <v>8015.7769369766547</v>
      </c>
      <c r="X358" s="112">
        <f t="shared" si="51"/>
        <v>3927.7306991185606</v>
      </c>
      <c r="Y358" s="1392" t="s">
        <v>2196</v>
      </c>
      <c r="Z358" s="113" t="s">
        <v>2171</v>
      </c>
    </row>
    <row r="359" spans="1:26" ht="57">
      <c r="A359" s="1615"/>
      <c r="B359" s="1509" t="s">
        <v>1950</v>
      </c>
      <c r="C359" s="81" t="s">
        <v>1951</v>
      </c>
      <c r="D359" s="169">
        <v>204</v>
      </c>
      <c r="E359" s="83" t="s">
        <v>2335</v>
      </c>
      <c r="F359" s="84" t="s">
        <v>2338</v>
      </c>
      <c r="G359" s="85" t="s">
        <v>2339</v>
      </c>
      <c r="H359" s="1393" t="s">
        <v>22</v>
      </c>
      <c r="I359" s="1393" t="s">
        <v>129</v>
      </c>
      <c r="J359" s="1393" t="s">
        <v>22</v>
      </c>
      <c r="K359" s="1393" t="s">
        <v>129</v>
      </c>
      <c r="L359" s="86">
        <v>0.5</v>
      </c>
      <c r="M359" s="87">
        <v>38338</v>
      </c>
      <c r="N359" s="87">
        <v>40296</v>
      </c>
      <c r="O359" s="88">
        <f>IF(N359="","",YEAR(N359))</f>
        <v>2010</v>
      </c>
      <c r="P359" s="89">
        <f>+IFERROR(INDEX([21]PARÁMETROS!$B$11:$B$37,MATCH(O359,[21]PARÁMETROS!$A$11:$A$37,0)),"")</f>
        <v>515000</v>
      </c>
      <c r="Q359" s="90">
        <v>5611997439</v>
      </c>
      <c r="R359" s="91" t="s">
        <v>151</v>
      </c>
      <c r="S359" s="81" t="s">
        <v>140</v>
      </c>
      <c r="T359" s="92" t="s">
        <v>140</v>
      </c>
      <c r="U359" s="93">
        <v>1</v>
      </c>
      <c r="V359" s="89">
        <f t="shared" si="49"/>
        <v>5611997439</v>
      </c>
      <c r="W359" s="94">
        <f t="shared" si="50"/>
        <v>10897.082405825242</v>
      </c>
      <c r="X359" s="94">
        <f t="shared" si="51"/>
        <v>5448.541202912621</v>
      </c>
      <c r="Y359" s="1393" t="str">
        <f>+IF(X359="","",IF(X359&gt;=[21]PARÁMETROS!$J$5,"CUMPLE","NO CUMPLE"))</f>
        <v>CUMPLE</v>
      </c>
      <c r="Z359" s="96"/>
    </row>
    <row r="360" spans="1:26" ht="42.75">
      <c r="A360" s="1615"/>
      <c r="B360" s="1510"/>
      <c r="C360" s="19" t="s">
        <v>1951</v>
      </c>
      <c r="D360" s="170">
        <v>208</v>
      </c>
      <c r="E360" s="21" t="s">
        <v>2335</v>
      </c>
      <c r="F360" s="22" t="s">
        <v>351</v>
      </c>
      <c r="G360" s="23" t="s">
        <v>2488</v>
      </c>
      <c r="H360" s="1388" t="s">
        <v>22</v>
      </c>
      <c r="I360" s="1388" t="s">
        <v>22</v>
      </c>
      <c r="J360" s="1388" t="s">
        <v>22</v>
      </c>
      <c r="K360" s="1388" t="s">
        <v>129</v>
      </c>
      <c r="L360" s="24">
        <v>0.5</v>
      </c>
      <c r="M360" s="25">
        <v>36752</v>
      </c>
      <c r="N360" s="25" t="s">
        <v>2489</v>
      </c>
      <c r="O360" s="26">
        <v>2014</v>
      </c>
      <c r="P360" s="27">
        <f>+IFERROR(INDEX([21]PARÁMETROS!$B$11:$B$37,MATCH(O360,[21]PARÁMETROS!$A$11:$A$37,0)),"")</f>
        <v>616000</v>
      </c>
      <c r="Q360" s="28">
        <v>4766569521</v>
      </c>
      <c r="R360" s="29" t="s">
        <v>151</v>
      </c>
      <c r="S360" s="19" t="s">
        <v>140</v>
      </c>
      <c r="T360" s="30" t="s">
        <v>140</v>
      </c>
      <c r="U360" s="31">
        <v>1</v>
      </c>
      <c r="V360" s="27">
        <f t="shared" si="49"/>
        <v>4766569521</v>
      </c>
      <c r="W360" s="16">
        <f t="shared" si="50"/>
        <v>7737.9375340909091</v>
      </c>
      <c r="X360" s="16">
        <f t="shared" si="51"/>
        <v>3868.9687670454546</v>
      </c>
      <c r="Y360" s="1388" t="str">
        <f>+IF(X360="","",IF(X360&gt;=[21]PARÁMETROS!$J$5,"CUMPLE","NO CUMPLE"))</f>
        <v>CUMPLE</v>
      </c>
      <c r="Z360" s="97"/>
    </row>
    <row r="361" spans="1:26" ht="42.75">
      <c r="A361" s="1615"/>
      <c r="B361" s="1510"/>
      <c r="C361" s="19" t="s">
        <v>1958</v>
      </c>
      <c r="D361" s="170">
        <v>222</v>
      </c>
      <c r="E361" s="21" t="s">
        <v>2340</v>
      </c>
      <c r="F361" s="22" t="s">
        <v>1785</v>
      </c>
      <c r="G361" s="23" t="s">
        <v>1787</v>
      </c>
      <c r="H361" s="1388" t="s">
        <v>22</v>
      </c>
      <c r="I361" s="1388" t="s">
        <v>129</v>
      </c>
      <c r="J361" s="1388" t="s">
        <v>22</v>
      </c>
      <c r="K361" s="1388" t="s">
        <v>129</v>
      </c>
      <c r="L361" s="24">
        <v>0.95</v>
      </c>
      <c r="M361" s="25">
        <v>41995</v>
      </c>
      <c r="N361" s="25" t="s">
        <v>1781</v>
      </c>
      <c r="O361" s="26">
        <v>2015</v>
      </c>
      <c r="P361" s="27">
        <v>644350</v>
      </c>
      <c r="Q361" s="28">
        <v>2590423144</v>
      </c>
      <c r="R361" s="29" t="s">
        <v>151</v>
      </c>
      <c r="S361" s="19" t="s">
        <v>140</v>
      </c>
      <c r="T361" s="30" t="s">
        <v>140</v>
      </c>
      <c r="U361" s="31">
        <v>1</v>
      </c>
      <c r="V361" s="27">
        <v>2590423144</v>
      </c>
      <c r="W361" s="16">
        <v>4020.2112888957863</v>
      </c>
      <c r="X361" s="16">
        <v>3819.2007244509969</v>
      </c>
      <c r="Y361" s="1388" t="str">
        <f>+IF(X361="","",IF(X361&gt;=[21]PARÁMETROS!$J$5,"CUMPLE","NO CUMPLE"))</f>
        <v>CUMPLE</v>
      </c>
      <c r="Z361" s="97"/>
    </row>
    <row r="362" spans="1:26" ht="57.75" thickBot="1">
      <c r="A362" s="1615"/>
      <c r="B362" s="1511"/>
      <c r="C362" s="99" t="s">
        <v>1958</v>
      </c>
      <c r="D362" s="178">
        <v>232</v>
      </c>
      <c r="E362" s="101" t="s">
        <v>2340</v>
      </c>
      <c r="F362" s="102" t="s">
        <v>1785</v>
      </c>
      <c r="G362" s="103" t="s">
        <v>1786</v>
      </c>
      <c r="H362" s="1392" t="s">
        <v>22</v>
      </c>
      <c r="I362" s="1392" t="s">
        <v>129</v>
      </c>
      <c r="J362" s="1392" t="s">
        <v>22</v>
      </c>
      <c r="K362" s="1392" t="s">
        <v>129</v>
      </c>
      <c r="L362" s="104">
        <v>0.95</v>
      </c>
      <c r="M362" s="105">
        <v>41815</v>
      </c>
      <c r="N362" s="105" t="s">
        <v>1781</v>
      </c>
      <c r="O362" s="106">
        <v>2015</v>
      </c>
      <c r="P362" s="107">
        <v>644350</v>
      </c>
      <c r="Q362" s="108">
        <v>10736226648</v>
      </c>
      <c r="R362" s="109" t="s">
        <v>151</v>
      </c>
      <c r="S362" s="99" t="s">
        <v>140</v>
      </c>
      <c r="T362" s="110" t="s">
        <v>140</v>
      </c>
      <c r="U362" s="111">
        <v>1</v>
      </c>
      <c r="V362" s="107">
        <v>10736226648</v>
      </c>
      <c r="W362" s="112">
        <v>16662.103900054317</v>
      </c>
      <c r="X362" s="112">
        <v>15828.998705051601</v>
      </c>
      <c r="Y362" s="1392" t="str">
        <f>+IF(X362="","",IF(X362&gt;=[21]PARÁMETROS!$J$5,"CUMPLE","NO CUMPLE"))</f>
        <v>CUMPLE</v>
      </c>
      <c r="Z362" s="124"/>
    </row>
    <row r="363" spans="1:26" ht="85.5">
      <c r="A363" s="1615"/>
      <c r="B363" s="1509" t="s">
        <v>2341</v>
      </c>
      <c r="C363" s="81" t="s">
        <v>1963</v>
      </c>
      <c r="D363" s="82">
        <v>5</v>
      </c>
      <c r="E363" s="83" t="s">
        <v>2345</v>
      </c>
      <c r="F363" s="336" t="s">
        <v>442</v>
      </c>
      <c r="G363" s="685" t="s">
        <v>2346</v>
      </c>
      <c r="H363" s="1393" t="s">
        <v>22</v>
      </c>
      <c r="I363" s="1393" t="s">
        <v>22</v>
      </c>
      <c r="J363" s="1393" t="s">
        <v>22</v>
      </c>
      <c r="K363" s="1393" t="s">
        <v>129</v>
      </c>
      <c r="L363" s="86">
        <v>1</v>
      </c>
      <c r="M363" s="306">
        <v>38937</v>
      </c>
      <c r="N363" s="306">
        <v>40305</v>
      </c>
      <c r="O363" s="88">
        <f>IF(N363="","",YEAR(N363))</f>
        <v>2010</v>
      </c>
      <c r="P363" s="89">
        <f>+IFERROR(INDEX([14]PARÁMETROS!$B$11:$B$37,MATCH(O363,[14]PARÁMETROS!$A$11:$A$37,0)),"")</f>
        <v>515000</v>
      </c>
      <c r="Q363" s="89">
        <v>2538434857</v>
      </c>
      <c r="R363" s="91" t="s">
        <v>151</v>
      </c>
      <c r="S363" s="81" t="s">
        <v>140</v>
      </c>
      <c r="T363" s="92" t="s">
        <v>140</v>
      </c>
      <c r="U363" s="93">
        <v>1</v>
      </c>
      <c r="V363" s="89">
        <f>IF(U363&lt;&gt;"",Q363*U363,"")</f>
        <v>2538434857</v>
      </c>
      <c r="W363" s="94">
        <f>+IFERROR(V363/P363,"")</f>
        <v>4928.999722330097</v>
      </c>
      <c r="X363" s="94">
        <f>IFERROR(W363*L363,"")</f>
        <v>4928.999722330097</v>
      </c>
      <c r="Y363" s="1400" t="str">
        <f>+IF(X363="","",IF(X363&gt;=[14]PARÁMETROS!$J$5,"CUMPLE","NO CUMPLE"))</f>
        <v>CUMPLE</v>
      </c>
      <c r="Z363" s="96"/>
    </row>
    <row r="364" spans="1:26" ht="57">
      <c r="A364" s="1615"/>
      <c r="B364" s="1510"/>
      <c r="C364" s="19" t="s">
        <v>1972</v>
      </c>
      <c r="D364" s="20">
        <v>18</v>
      </c>
      <c r="E364" s="21" t="s">
        <v>2342</v>
      </c>
      <c r="F364" s="22" t="s">
        <v>155</v>
      </c>
      <c r="G364" s="23" t="s">
        <v>2343</v>
      </c>
      <c r="H364" s="1388" t="s">
        <v>22</v>
      </c>
      <c r="I364" s="1388" t="s">
        <v>129</v>
      </c>
      <c r="J364" s="1388" t="s">
        <v>22</v>
      </c>
      <c r="K364" s="1388" t="s">
        <v>129</v>
      </c>
      <c r="L364" s="24">
        <v>1</v>
      </c>
      <c r="M364" s="25">
        <v>38331</v>
      </c>
      <c r="N364" s="25">
        <v>40329</v>
      </c>
      <c r="O364" s="26">
        <f>IF(N364="","",YEAR(N364))</f>
        <v>2010</v>
      </c>
      <c r="P364" s="27">
        <f>+IFERROR(INDEX([14]PARÁMETROS!$B$11:$B$37,MATCH(O364,[14]PARÁMETROS!$A$11:$A$37,0)),"")</f>
        <v>515000</v>
      </c>
      <c r="Q364" s="27">
        <v>4862658335</v>
      </c>
      <c r="R364" s="27" t="s">
        <v>151</v>
      </c>
      <c r="S364" s="19" t="s">
        <v>140</v>
      </c>
      <c r="T364" s="30" t="s">
        <v>140</v>
      </c>
      <c r="U364" s="31">
        <v>1</v>
      </c>
      <c r="V364" s="27">
        <f>IF(U364&lt;&gt;"",Q364*U364,"")</f>
        <v>4862658335</v>
      </c>
      <c r="W364" s="16">
        <f>+IFERROR(V364/P364,"")</f>
        <v>9442.0550194174757</v>
      </c>
      <c r="X364" s="16">
        <f>IFERROR(W364*L364,"")</f>
        <v>9442.0550194174757</v>
      </c>
      <c r="Y364" s="1388" t="str">
        <f>+IF(X364="","",IF(X364&gt;=[14]PARÁMETROS!$J$5,"CUMPLE","NO CUMPLE"))</f>
        <v>CUMPLE</v>
      </c>
      <c r="Z364" s="97"/>
    </row>
    <row r="365" spans="1:26" ht="42.75">
      <c r="A365" s="1615"/>
      <c r="B365" s="1510"/>
      <c r="C365" s="19" t="s">
        <v>1972</v>
      </c>
      <c r="D365" s="20">
        <v>28</v>
      </c>
      <c r="E365" s="21" t="s">
        <v>2342</v>
      </c>
      <c r="F365" s="22" t="s">
        <v>155</v>
      </c>
      <c r="G365" s="22" t="s">
        <v>2344</v>
      </c>
      <c r="H365" s="1388" t="s">
        <v>22</v>
      </c>
      <c r="I365" s="1388" t="s">
        <v>129</v>
      </c>
      <c r="J365" s="1388" t="s">
        <v>22</v>
      </c>
      <c r="K365" s="1388" t="s">
        <v>129</v>
      </c>
      <c r="L365" s="24">
        <v>1</v>
      </c>
      <c r="M365" s="25">
        <v>37271</v>
      </c>
      <c r="N365" s="25">
        <v>38292</v>
      </c>
      <c r="O365" s="26">
        <f>IF(N365="","",YEAR(N365))</f>
        <v>2004</v>
      </c>
      <c r="P365" s="27">
        <f>+IFERROR(INDEX([14]PARÁMETROS!$B$11:$B$37,MATCH(O365,[14]PARÁMETROS!$A$11:$A$37,0)),"")</f>
        <v>358000</v>
      </c>
      <c r="Q365" s="27">
        <v>2019668213</v>
      </c>
      <c r="R365" s="29" t="s">
        <v>151</v>
      </c>
      <c r="S365" s="19" t="s">
        <v>140</v>
      </c>
      <c r="T365" s="30" t="s">
        <v>140</v>
      </c>
      <c r="U365" s="31">
        <v>1</v>
      </c>
      <c r="V365" s="27">
        <f>IF(U365&lt;&gt;"",Q365*U365,"")</f>
        <v>2019668213</v>
      </c>
      <c r="W365" s="16">
        <f>+IFERROR(V365/P365,"")</f>
        <v>5641.5313212290503</v>
      </c>
      <c r="X365" s="16">
        <f>IFERROR(W365*L365,"")</f>
        <v>5641.5313212290503</v>
      </c>
      <c r="Y365" s="1388" t="str">
        <f>+IF(X365="","",IF(X365&gt;=[14]PARÁMETROS!$J$5,"CUMPLE","NO CUMPLE"))</f>
        <v>CUMPLE</v>
      </c>
      <c r="Z365" s="98"/>
    </row>
    <row r="366" spans="1:26" ht="48" thickBot="1">
      <c r="A366" s="1616"/>
      <c r="B366" s="1511"/>
      <c r="C366" s="99" t="s">
        <v>2347</v>
      </c>
      <c r="D366" s="123">
        <v>50</v>
      </c>
      <c r="E366" s="101" t="s">
        <v>2348</v>
      </c>
      <c r="F366" s="102" t="s">
        <v>155</v>
      </c>
      <c r="G366" s="103" t="s">
        <v>2349</v>
      </c>
      <c r="H366" s="1392" t="s">
        <v>22</v>
      </c>
      <c r="I366" s="1392" t="s">
        <v>129</v>
      </c>
      <c r="J366" s="1392" t="s">
        <v>22</v>
      </c>
      <c r="K366" s="1392" t="s">
        <v>129</v>
      </c>
      <c r="L366" s="104">
        <v>1</v>
      </c>
      <c r="M366" s="105">
        <v>36992</v>
      </c>
      <c r="N366" s="105">
        <v>37636</v>
      </c>
      <c r="O366" s="106">
        <f>IF(N366="","",YEAR(N366))</f>
        <v>2003</v>
      </c>
      <c r="P366" s="107">
        <f>+IFERROR(INDEX([14]PARÁMETROS!$B$11:$B$37,MATCH(O366,[14]PARÁMETROS!$A$11:$A$37,0)),"")</f>
        <v>332000</v>
      </c>
      <c r="Q366" s="107">
        <v>1135751411</v>
      </c>
      <c r="R366" s="109" t="s">
        <v>151</v>
      </c>
      <c r="S366" s="99" t="s">
        <v>140</v>
      </c>
      <c r="T366" s="110" t="s">
        <v>140</v>
      </c>
      <c r="U366" s="111">
        <v>1</v>
      </c>
      <c r="V366" s="107">
        <f>IF(U366&lt;&gt;"",Q366*U366,"")</f>
        <v>1135751411</v>
      </c>
      <c r="W366" s="112">
        <f>+IFERROR(V366/P366,"")</f>
        <v>3420.9379849397592</v>
      </c>
      <c r="X366" s="112">
        <f>IFERROR(W366*L366,"")</f>
        <v>3420.9379849397592</v>
      </c>
      <c r="Y366" s="1402" t="str">
        <f>+IF(X366="","",IF(X366&gt;=[14]PARÁMETROS!$J$5,"CUMPLE","NO CUMPLE"))</f>
        <v>CUMPLE</v>
      </c>
      <c r="Z366" s="124"/>
    </row>
  </sheetData>
  <autoFilter ref="B1:Z17"/>
  <mergeCells count="119">
    <mergeCell ref="B355:B358"/>
    <mergeCell ref="B359:B362"/>
    <mergeCell ref="B363:B366"/>
    <mergeCell ref="B259:B262"/>
    <mergeCell ref="B263:B266"/>
    <mergeCell ref="B267:B270"/>
    <mergeCell ref="B331:B334"/>
    <mergeCell ref="B295:B298"/>
    <mergeCell ref="B299:B302"/>
    <mergeCell ref="B303:B306"/>
    <mergeCell ref="B307:B310"/>
    <mergeCell ref="B311:B314"/>
    <mergeCell ref="B135:B138"/>
    <mergeCell ref="B139:B142"/>
    <mergeCell ref="B143:B146"/>
    <mergeCell ref="A203:A366"/>
    <mergeCell ref="B335:B338"/>
    <mergeCell ref="B339:B342"/>
    <mergeCell ref="B343:B346"/>
    <mergeCell ref="B347:B350"/>
    <mergeCell ref="B351:B354"/>
    <mergeCell ref="B315:B318"/>
    <mergeCell ref="B271:B274"/>
    <mergeCell ref="B235:B238"/>
    <mergeCell ref="B239:B242"/>
    <mergeCell ref="B243:B246"/>
    <mergeCell ref="B247:B250"/>
    <mergeCell ref="B251:B254"/>
    <mergeCell ref="B275:B278"/>
    <mergeCell ref="B279:B282"/>
    <mergeCell ref="B283:B286"/>
    <mergeCell ref="B287:B290"/>
    <mergeCell ref="B291:B294"/>
    <mergeCell ref="B319:B322"/>
    <mergeCell ref="B323:B326"/>
    <mergeCell ref="B327:B330"/>
    <mergeCell ref="B223:B226"/>
    <mergeCell ref="B227:B230"/>
    <mergeCell ref="B231:B234"/>
    <mergeCell ref="B163:B166"/>
    <mergeCell ref="B23:B26"/>
    <mergeCell ref="B27:B30"/>
    <mergeCell ref="B31:B34"/>
    <mergeCell ref="B35:B38"/>
    <mergeCell ref="B127:B130"/>
    <mergeCell ref="B131:B134"/>
    <mergeCell ref="B119:B122"/>
    <mergeCell ref="B123:B126"/>
    <mergeCell ref="B195:B198"/>
    <mergeCell ref="B115:B118"/>
    <mergeCell ref="B71:B74"/>
    <mergeCell ref="B75:B78"/>
    <mergeCell ref="B79:B82"/>
    <mergeCell ref="B51:B54"/>
    <mergeCell ref="B55:B58"/>
    <mergeCell ref="B59:B62"/>
    <mergeCell ref="B63:B66"/>
    <mergeCell ref="B107:B110"/>
    <mergeCell ref="B111:B114"/>
    <mergeCell ref="B203:B206"/>
    <mergeCell ref="B183:B186"/>
    <mergeCell ref="B187:B190"/>
    <mergeCell ref="B147:B150"/>
    <mergeCell ref="B151:B154"/>
    <mergeCell ref="B155:B158"/>
    <mergeCell ref="B159:B162"/>
    <mergeCell ref="B191:B194"/>
    <mergeCell ref="B215:B218"/>
    <mergeCell ref="B219:B222"/>
    <mergeCell ref="B207:B210"/>
    <mergeCell ref="B211:B214"/>
    <mergeCell ref="T1:T2"/>
    <mergeCell ref="U1:U2"/>
    <mergeCell ref="V1:V2"/>
    <mergeCell ref="L1:L2"/>
    <mergeCell ref="I1:I2"/>
    <mergeCell ref="J1:J2"/>
    <mergeCell ref="K1:K2"/>
    <mergeCell ref="B255:B258"/>
    <mergeCell ref="A1:A2"/>
    <mergeCell ref="A3:A202"/>
    <mergeCell ref="B39:B42"/>
    <mergeCell ref="B43:B46"/>
    <mergeCell ref="B47:B50"/>
    <mergeCell ref="B83:B86"/>
    <mergeCell ref="B87:B90"/>
    <mergeCell ref="B91:B94"/>
    <mergeCell ref="B95:B98"/>
    <mergeCell ref="B99:B102"/>
    <mergeCell ref="B103:B106"/>
    <mergeCell ref="B199:B202"/>
    <mergeCell ref="B167:B170"/>
    <mergeCell ref="B171:B174"/>
    <mergeCell ref="B175:B178"/>
    <mergeCell ref="B179:B182"/>
    <mergeCell ref="B19:B22"/>
    <mergeCell ref="B15:B18"/>
    <mergeCell ref="B67:B70"/>
    <mergeCell ref="Z1:Z2"/>
    <mergeCell ref="B3:B6"/>
    <mergeCell ref="B7:B10"/>
    <mergeCell ref="B11:B14"/>
    <mergeCell ref="X1:X2"/>
    <mergeCell ref="Y1:Y2"/>
    <mergeCell ref="M1:M2"/>
    <mergeCell ref="B1:B2"/>
    <mergeCell ref="C1:C2"/>
    <mergeCell ref="D1:D2"/>
    <mergeCell ref="H1:H2"/>
    <mergeCell ref="W1:W2"/>
    <mergeCell ref="N1:N2"/>
    <mergeCell ref="O1:O2"/>
    <mergeCell ref="P1:P2"/>
    <mergeCell ref="Q1:Q2"/>
    <mergeCell ref="R1:R2"/>
    <mergeCell ref="S1:S2"/>
    <mergeCell ref="E1:E2"/>
    <mergeCell ref="F1:F2"/>
    <mergeCell ref="G1:G2"/>
  </mergeCells>
  <conditionalFormatting sqref="Y3:Y34">
    <cfRule type="containsText" dxfId="132" priority="134" operator="containsText" text="NO CUMPLE">
      <formula>NOT(ISERROR(SEARCH("NO CUMPLE",Y3)))</formula>
    </cfRule>
  </conditionalFormatting>
  <conditionalFormatting sqref="Y35">
    <cfRule type="containsText" dxfId="131" priority="132" operator="containsText" text="NO CUMPLE">
      <formula>NOT(ISERROR(SEARCH("NO CUMPLE",Y35)))</formula>
    </cfRule>
  </conditionalFormatting>
  <conditionalFormatting sqref="Y36">
    <cfRule type="containsText" dxfId="130" priority="131" operator="containsText" text="NO CUMPLE">
      <formula>NOT(ISERROR(SEARCH("NO CUMPLE",Y36)))</formula>
    </cfRule>
  </conditionalFormatting>
  <conditionalFormatting sqref="Y37">
    <cfRule type="containsText" dxfId="129" priority="130" operator="containsText" text="NO CUMPLE">
      <formula>NOT(ISERROR(SEARCH("NO CUMPLE",Y37)))</formula>
    </cfRule>
  </conditionalFormatting>
  <conditionalFormatting sqref="Y38">
    <cfRule type="containsText" dxfId="128" priority="129" operator="containsText" text="NO CUMPLE">
      <formula>NOT(ISERROR(SEARCH("NO CUMPLE",Y38)))</formula>
    </cfRule>
  </conditionalFormatting>
  <conditionalFormatting sqref="Y42 Y46 Y50 Y54 Y58 Y62 Y66">
    <cfRule type="containsText" dxfId="127" priority="128" operator="containsText" text="NO CUMPLE">
      <formula>NOT(ISERROR(SEARCH("NO CUMPLE",Y42)))</formula>
    </cfRule>
  </conditionalFormatting>
  <conditionalFormatting sqref="Y40:Y41 Y44:Y45 Y48:Y49 Y52:Y53 Y56:Y57 Y60:Y61 Y64:Y65">
    <cfRule type="containsText" dxfId="126" priority="127" operator="containsText" text="NO CUMPLE">
      <formula>NOT(ISERROR(SEARCH("NO CUMPLE",Y40)))</formula>
    </cfRule>
  </conditionalFormatting>
  <conditionalFormatting sqref="Y39 Y43 Y47 Y51 Y55 Y59 Y63">
    <cfRule type="containsText" dxfId="125" priority="126" operator="containsText" text="NO CUMPLE">
      <formula>NOT(ISERROR(SEARCH("NO CUMPLE",Y39)))</formula>
    </cfRule>
  </conditionalFormatting>
  <conditionalFormatting sqref="Y67">
    <cfRule type="containsText" dxfId="124" priority="125" operator="containsText" text="NO CUMPLE">
      <formula>NOT(ISERROR(SEARCH("NO CUMPLE",Y67)))</formula>
    </cfRule>
  </conditionalFormatting>
  <conditionalFormatting sqref="Y68">
    <cfRule type="containsText" dxfId="123" priority="124" operator="containsText" text="NO CUMPLE">
      <formula>NOT(ISERROR(SEARCH("NO CUMPLE",Y68)))</formula>
    </cfRule>
  </conditionalFormatting>
  <conditionalFormatting sqref="Y69">
    <cfRule type="containsText" dxfId="122" priority="123" operator="containsText" text="NO CUMPLE">
      <formula>NOT(ISERROR(SEARCH("NO CUMPLE",Y69)))</formula>
    </cfRule>
  </conditionalFormatting>
  <conditionalFormatting sqref="Y70">
    <cfRule type="containsText" dxfId="121" priority="122" operator="containsText" text="NO CUMPLE">
      <formula>NOT(ISERROR(SEARCH("NO CUMPLE",Y70)))</formula>
    </cfRule>
  </conditionalFormatting>
  <conditionalFormatting sqref="Y74 Y78 Y82 Y86 Y90 Y94 Y98">
    <cfRule type="containsText" dxfId="120" priority="121" operator="containsText" text="NO CUMPLE">
      <formula>NOT(ISERROR(SEARCH("NO CUMPLE",Y74)))</formula>
    </cfRule>
  </conditionalFormatting>
  <conditionalFormatting sqref="Y72:Y73 Y76:Y77 Y80:Y81 Y84:Y85 Y88:Y89 Y92:Y93 Y96:Y97">
    <cfRule type="containsText" dxfId="119" priority="120" operator="containsText" text="NO CUMPLE">
      <formula>NOT(ISERROR(SEARCH("NO CUMPLE",Y72)))</formula>
    </cfRule>
  </conditionalFormatting>
  <conditionalFormatting sqref="Y71 Y75 Y79 Y83 Y87 Y91 Y95">
    <cfRule type="containsText" dxfId="118" priority="119" operator="containsText" text="NO CUMPLE">
      <formula>NOT(ISERROR(SEARCH("NO CUMPLE",Y71)))</formula>
    </cfRule>
  </conditionalFormatting>
  <conditionalFormatting sqref="Y99">
    <cfRule type="containsText" dxfId="117" priority="118" operator="containsText" text="NO CUMPLE">
      <formula>NOT(ISERROR(SEARCH("NO CUMPLE",Y99)))</formula>
    </cfRule>
  </conditionalFormatting>
  <conditionalFormatting sqref="Y100">
    <cfRule type="containsText" dxfId="116" priority="117" operator="containsText" text="NO CUMPLE">
      <formula>NOT(ISERROR(SEARCH("NO CUMPLE",Y100)))</formula>
    </cfRule>
  </conditionalFormatting>
  <conditionalFormatting sqref="Y101">
    <cfRule type="containsText" dxfId="115" priority="116" operator="containsText" text="NO CUMPLE">
      <formula>NOT(ISERROR(SEARCH("NO CUMPLE",Y101)))</formula>
    </cfRule>
  </conditionalFormatting>
  <conditionalFormatting sqref="Y102">
    <cfRule type="containsText" dxfId="114" priority="115" operator="containsText" text="NO CUMPLE">
      <formula>NOT(ISERROR(SEARCH("NO CUMPLE",Y102)))</formula>
    </cfRule>
  </conditionalFormatting>
  <conditionalFormatting sqref="Y106 Y110 Y114 Y122 Y126 Y130 Y118:Y119">
    <cfRule type="containsText" dxfId="113" priority="114" operator="containsText" text="NO CUMPLE">
      <formula>NOT(ISERROR(SEARCH("NO CUMPLE",Y106)))</formula>
    </cfRule>
  </conditionalFormatting>
  <conditionalFormatting sqref="Y104:Y105 Y108:Y109 Y112:Y113 Y116:Y117 Y120:Y121 Y124:Y125 Y128:Y129">
    <cfRule type="containsText" dxfId="112" priority="113" operator="containsText" text="NO CUMPLE">
      <formula>NOT(ISERROR(SEARCH("NO CUMPLE",Y104)))</formula>
    </cfRule>
  </conditionalFormatting>
  <conditionalFormatting sqref="Y103 Y107 Y111 Y115 Y123 Y127">
    <cfRule type="containsText" dxfId="111" priority="112" operator="containsText" text="NO CUMPLE">
      <formula>NOT(ISERROR(SEARCH("NO CUMPLE",Y103)))</formula>
    </cfRule>
  </conditionalFormatting>
  <conditionalFormatting sqref="Y131">
    <cfRule type="containsText" dxfId="110" priority="111" operator="containsText" text="NO CUMPLE">
      <formula>NOT(ISERROR(SEARCH("NO CUMPLE",Y131)))</formula>
    </cfRule>
  </conditionalFormatting>
  <conditionalFormatting sqref="Y132">
    <cfRule type="containsText" dxfId="109" priority="110" operator="containsText" text="NO CUMPLE">
      <formula>NOT(ISERROR(SEARCH("NO CUMPLE",Y132)))</formula>
    </cfRule>
  </conditionalFormatting>
  <conditionalFormatting sqref="Y133">
    <cfRule type="containsText" dxfId="108" priority="109" operator="containsText" text="NO CUMPLE">
      <formula>NOT(ISERROR(SEARCH("NO CUMPLE",Y133)))</formula>
    </cfRule>
  </conditionalFormatting>
  <conditionalFormatting sqref="Y134">
    <cfRule type="containsText" dxfId="107" priority="108" operator="containsText" text="NO CUMPLE">
      <formula>NOT(ISERROR(SEARCH("NO CUMPLE",Y134)))</formula>
    </cfRule>
  </conditionalFormatting>
  <conditionalFormatting sqref="Y138 Y142 Y146 Y154 Y158 Y162">
    <cfRule type="containsText" dxfId="106" priority="107" operator="containsText" text="NO CUMPLE">
      <formula>NOT(ISERROR(SEARCH("NO CUMPLE",Y138)))</formula>
    </cfRule>
  </conditionalFormatting>
  <conditionalFormatting sqref="Y136:Y137 Y140:Y141 Y144:Y145 Y148 Y152:Y153 Y156:Y157 Y160:Y161">
    <cfRule type="containsText" dxfId="105" priority="106" operator="containsText" text="NO CUMPLE">
      <formula>NOT(ISERROR(SEARCH("NO CUMPLE",Y136)))</formula>
    </cfRule>
  </conditionalFormatting>
  <conditionalFormatting sqref="Y135 Y139 Y143 Y147 Y151 Y155 Y159">
    <cfRule type="containsText" dxfId="104" priority="105" operator="containsText" text="NO CUMPLE">
      <formula>NOT(ISERROR(SEARCH("NO CUMPLE",Y135)))</formula>
    </cfRule>
  </conditionalFormatting>
  <conditionalFormatting sqref="Y135">
    <cfRule type="containsText" dxfId="103" priority="104" operator="containsText" text="NO CUMPLE">
      <formula>NOT(ISERROR(SEARCH("NO CUMPLE",Y135)))</formula>
    </cfRule>
  </conditionalFormatting>
  <conditionalFormatting sqref="Y138">
    <cfRule type="containsText" dxfId="102" priority="103" operator="containsText" text="NO CUMPLE">
      <formula>NOT(ISERROR(SEARCH("NO CUMPLE",Y138)))</formula>
    </cfRule>
  </conditionalFormatting>
  <conditionalFormatting sqref="Y150">
    <cfRule type="containsText" dxfId="101" priority="102" operator="containsText" text="NO CUMPLE">
      <formula>NOT(ISERROR(SEARCH("NO CUMPLE",Y150)))</formula>
    </cfRule>
  </conditionalFormatting>
  <conditionalFormatting sqref="Y149">
    <cfRule type="containsText" dxfId="100" priority="101" operator="containsText" text="NO CUMPLE">
      <formula>NOT(ISERROR(SEARCH("NO CUMPLE",Y149)))</formula>
    </cfRule>
  </conditionalFormatting>
  <conditionalFormatting sqref="Y163">
    <cfRule type="containsText" dxfId="99" priority="100" operator="containsText" text="NO CUMPLE">
      <formula>NOT(ISERROR(SEARCH("NO CUMPLE",Y163)))</formula>
    </cfRule>
  </conditionalFormatting>
  <conditionalFormatting sqref="Y164">
    <cfRule type="containsText" dxfId="98" priority="99" operator="containsText" text="NO CUMPLE">
      <formula>NOT(ISERROR(SEARCH("NO CUMPLE",Y164)))</formula>
    </cfRule>
  </conditionalFormatting>
  <conditionalFormatting sqref="Y165">
    <cfRule type="containsText" dxfId="97" priority="98" operator="containsText" text="NO CUMPLE">
      <formula>NOT(ISERROR(SEARCH("NO CUMPLE",Y165)))</formula>
    </cfRule>
  </conditionalFormatting>
  <conditionalFormatting sqref="Y170 Y202 Y174 Y178 Y182 Y186 Y190 Y194">
    <cfRule type="containsText" dxfId="96" priority="97" operator="containsText" text="NO CUMPLE">
      <formula>NOT(ISERROR(SEARCH("NO CUMPLE",Y170)))</formula>
    </cfRule>
  </conditionalFormatting>
  <conditionalFormatting sqref="Y168:Y169 Y200:Y201 Y172:Y173 Y176:Y177 Y180:Y181 Y184:Y185 Y188:Y189 Y192:Y193">
    <cfRule type="containsText" dxfId="95" priority="96" operator="containsText" text="NO CUMPLE">
      <formula>NOT(ISERROR(SEARCH("NO CUMPLE",Y168)))</formula>
    </cfRule>
  </conditionalFormatting>
  <conditionalFormatting sqref="Y167 Y199 Y171 Y175 Y179 Y183 Y187 Y191">
    <cfRule type="containsText" dxfId="94" priority="95" operator="containsText" text="NO CUMPLE">
      <formula>NOT(ISERROR(SEARCH("NO CUMPLE",Y167)))</formula>
    </cfRule>
  </conditionalFormatting>
  <conditionalFormatting sqref="Y166">
    <cfRule type="containsText" dxfId="93" priority="94" operator="containsText" text="NO CUMPLE">
      <formula>NOT(ISERROR(SEARCH("NO CUMPLE",Y166)))</formula>
    </cfRule>
  </conditionalFormatting>
  <conditionalFormatting sqref="Y167">
    <cfRule type="containsText" dxfId="92" priority="93" operator="containsText" text="NO CUMPLE">
      <formula>NOT(ISERROR(SEARCH("NO CUMPLE",Y167)))</formula>
    </cfRule>
  </conditionalFormatting>
  <conditionalFormatting sqref="Y168">
    <cfRule type="containsText" dxfId="91" priority="92" operator="containsText" text="NO CUMPLE">
      <formula>NOT(ISERROR(SEARCH("NO CUMPLE",Y168)))</formula>
    </cfRule>
  </conditionalFormatting>
  <conditionalFormatting sqref="Y169">
    <cfRule type="containsText" dxfId="90" priority="91" operator="containsText" text="NO CUMPLE">
      <formula>NOT(ISERROR(SEARCH("NO CUMPLE",Y169)))</formula>
    </cfRule>
  </conditionalFormatting>
  <conditionalFormatting sqref="Y170">
    <cfRule type="containsText" dxfId="89" priority="90" operator="containsText" text="NO CUMPLE">
      <formula>NOT(ISERROR(SEARCH("NO CUMPLE",Y170)))</formula>
    </cfRule>
  </conditionalFormatting>
  <conditionalFormatting sqref="Y198">
    <cfRule type="containsText" dxfId="88" priority="89" operator="containsText" text="NO CUMPLE">
      <formula>NOT(ISERROR(SEARCH("NO CUMPLE",Y198)))</formula>
    </cfRule>
  </conditionalFormatting>
  <conditionalFormatting sqref="Y196:Y197">
    <cfRule type="containsText" dxfId="87" priority="88" operator="containsText" text="NO CUMPLE">
      <formula>NOT(ISERROR(SEARCH("NO CUMPLE",Y196)))</formula>
    </cfRule>
  </conditionalFormatting>
  <conditionalFormatting sqref="Y195">
    <cfRule type="containsText" dxfId="86" priority="87" operator="containsText" text="NO CUMPLE">
      <formula>NOT(ISERROR(SEARCH("NO CUMPLE",Y195)))</formula>
    </cfRule>
  </conditionalFormatting>
  <conditionalFormatting sqref="H203:K222">
    <cfRule type="containsText" dxfId="85" priority="86" operator="containsText" text="NO">
      <formula>NOT(ISERROR(SEARCH("NO",H203)))</formula>
    </cfRule>
  </conditionalFormatting>
  <conditionalFormatting sqref="Y203">
    <cfRule type="containsText" dxfId="84" priority="85" operator="containsText" text="NO CUMPLE">
      <formula>NOT(ISERROR(SEARCH("NO CUMPLE",Y203)))</formula>
    </cfRule>
  </conditionalFormatting>
  <conditionalFormatting sqref="Y204">
    <cfRule type="containsText" dxfId="83" priority="84" operator="containsText" text="NO CUMPLE">
      <formula>NOT(ISERROR(SEARCH("NO CUMPLE",Y204)))</formula>
    </cfRule>
  </conditionalFormatting>
  <conditionalFormatting sqref="Y205:Y222">
    <cfRule type="containsText" dxfId="82" priority="83" operator="containsText" text="NO CUMPLE">
      <formula>NOT(ISERROR(SEARCH("NO CUMPLE",Y205)))</formula>
    </cfRule>
  </conditionalFormatting>
  <conditionalFormatting sqref="H223:K250">
    <cfRule type="containsText" dxfId="81" priority="82" operator="containsText" text="NO">
      <formula>NOT(ISERROR(SEARCH("NO",H223)))</formula>
    </cfRule>
  </conditionalFormatting>
  <conditionalFormatting sqref="Y223 Y234">
    <cfRule type="containsText" dxfId="80" priority="81" operator="containsText" text="NO CUMPLE">
      <formula>NOT(ISERROR(SEARCH("NO CUMPLE",Y223)))</formula>
    </cfRule>
  </conditionalFormatting>
  <conditionalFormatting sqref="Y224">
    <cfRule type="containsText" dxfId="79" priority="80" operator="containsText" text="NO CUMPLE">
      <formula>NOT(ISERROR(SEARCH("NO CUMPLE",Y224)))</formula>
    </cfRule>
  </conditionalFormatting>
  <conditionalFormatting sqref="Y225">
    <cfRule type="containsText" dxfId="78" priority="79" operator="containsText" text="NO CUMPLE">
      <formula>NOT(ISERROR(SEARCH("NO CUMPLE",Y225)))</formula>
    </cfRule>
  </conditionalFormatting>
  <conditionalFormatting sqref="Y226">
    <cfRule type="containsText" dxfId="77" priority="78" operator="containsText" text="NO CUMPLE">
      <formula>NOT(ISERROR(SEARCH("NO CUMPLE",Y226)))</formula>
    </cfRule>
  </conditionalFormatting>
  <conditionalFormatting sqref="Y230 Y238 Y242 Y246 Y250">
    <cfRule type="containsText" dxfId="76" priority="77" operator="containsText" text="NO CUMPLE">
      <formula>NOT(ISERROR(SEARCH("NO CUMPLE",Y230)))</formula>
    </cfRule>
  </conditionalFormatting>
  <conditionalFormatting sqref="Y228:Y229 Y232:Y233 Y236:Y237 Y240:Y241 Y244:Y245 Y248:Y249">
    <cfRule type="containsText" dxfId="75" priority="76" operator="containsText" text="NO CUMPLE">
      <formula>NOT(ISERROR(SEARCH("NO CUMPLE",Y228)))</formula>
    </cfRule>
  </conditionalFormatting>
  <conditionalFormatting sqref="Y227 Y231 Y235 Y239 Y243 Y247">
    <cfRule type="containsText" dxfId="74" priority="75" operator="containsText" text="NO CUMPLE">
      <formula>NOT(ISERROR(SEARCH("NO CUMPLE",Y227)))</formula>
    </cfRule>
  </conditionalFormatting>
  <conditionalFormatting sqref="H251:K278">
    <cfRule type="containsText" dxfId="73" priority="74" operator="containsText" text="NO">
      <formula>NOT(ISERROR(SEARCH("NO",H251)))</formula>
    </cfRule>
  </conditionalFormatting>
  <conditionalFormatting sqref="Y251">
    <cfRule type="containsText" dxfId="72" priority="73" operator="containsText" text="NO CUMPLE">
      <formula>NOT(ISERROR(SEARCH("NO CUMPLE",Y251)))</formula>
    </cfRule>
  </conditionalFormatting>
  <conditionalFormatting sqref="Y252">
    <cfRule type="containsText" dxfId="71" priority="72" operator="containsText" text="NO CUMPLE">
      <formula>NOT(ISERROR(SEARCH("NO CUMPLE",Y252)))</formula>
    </cfRule>
  </conditionalFormatting>
  <conditionalFormatting sqref="Y253:Y274">
    <cfRule type="containsText" dxfId="70" priority="71" operator="containsText" text="NO CUMPLE">
      <formula>NOT(ISERROR(SEARCH("NO CUMPLE",Y253)))</formula>
    </cfRule>
  </conditionalFormatting>
  <conditionalFormatting sqref="Y276:Y278">
    <cfRule type="containsText" dxfId="69" priority="70" operator="containsText" text="NO CUMPLE">
      <formula>NOT(ISERROR(SEARCH("NO CUMPLE",Y276)))</formula>
    </cfRule>
  </conditionalFormatting>
  <conditionalFormatting sqref="Y275">
    <cfRule type="containsText" dxfId="68" priority="69" operator="containsText" text="NO CUMPLE">
      <formula>NOT(ISERROR(SEARCH("NO CUMPLE",Y275)))</formula>
    </cfRule>
  </conditionalFormatting>
  <conditionalFormatting sqref="H279:K306">
    <cfRule type="containsText" dxfId="67" priority="68" operator="containsText" text="NO">
      <formula>NOT(ISERROR(SEARCH("NO",H279)))</formula>
    </cfRule>
  </conditionalFormatting>
  <conditionalFormatting sqref="Y279">
    <cfRule type="containsText" dxfId="66" priority="67" operator="containsText" text="NO CUMPLE">
      <formula>NOT(ISERROR(SEARCH("NO CUMPLE",Y279)))</formula>
    </cfRule>
  </conditionalFormatting>
  <conditionalFormatting sqref="Y280">
    <cfRule type="containsText" dxfId="65" priority="66" operator="containsText" text="NO CUMPLE">
      <formula>NOT(ISERROR(SEARCH("NO CUMPLE",Y280)))</formula>
    </cfRule>
  </conditionalFormatting>
  <conditionalFormatting sqref="Y281">
    <cfRule type="containsText" dxfId="64" priority="65" operator="containsText" text="NO CUMPLE">
      <formula>NOT(ISERROR(SEARCH("NO CUMPLE",Y281)))</formula>
    </cfRule>
  </conditionalFormatting>
  <conditionalFormatting sqref="Y282">
    <cfRule type="containsText" dxfId="63" priority="64" operator="containsText" text="NO CUMPLE">
      <formula>NOT(ISERROR(SEARCH("NO CUMPLE",Y282)))</formula>
    </cfRule>
  </conditionalFormatting>
  <conditionalFormatting sqref="Y286 Y290 Y294 Y298 Y302 Y306">
    <cfRule type="containsText" dxfId="62" priority="63" operator="containsText" text="NO CUMPLE">
      <formula>NOT(ISERROR(SEARCH("NO CUMPLE",Y286)))</formula>
    </cfRule>
  </conditionalFormatting>
  <conditionalFormatting sqref="Y284:Y285 Y288:Y289 Y292:Y293 Y296:Y297 Y300:Y301 Y304:Y305">
    <cfRule type="containsText" dxfId="61" priority="62" operator="containsText" text="NO CUMPLE">
      <formula>NOT(ISERROR(SEARCH("NO CUMPLE",Y284)))</formula>
    </cfRule>
  </conditionalFormatting>
  <conditionalFormatting sqref="Y283 Y287 Y291 Y295 Y299 Y303">
    <cfRule type="containsText" dxfId="60" priority="61" operator="containsText" text="NO CUMPLE">
      <formula>NOT(ISERROR(SEARCH("NO CUMPLE",Y283)))</formula>
    </cfRule>
  </conditionalFormatting>
  <conditionalFormatting sqref="Y283">
    <cfRule type="containsText" dxfId="59" priority="60" operator="containsText" text="NO CUMPLE">
      <formula>NOT(ISERROR(SEARCH("NO CUMPLE",Y283)))</formula>
    </cfRule>
  </conditionalFormatting>
  <conditionalFormatting sqref="Y284">
    <cfRule type="containsText" dxfId="58" priority="59" operator="containsText" text="NO CUMPLE">
      <formula>NOT(ISERROR(SEARCH("NO CUMPLE",Y284)))</formula>
    </cfRule>
  </conditionalFormatting>
  <conditionalFormatting sqref="Y285">
    <cfRule type="containsText" dxfId="57" priority="58" operator="containsText" text="NO CUMPLE">
      <formula>NOT(ISERROR(SEARCH("NO CUMPLE",Y285)))</formula>
    </cfRule>
  </conditionalFormatting>
  <conditionalFormatting sqref="Y286">
    <cfRule type="containsText" dxfId="56" priority="57" operator="containsText" text="NO CUMPLE">
      <formula>NOT(ISERROR(SEARCH("NO CUMPLE",Y286)))</formula>
    </cfRule>
  </conditionalFormatting>
  <conditionalFormatting sqref="Y287">
    <cfRule type="containsText" dxfId="55" priority="56" operator="containsText" text="NO CUMPLE">
      <formula>NOT(ISERROR(SEARCH("NO CUMPLE",Y287)))</formula>
    </cfRule>
  </conditionalFormatting>
  <conditionalFormatting sqref="Y288">
    <cfRule type="containsText" dxfId="54" priority="55" operator="containsText" text="NO CUMPLE">
      <formula>NOT(ISERROR(SEARCH("NO CUMPLE",Y288)))</formula>
    </cfRule>
  </conditionalFormatting>
  <conditionalFormatting sqref="Y289">
    <cfRule type="containsText" dxfId="53" priority="54" operator="containsText" text="NO CUMPLE">
      <formula>NOT(ISERROR(SEARCH("NO CUMPLE",Y289)))</formula>
    </cfRule>
  </conditionalFormatting>
  <conditionalFormatting sqref="Y290">
    <cfRule type="containsText" dxfId="52" priority="53" operator="containsText" text="NO CUMPLE">
      <formula>NOT(ISERROR(SEARCH("NO CUMPLE",Y290)))</formula>
    </cfRule>
  </conditionalFormatting>
  <conditionalFormatting sqref="Y291">
    <cfRule type="containsText" dxfId="51" priority="52" operator="containsText" text="NO CUMPLE">
      <formula>NOT(ISERROR(SEARCH("NO CUMPLE",Y291)))</formula>
    </cfRule>
  </conditionalFormatting>
  <conditionalFormatting sqref="Y292">
    <cfRule type="containsText" dxfId="50" priority="51" operator="containsText" text="NO CUMPLE">
      <formula>NOT(ISERROR(SEARCH("NO CUMPLE",Y292)))</formula>
    </cfRule>
  </conditionalFormatting>
  <conditionalFormatting sqref="Y293">
    <cfRule type="containsText" dxfId="49" priority="50" operator="containsText" text="NO CUMPLE">
      <formula>NOT(ISERROR(SEARCH("NO CUMPLE",Y293)))</formula>
    </cfRule>
  </conditionalFormatting>
  <conditionalFormatting sqref="Y294">
    <cfRule type="containsText" dxfId="48" priority="49" operator="containsText" text="NO CUMPLE">
      <formula>NOT(ISERROR(SEARCH("NO CUMPLE",Y294)))</formula>
    </cfRule>
  </conditionalFormatting>
  <conditionalFormatting sqref="Y283">
    <cfRule type="containsText" dxfId="47" priority="48" operator="containsText" text="NO CUMPLE">
      <formula>NOT(ISERROR(SEARCH("NO CUMPLE",Y283)))</formula>
    </cfRule>
  </conditionalFormatting>
  <conditionalFormatting sqref="Y284">
    <cfRule type="containsText" dxfId="46" priority="47" operator="containsText" text="NO CUMPLE">
      <formula>NOT(ISERROR(SEARCH("NO CUMPLE",Y284)))</formula>
    </cfRule>
  </conditionalFormatting>
  <conditionalFormatting sqref="Y285">
    <cfRule type="containsText" dxfId="45" priority="46" operator="containsText" text="NO CUMPLE">
      <formula>NOT(ISERROR(SEARCH("NO CUMPLE",Y285)))</formula>
    </cfRule>
  </conditionalFormatting>
  <conditionalFormatting sqref="Y286">
    <cfRule type="containsText" dxfId="44" priority="45" operator="containsText" text="NO CUMPLE">
      <formula>NOT(ISERROR(SEARCH("NO CUMPLE",Y286)))</formula>
    </cfRule>
  </conditionalFormatting>
  <conditionalFormatting sqref="Y287">
    <cfRule type="containsText" dxfId="43" priority="44" operator="containsText" text="NO CUMPLE">
      <formula>NOT(ISERROR(SEARCH("NO CUMPLE",Y287)))</formula>
    </cfRule>
  </conditionalFormatting>
  <conditionalFormatting sqref="Y288">
    <cfRule type="containsText" dxfId="42" priority="43" operator="containsText" text="NO CUMPLE">
      <formula>NOT(ISERROR(SEARCH("NO CUMPLE",Y288)))</formula>
    </cfRule>
  </conditionalFormatting>
  <conditionalFormatting sqref="Y289">
    <cfRule type="containsText" dxfId="41" priority="42" operator="containsText" text="NO CUMPLE">
      <formula>NOT(ISERROR(SEARCH("NO CUMPLE",Y289)))</formula>
    </cfRule>
  </conditionalFormatting>
  <conditionalFormatting sqref="Y290">
    <cfRule type="containsText" dxfId="40" priority="41" operator="containsText" text="NO CUMPLE">
      <formula>NOT(ISERROR(SEARCH("NO CUMPLE",Y290)))</formula>
    </cfRule>
  </conditionalFormatting>
  <conditionalFormatting sqref="Y291">
    <cfRule type="containsText" dxfId="39" priority="40" operator="containsText" text="NO CUMPLE">
      <formula>NOT(ISERROR(SEARCH("NO CUMPLE",Y291)))</formula>
    </cfRule>
  </conditionalFormatting>
  <conditionalFormatting sqref="Y292">
    <cfRule type="containsText" dxfId="38" priority="39" operator="containsText" text="NO CUMPLE">
      <formula>NOT(ISERROR(SEARCH("NO CUMPLE",Y292)))</formula>
    </cfRule>
  </conditionalFormatting>
  <conditionalFormatting sqref="Y293">
    <cfRule type="containsText" dxfId="37" priority="38" operator="containsText" text="NO CUMPLE">
      <formula>NOT(ISERROR(SEARCH("NO CUMPLE",Y293)))</formula>
    </cfRule>
  </conditionalFormatting>
  <conditionalFormatting sqref="Y294">
    <cfRule type="containsText" dxfId="36" priority="37" operator="containsText" text="NO CUMPLE">
      <formula>NOT(ISERROR(SEARCH("NO CUMPLE",Y294)))</formula>
    </cfRule>
  </conditionalFormatting>
  <conditionalFormatting sqref="Y295">
    <cfRule type="containsText" dxfId="35" priority="36" operator="containsText" text="NO CUMPLE">
      <formula>NOT(ISERROR(SEARCH("NO CUMPLE",Y295)))</formula>
    </cfRule>
  </conditionalFormatting>
  <conditionalFormatting sqref="Y296">
    <cfRule type="containsText" dxfId="34" priority="35" operator="containsText" text="NO CUMPLE">
      <formula>NOT(ISERROR(SEARCH("NO CUMPLE",Y296)))</formula>
    </cfRule>
  </conditionalFormatting>
  <conditionalFormatting sqref="Y297">
    <cfRule type="containsText" dxfId="33" priority="34" operator="containsText" text="NO CUMPLE">
      <formula>NOT(ISERROR(SEARCH("NO CUMPLE",Y297)))</formula>
    </cfRule>
  </conditionalFormatting>
  <conditionalFormatting sqref="Y298">
    <cfRule type="containsText" dxfId="32" priority="33" operator="containsText" text="NO CUMPLE">
      <formula>NOT(ISERROR(SEARCH("NO CUMPLE",Y298)))</formula>
    </cfRule>
  </conditionalFormatting>
  <conditionalFormatting sqref="Y299">
    <cfRule type="containsText" dxfId="31" priority="32" operator="containsText" text="NO CUMPLE">
      <formula>NOT(ISERROR(SEARCH("NO CUMPLE",Y299)))</formula>
    </cfRule>
  </conditionalFormatting>
  <conditionalFormatting sqref="Y300">
    <cfRule type="containsText" dxfId="30" priority="31" operator="containsText" text="NO CUMPLE">
      <formula>NOT(ISERROR(SEARCH("NO CUMPLE",Y300)))</formula>
    </cfRule>
  </conditionalFormatting>
  <conditionalFormatting sqref="Y301">
    <cfRule type="containsText" dxfId="29" priority="30" operator="containsText" text="NO CUMPLE">
      <formula>NOT(ISERROR(SEARCH("NO CUMPLE",Y301)))</formula>
    </cfRule>
  </conditionalFormatting>
  <conditionalFormatting sqref="Y302">
    <cfRule type="containsText" dxfId="28" priority="29" operator="containsText" text="NO CUMPLE">
      <formula>NOT(ISERROR(SEARCH("NO CUMPLE",Y302)))</formula>
    </cfRule>
  </conditionalFormatting>
  <conditionalFormatting sqref="Y299">
    <cfRule type="containsText" dxfId="27" priority="28" operator="containsText" text="NO CUMPLE">
      <formula>NOT(ISERROR(SEARCH("NO CUMPLE",Y299)))</formula>
    </cfRule>
  </conditionalFormatting>
  <conditionalFormatting sqref="Y300">
    <cfRule type="containsText" dxfId="26" priority="27" operator="containsText" text="NO CUMPLE">
      <formula>NOT(ISERROR(SEARCH("NO CUMPLE",Y300)))</formula>
    </cfRule>
  </conditionalFormatting>
  <conditionalFormatting sqref="Y301">
    <cfRule type="containsText" dxfId="25" priority="26" operator="containsText" text="NO CUMPLE">
      <formula>NOT(ISERROR(SEARCH("NO CUMPLE",Y301)))</formula>
    </cfRule>
  </conditionalFormatting>
  <conditionalFormatting sqref="Y302">
    <cfRule type="containsText" dxfId="24" priority="25" operator="containsText" text="NO CUMPLE">
      <formula>NOT(ISERROR(SEARCH("NO CUMPLE",Y302)))</formula>
    </cfRule>
  </conditionalFormatting>
  <conditionalFormatting sqref="Y303">
    <cfRule type="containsText" dxfId="23" priority="24" operator="containsText" text="NO CUMPLE">
      <formula>NOT(ISERROR(SEARCH("NO CUMPLE",Y303)))</formula>
    </cfRule>
  </conditionalFormatting>
  <conditionalFormatting sqref="Y304">
    <cfRule type="containsText" dxfId="22" priority="23" operator="containsText" text="NO CUMPLE">
      <formula>NOT(ISERROR(SEARCH("NO CUMPLE",Y304)))</formula>
    </cfRule>
  </conditionalFormatting>
  <conditionalFormatting sqref="Y305">
    <cfRule type="containsText" dxfId="21" priority="22" operator="containsText" text="NO CUMPLE">
      <formula>NOT(ISERROR(SEARCH("NO CUMPLE",Y305)))</formula>
    </cfRule>
  </conditionalFormatting>
  <conditionalFormatting sqref="Y306">
    <cfRule type="containsText" dxfId="20" priority="21" operator="containsText" text="NO CUMPLE">
      <formula>NOT(ISERROR(SEARCH("NO CUMPLE",Y306)))</formula>
    </cfRule>
  </conditionalFormatting>
  <conditionalFormatting sqref="Y303">
    <cfRule type="containsText" dxfId="19" priority="20" operator="containsText" text="NO CUMPLE">
      <formula>NOT(ISERROR(SEARCH("NO CUMPLE",Y303)))</formula>
    </cfRule>
  </conditionalFormatting>
  <conditionalFormatting sqref="Y304">
    <cfRule type="containsText" dxfId="18" priority="19" operator="containsText" text="NO CUMPLE">
      <formula>NOT(ISERROR(SEARCH("NO CUMPLE",Y304)))</formula>
    </cfRule>
  </conditionalFormatting>
  <conditionalFormatting sqref="Y305">
    <cfRule type="containsText" dxfId="17" priority="18" operator="containsText" text="NO CUMPLE">
      <formula>NOT(ISERROR(SEARCH("NO CUMPLE",Y305)))</formula>
    </cfRule>
  </conditionalFormatting>
  <conditionalFormatting sqref="Y306">
    <cfRule type="containsText" dxfId="16" priority="17" operator="containsText" text="NO CUMPLE">
      <formula>NOT(ISERROR(SEARCH("NO CUMPLE",Y306)))</formula>
    </cfRule>
  </conditionalFormatting>
  <conditionalFormatting sqref="H307:K326">
    <cfRule type="containsText" dxfId="15" priority="16" operator="containsText" text="NO">
      <formula>NOT(ISERROR(SEARCH("NO",H307)))</formula>
    </cfRule>
  </conditionalFormatting>
  <conditionalFormatting sqref="Y307">
    <cfRule type="containsText" dxfId="14" priority="15" operator="containsText" text="NO CUMPLE">
      <formula>NOT(ISERROR(SEARCH("NO CUMPLE",Y307)))</formula>
    </cfRule>
  </conditionalFormatting>
  <conditionalFormatting sqref="Y308">
    <cfRule type="containsText" dxfId="13" priority="14" operator="containsText" text="NO CUMPLE">
      <formula>NOT(ISERROR(SEARCH("NO CUMPLE",Y308)))</formula>
    </cfRule>
  </conditionalFormatting>
  <conditionalFormatting sqref="Y309">
    <cfRule type="containsText" dxfId="12" priority="13" operator="containsText" text="NO CUMPLE">
      <formula>NOT(ISERROR(SEARCH("NO CUMPLE",Y309)))</formula>
    </cfRule>
  </conditionalFormatting>
  <conditionalFormatting sqref="Y310:Y334">
    <cfRule type="containsText" dxfId="11" priority="12" operator="containsText" text="NO CUMPLE">
      <formula>NOT(ISERROR(SEARCH("NO CUMPLE",Y310)))</formula>
    </cfRule>
  </conditionalFormatting>
  <conditionalFormatting sqref="H331:K334">
    <cfRule type="containsText" dxfId="10" priority="11" operator="containsText" text="NO">
      <formula>NOT(ISERROR(SEARCH("NO",H331)))</formula>
    </cfRule>
  </conditionalFormatting>
  <conditionalFormatting sqref="H327:K330">
    <cfRule type="containsText" dxfId="9" priority="10" operator="containsText" text="NO">
      <formula>NOT(ISERROR(SEARCH("NO",H327)))</formula>
    </cfRule>
  </conditionalFormatting>
  <conditionalFormatting sqref="H335:K350 H361:K362 H355:K359">
    <cfRule type="containsText" dxfId="8" priority="9" operator="containsText" text="NO">
      <formula>NOT(ISERROR(SEARCH("NO",H335)))</formula>
    </cfRule>
  </conditionalFormatting>
  <conditionalFormatting sqref="Y335">
    <cfRule type="containsText" dxfId="7" priority="8" operator="containsText" text="NO CUMPLE">
      <formula>NOT(ISERROR(SEARCH("NO CUMPLE",Y335)))</formula>
    </cfRule>
  </conditionalFormatting>
  <conditionalFormatting sqref="Y336">
    <cfRule type="containsText" dxfId="6" priority="7" operator="containsText" text="NO CUMPLE">
      <formula>NOT(ISERROR(SEARCH("NO CUMPLE",Y336)))</formula>
    </cfRule>
  </conditionalFormatting>
  <conditionalFormatting sqref="Y337:Y350 Y355:Y362">
    <cfRule type="containsText" dxfId="5" priority="6" operator="containsText" text="NO CUMPLE">
      <formula>NOT(ISERROR(SEARCH("NO CUMPLE",Y337)))</formula>
    </cfRule>
  </conditionalFormatting>
  <conditionalFormatting sqref="H351:K354">
    <cfRule type="containsText" dxfId="4" priority="5" operator="containsText" text="NO">
      <formula>NOT(ISERROR(SEARCH("NO",H351)))</formula>
    </cfRule>
  </conditionalFormatting>
  <conditionalFormatting sqref="H360:K360">
    <cfRule type="containsText" dxfId="3" priority="4" operator="containsText" text="NO">
      <formula>NOT(ISERROR(SEARCH("NO",H360)))</formula>
    </cfRule>
  </conditionalFormatting>
  <conditionalFormatting sqref="Y351:Y354">
    <cfRule type="containsText" dxfId="2" priority="3" operator="containsText" text="NO CUMPLE">
      <formula>NOT(ISERROR(SEARCH("NO CUMPLE",Y351)))</formula>
    </cfRule>
  </conditionalFormatting>
  <conditionalFormatting sqref="H363:K366">
    <cfRule type="containsText" dxfId="1" priority="2" operator="containsText" text="NO">
      <formula>NOT(ISERROR(SEARCH("NO",H363)))</formula>
    </cfRule>
  </conditionalFormatting>
  <conditionalFormatting sqref="Y363:Y366">
    <cfRule type="containsText" dxfId="0" priority="1" operator="containsText" text="NO CUMPLE">
      <formula>NOT(ISERROR(SEARCH("NO CUMPLE",Y363)))</formula>
    </cfRule>
  </conditionalFormatting>
  <dataValidations count="2">
    <dataValidation type="list" allowBlank="1" showInputMessage="1" showErrorMessage="1" sqref="H3:K202">
      <formula1>$AB$1:$AC$1</formula1>
    </dataValidation>
    <dataValidation type="list" allowBlank="1" showInputMessage="1" showErrorMessage="1" sqref="H203:K366">
      <formula1>$AA$1:$AB$1</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CONSOLIDADO</vt:lpstr>
      <vt:lpstr>PARAMETROS</vt:lpstr>
      <vt:lpstr>EXP GENERAL </vt:lpstr>
      <vt:lpstr>EXP ESPECIFICA </vt:lpstr>
      <vt:lpstr>DESEMPATE</vt:lpstr>
      <vt:lpstr>SH TRM</vt:lpstr>
      <vt:lpstr>PROM TRM MES</vt:lpstr>
      <vt:lpstr>019 - Gen.</vt:lpstr>
      <vt:lpstr>019 - Espc.</vt:lpstr>
      <vt:lpstr>Concur - Exp. General</vt:lpstr>
      <vt:lpstr>Concur - Exp. Especifica</vt:lpstr>
    </vt:vector>
  </TitlesOfParts>
  <Manager/>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Snn Pr1</dc:creator>
  <cp:keywords/>
  <dc:description/>
  <cp:lastModifiedBy>Juan Carlos Avendaño Ariza</cp:lastModifiedBy>
  <cp:revision/>
  <dcterms:created xsi:type="dcterms:W3CDTF">2015-12-03T23:01:34Z</dcterms:created>
  <dcterms:modified xsi:type="dcterms:W3CDTF">2016-05-05T02:07:57Z</dcterms:modified>
  <cp:category/>
  <cp:contentStatus/>
</cp:coreProperties>
</file>