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mendoza\Desktop\ani\TODOS PROCESOS DE SELECCION\SELECCIONES ABREVIADAS\VJ-VAF-SA-009-2016\pliego definitivo\EVALUACION\PRELIMINAR\"/>
    </mc:Choice>
  </mc:AlternateContent>
  <bookViews>
    <workbookView xWindow="0" yWindow="0" windowWidth="20490" windowHeight="7155" activeTab="1"/>
  </bookViews>
  <sheets>
    <sheet name="RESUMEN" sheetId="13" r:id="rId1"/>
    <sheet name="VR-PROP" sheetId="15" r:id="rId2"/>
    <sheet name="FORMULA" sheetId="107" r:id="rId3"/>
    <sheet name="ELEGIBILIDAD" sheetId="10" state="hidden" r:id="rId4"/>
    <sheet name="Listas" sheetId="106" state="veryHidden" r:id="rId5"/>
    <sheet name="Hoja1" sheetId="108" state="hidden" r:id="rId6"/>
  </sheets>
  <definedNames>
    <definedName name="_xlnm._FilterDatabase" localSheetId="1" hidden="1">'VR-PROP'!$F$19:$H$23</definedName>
    <definedName name="_xlnm.Print_Area" localSheetId="3">ELEGIBILIDAD!$A$1:$V$53</definedName>
    <definedName name="_xlnm.Print_Area" localSheetId="0">RESUMEN!$B$1:$I$57</definedName>
    <definedName name="_xlnm.Print_Area" localSheetId="1">'VR-PROP'!$B$1:$H$23</definedName>
    <definedName name="DEPENDENCIAS">Listas!$B$2:$B$16</definedName>
    <definedName name="METEVA">Listas!$D$2:$D$6</definedName>
    <definedName name="RESULTADO">Listas!$C$2:$C$4</definedName>
    <definedName name="_xlnm.Print_Titles" localSheetId="3">ELEGIBILIDAD!$1:$15</definedName>
    <definedName name="_xlnm.Print_Titles" localSheetId="2">FORMULA!$1:$11</definedName>
    <definedName name="_xlnm.Print_Titles" localSheetId="1">'VR-PROP'!$B:$E</definedName>
  </definedNames>
  <calcPr calcId="171027" concurrentCalc="0"/>
</workbook>
</file>

<file path=xl/calcChain.xml><?xml version="1.0" encoding="utf-8"?>
<calcChain xmlns="http://schemas.openxmlformats.org/spreadsheetml/2006/main">
  <c r="B28" i="108" l="1"/>
  <c r="B29" i="108"/>
  <c r="B31" i="108"/>
  <c r="B32" i="108"/>
  <c r="B22" i="108"/>
  <c r="B23" i="108"/>
  <c r="B24" i="108"/>
  <c r="B19" i="108"/>
  <c r="B20" i="108"/>
  <c r="B8" i="108"/>
  <c r="B14" i="108"/>
  <c r="B15" i="108"/>
  <c r="B16" i="108"/>
  <c r="C8" i="108"/>
  <c r="C10" i="108"/>
  <c r="C12" i="108"/>
  <c r="CF10" i="15"/>
  <c r="CH14" i="15"/>
  <c r="CH15" i="15"/>
  <c r="CH16" i="15"/>
  <c r="CH18" i="15"/>
  <c r="CG14" i="15"/>
  <c r="CG15" i="15"/>
  <c r="CG16" i="15"/>
  <c r="CG17" i="15"/>
  <c r="E17" i="15"/>
  <c r="E18" i="15"/>
  <c r="CG18" i="15"/>
  <c r="E72" i="107"/>
  <c r="I72" i="107"/>
  <c r="BT10" i="15"/>
  <c r="BV14" i="15"/>
  <c r="BV15" i="15"/>
  <c r="BV16" i="15"/>
  <c r="BV18" i="15"/>
  <c r="BU14" i="15"/>
  <c r="BU15" i="15"/>
  <c r="BU16" i="15"/>
  <c r="BU17" i="15"/>
  <c r="BU18" i="15"/>
  <c r="E68" i="107"/>
  <c r="I68" i="107"/>
  <c r="AG10" i="15"/>
  <c r="AI14" i="15"/>
  <c r="AI15" i="15"/>
  <c r="AI16" i="15"/>
  <c r="AI18" i="15"/>
  <c r="AH14" i="15"/>
  <c r="AH15" i="15"/>
  <c r="AH16" i="15"/>
  <c r="AH17" i="15"/>
  <c r="AH18" i="15"/>
  <c r="E55" i="107"/>
  <c r="I55" i="107"/>
  <c r="R10" i="15"/>
  <c r="T14" i="15"/>
  <c r="T15" i="15"/>
  <c r="T16" i="15"/>
  <c r="T18" i="15"/>
  <c r="S14" i="15"/>
  <c r="S15" i="15"/>
  <c r="S16" i="15"/>
  <c r="S17" i="15"/>
  <c r="S18" i="15"/>
  <c r="E50" i="107"/>
  <c r="I50" i="107"/>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15" i="13"/>
  <c r="C2" i="108"/>
  <c r="C3" i="108"/>
  <c r="C4" i="108"/>
  <c r="C6" i="108"/>
  <c r="F6" i="108"/>
  <c r="G6" i="108"/>
  <c r="DL16" i="15"/>
  <c r="DK16" i="15"/>
  <c r="DI16" i="15"/>
  <c r="DH16" i="15"/>
  <c r="DF16" i="15"/>
  <c r="DE16" i="15"/>
  <c r="DC16" i="15"/>
  <c r="DB16" i="15"/>
  <c r="CZ16" i="15"/>
  <c r="CY16" i="15"/>
  <c r="CW16" i="15"/>
  <c r="CV16" i="15"/>
  <c r="CT16" i="15"/>
  <c r="CS16" i="15"/>
  <c r="CQ16" i="15"/>
  <c r="CP16" i="15"/>
  <c r="CN16" i="15"/>
  <c r="CM16" i="15"/>
  <c r="CK16" i="15"/>
  <c r="CJ16" i="15"/>
  <c r="CE16" i="15"/>
  <c r="CD16" i="15"/>
  <c r="CB16" i="15"/>
  <c r="CA16" i="15"/>
  <c r="BY16" i="15"/>
  <c r="BX16" i="15"/>
  <c r="BS16" i="15"/>
  <c r="BR16" i="15"/>
  <c r="BP16" i="15"/>
  <c r="BO16" i="15"/>
  <c r="BM16" i="15"/>
  <c r="BL16" i="15"/>
  <c r="BJ16" i="15"/>
  <c r="BI16" i="15"/>
  <c r="BG16" i="15"/>
  <c r="BF16" i="15"/>
  <c r="BD16" i="15"/>
  <c r="BC16" i="15"/>
  <c r="BA16" i="15"/>
  <c r="AZ16" i="15"/>
  <c r="AX16" i="15"/>
  <c r="AW16" i="15"/>
  <c r="AU16" i="15"/>
  <c r="AT16" i="15"/>
  <c r="AR16" i="15"/>
  <c r="AQ16" i="15"/>
  <c r="AO16" i="15"/>
  <c r="AN16" i="15"/>
  <c r="AL16" i="15"/>
  <c r="AK16" i="15"/>
  <c r="AF16" i="15"/>
  <c r="AE16" i="15"/>
  <c r="AC16" i="15"/>
  <c r="AB16" i="15"/>
  <c r="Z16" i="15"/>
  <c r="Y16" i="15"/>
  <c r="W16" i="15"/>
  <c r="V16" i="15"/>
  <c r="Q16" i="15"/>
  <c r="P16" i="15"/>
  <c r="N16" i="15"/>
  <c r="M16" i="15"/>
  <c r="K16" i="15"/>
  <c r="J16" i="15"/>
  <c r="DL15" i="15"/>
  <c r="DK15" i="15"/>
  <c r="DI15" i="15"/>
  <c r="DH15" i="15"/>
  <c r="DF15" i="15"/>
  <c r="DE15" i="15"/>
  <c r="DC15" i="15"/>
  <c r="DB15" i="15"/>
  <c r="CZ15" i="15"/>
  <c r="CY15" i="15"/>
  <c r="CW15" i="15"/>
  <c r="CV15" i="15"/>
  <c r="CT15" i="15"/>
  <c r="CS15" i="15"/>
  <c r="CQ15" i="15"/>
  <c r="CP15" i="15"/>
  <c r="CN15" i="15"/>
  <c r="CM15" i="15"/>
  <c r="CK15" i="15"/>
  <c r="CJ15" i="15"/>
  <c r="CE15" i="15"/>
  <c r="CD15" i="15"/>
  <c r="CB15" i="15"/>
  <c r="CA15" i="15"/>
  <c r="BY15" i="15"/>
  <c r="BX15" i="15"/>
  <c r="BS15" i="15"/>
  <c r="BR15" i="15"/>
  <c r="BP15" i="15"/>
  <c r="BO15" i="15"/>
  <c r="BM15" i="15"/>
  <c r="BL15" i="15"/>
  <c r="BJ15" i="15"/>
  <c r="BI15" i="15"/>
  <c r="BG15" i="15"/>
  <c r="BF15" i="15"/>
  <c r="BD15" i="15"/>
  <c r="BC15" i="15"/>
  <c r="BA15" i="15"/>
  <c r="AZ15" i="15"/>
  <c r="AX15" i="15"/>
  <c r="AW15" i="15"/>
  <c r="AU15" i="15"/>
  <c r="AT15" i="15"/>
  <c r="AR15" i="15"/>
  <c r="AQ15" i="15"/>
  <c r="AO15" i="15"/>
  <c r="AN15" i="15"/>
  <c r="AL15" i="15"/>
  <c r="AK15" i="15"/>
  <c r="AF15" i="15"/>
  <c r="AE15" i="15"/>
  <c r="AC15" i="15"/>
  <c r="AB15" i="15"/>
  <c r="Z15" i="15"/>
  <c r="Y15" i="15"/>
  <c r="W15" i="15"/>
  <c r="V15" i="15"/>
  <c r="Q15" i="15"/>
  <c r="P15" i="15"/>
  <c r="N15" i="15"/>
  <c r="M15" i="15"/>
  <c r="K15" i="15"/>
  <c r="J15" i="15"/>
  <c r="DL14" i="15"/>
  <c r="DK14" i="15"/>
  <c r="DI14" i="15"/>
  <c r="DI18" i="15"/>
  <c r="DH14" i="15"/>
  <c r="DF14" i="15"/>
  <c r="DF18" i="15"/>
  <c r="DE14" i="15"/>
  <c r="DE17" i="15"/>
  <c r="DC14" i="15"/>
  <c r="DC18" i="15"/>
  <c r="DB14" i="15"/>
  <c r="CZ14" i="15"/>
  <c r="CY14" i="15"/>
  <c r="CW14" i="15"/>
  <c r="CW18" i="15"/>
  <c r="CV14" i="15"/>
  <c r="CT14" i="15"/>
  <c r="CT18" i="15"/>
  <c r="CS14" i="15"/>
  <c r="CS17" i="15"/>
  <c r="CQ14" i="15"/>
  <c r="CQ18" i="15"/>
  <c r="CP14" i="15"/>
  <c r="CN14" i="15"/>
  <c r="CN18" i="15"/>
  <c r="CM14" i="15"/>
  <c r="CK14" i="15"/>
  <c r="CK18" i="15"/>
  <c r="CJ14" i="15"/>
  <c r="CE14" i="15"/>
  <c r="CE18" i="15"/>
  <c r="CD14" i="15"/>
  <c r="CB14" i="15"/>
  <c r="CB18" i="15"/>
  <c r="CA14" i="15"/>
  <c r="BY14" i="15"/>
  <c r="BY18" i="15"/>
  <c r="BX14" i="15"/>
  <c r="BS14" i="15"/>
  <c r="BS18" i="15"/>
  <c r="BR14" i="15"/>
  <c r="BP14" i="15"/>
  <c r="BP18" i="15"/>
  <c r="BO14" i="15"/>
  <c r="BM14" i="15"/>
  <c r="BM18" i="15"/>
  <c r="BL14" i="15"/>
  <c r="BJ14" i="15"/>
  <c r="BJ18" i="15"/>
  <c r="BI14" i="15"/>
  <c r="BG14" i="15"/>
  <c r="BG18" i="15"/>
  <c r="BF14" i="15"/>
  <c r="BD14" i="15"/>
  <c r="BD18" i="15"/>
  <c r="BC14" i="15"/>
  <c r="BC17" i="15"/>
  <c r="BA14" i="15"/>
  <c r="BA18" i="15"/>
  <c r="AZ14" i="15"/>
  <c r="AX14" i="15"/>
  <c r="AX18" i="15"/>
  <c r="AW14" i="15"/>
  <c r="AU14" i="15"/>
  <c r="AU18" i="15"/>
  <c r="AT14" i="15"/>
  <c r="AR14" i="15"/>
  <c r="AR18" i="15"/>
  <c r="AQ14" i="15"/>
  <c r="AO14" i="15"/>
  <c r="AO18" i="15"/>
  <c r="AN14" i="15"/>
  <c r="AL14" i="15"/>
  <c r="AL18" i="15"/>
  <c r="AK14" i="15"/>
  <c r="AF14" i="15"/>
  <c r="AF18" i="15"/>
  <c r="AE14" i="15"/>
  <c r="AC14" i="15"/>
  <c r="AC18" i="15"/>
  <c r="AB14" i="15"/>
  <c r="Z14" i="15"/>
  <c r="Z18" i="15"/>
  <c r="Y14" i="15"/>
  <c r="W14" i="15"/>
  <c r="W18" i="15"/>
  <c r="V14" i="15"/>
  <c r="Q14" i="15"/>
  <c r="Q18" i="15"/>
  <c r="P14" i="15"/>
  <c r="N14" i="15"/>
  <c r="N18" i="15"/>
  <c r="M14" i="15"/>
  <c r="K14" i="15"/>
  <c r="K18" i="15"/>
  <c r="J14" i="15"/>
  <c r="H15" i="15"/>
  <c r="H16" i="15"/>
  <c r="H14" i="15"/>
  <c r="G15" i="15"/>
  <c r="G16" i="15"/>
  <c r="G14" i="15"/>
  <c r="DK17" i="15"/>
  <c r="DL18" i="15"/>
  <c r="DH17" i="15"/>
  <c r="DB17" i="15"/>
  <c r="CY17" i="15"/>
  <c r="CZ18" i="15"/>
  <c r="CV17" i="15"/>
  <c r="CP17" i="15"/>
  <c r="CM17" i="15"/>
  <c r="CJ17" i="15"/>
  <c r="CD17" i="15"/>
  <c r="CA17" i="15"/>
  <c r="BX17" i="15"/>
  <c r="BR17" i="15"/>
  <c r="BO17" i="15"/>
  <c r="BL17" i="15"/>
  <c r="BI17" i="15"/>
  <c r="BF17" i="15"/>
  <c r="AZ17" i="15"/>
  <c r="AW17" i="15"/>
  <c r="AT17" i="15"/>
  <c r="AQ17" i="15"/>
  <c r="AN17" i="15"/>
  <c r="AK17" i="15"/>
  <c r="AE17" i="15"/>
  <c r="AB17" i="15"/>
  <c r="Y17" i="15"/>
  <c r="V17" i="15"/>
  <c r="P17" i="15"/>
  <c r="M17" i="15"/>
  <c r="J17" i="15"/>
  <c r="H18" i="15"/>
  <c r="G17" i="15"/>
  <c r="F10" i="15"/>
  <c r="I10" i="15"/>
  <c r="L10" i="15"/>
  <c r="O10" i="15"/>
  <c r="U10" i="15"/>
  <c r="X10" i="15"/>
  <c r="AA10" i="15"/>
  <c r="AD10" i="15"/>
  <c r="AJ10" i="15"/>
  <c r="AM10" i="15"/>
  <c r="AP10" i="15"/>
  <c r="AS10" i="15"/>
  <c r="AV10" i="15"/>
  <c r="AY10" i="15"/>
  <c r="BB10" i="15"/>
  <c r="BE10" i="15"/>
  <c r="BH10" i="15"/>
  <c r="BK10" i="15"/>
  <c r="BN10" i="15"/>
  <c r="BQ10" i="15"/>
  <c r="BW10" i="15"/>
  <c r="BZ10" i="15"/>
  <c r="CC10" i="15"/>
  <c r="CI10" i="15"/>
  <c r="CL10" i="15"/>
  <c r="CO10" i="15"/>
  <c r="CR10" i="15"/>
  <c r="CU10" i="15"/>
  <c r="CX10" i="15"/>
  <c r="DA10" i="15"/>
  <c r="DD10" i="15"/>
  <c r="DG10" i="15"/>
  <c r="DJ10" i="15"/>
  <c r="O53" i="10"/>
  <c r="C22" i="10"/>
  <c r="C23" i="10"/>
  <c r="C24" i="10"/>
  <c r="C25" i="10"/>
  <c r="C26" i="10"/>
  <c r="D26" i="10"/>
  <c r="C27" i="10"/>
  <c r="C28" i="10"/>
  <c r="C29" i="10"/>
  <c r="C30" i="10"/>
  <c r="O30" i="10"/>
  <c r="C31" i="10"/>
  <c r="C32" i="10"/>
  <c r="C33" i="10"/>
  <c r="C34" i="10"/>
  <c r="O34" i="10"/>
  <c r="C35" i="10"/>
  <c r="C36" i="10"/>
  <c r="C37" i="10"/>
  <c r="C38" i="10"/>
  <c r="C39" i="10"/>
  <c r="C40" i="10"/>
  <c r="C41" i="10"/>
  <c r="C42" i="10"/>
  <c r="C43" i="10"/>
  <c r="C44" i="10"/>
  <c r="C45" i="10"/>
  <c r="C46" i="10"/>
  <c r="C47" i="10"/>
  <c r="C48" i="10"/>
  <c r="C49" i="10"/>
  <c r="C50" i="10"/>
  <c r="C51" i="10"/>
  <c r="C52" i="10"/>
  <c r="C48" i="107"/>
  <c r="D48" i="107"/>
  <c r="C49" i="107"/>
  <c r="D49" i="107"/>
  <c r="C50" i="107"/>
  <c r="D50" i="107"/>
  <c r="C51" i="107"/>
  <c r="D51" i="107"/>
  <c r="C52" i="107"/>
  <c r="D52" i="107"/>
  <c r="C53" i="107"/>
  <c r="D53" i="107"/>
  <c r="C54" i="107"/>
  <c r="D54" i="107"/>
  <c r="C55" i="107"/>
  <c r="D55" i="107"/>
  <c r="C56" i="107"/>
  <c r="D56" i="107"/>
  <c r="C57" i="107"/>
  <c r="D57" i="107"/>
  <c r="C58" i="107"/>
  <c r="D58" i="107"/>
  <c r="C59" i="107"/>
  <c r="D59" i="107"/>
  <c r="C60" i="107"/>
  <c r="D60" i="107"/>
  <c r="C61" i="107"/>
  <c r="D61" i="107"/>
  <c r="C62" i="107"/>
  <c r="D62" i="107"/>
  <c r="C63" i="107"/>
  <c r="D63" i="107"/>
  <c r="C64" i="107"/>
  <c r="D64" i="107"/>
  <c r="C65" i="107"/>
  <c r="D65" i="107"/>
  <c r="C66" i="107"/>
  <c r="D66" i="107"/>
  <c r="C67" i="107"/>
  <c r="D67" i="107"/>
  <c r="C68" i="107"/>
  <c r="D68" i="107"/>
  <c r="C69" i="107"/>
  <c r="D69" i="107"/>
  <c r="C70" i="107"/>
  <c r="D70" i="107"/>
  <c r="C71" i="107"/>
  <c r="D71" i="107"/>
  <c r="C72" i="107"/>
  <c r="D72" i="107"/>
  <c r="C73" i="107"/>
  <c r="D73" i="107"/>
  <c r="C74" i="107"/>
  <c r="D74" i="107"/>
  <c r="C75" i="107"/>
  <c r="D75" i="107"/>
  <c r="C76" i="107"/>
  <c r="D76" i="107"/>
  <c r="C77" i="107"/>
  <c r="D77" i="107"/>
  <c r="C78" i="107"/>
  <c r="D78" i="107"/>
  <c r="C79" i="107"/>
  <c r="D79" i="107"/>
  <c r="C80" i="107"/>
  <c r="D80" i="107"/>
  <c r="C81" i="107"/>
  <c r="D81" i="107"/>
  <c r="C82" i="107"/>
  <c r="D82" i="107"/>
  <c r="C47" i="107"/>
  <c r="D47" i="107"/>
  <c r="DJ12" i="15"/>
  <c r="DJ11" i="15"/>
  <c r="DJ19" i="15"/>
  <c r="DG12" i="15"/>
  <c r="DG11" i="15"/>
  <c r="DG19" i="15"/>
  <c r="DD12" i="15"/>
  <c r="DD11" i="15"/>
  <c r="DD19" i="15"/>
  <c r="DA12" i="15"/>
  <c r="DA11" i="15"/>
  <c r="DA19" i="15"/>
  <c r="CX12" i="15"/>
  <c r="CX11" i="15"/>
  <c r="CX19" i="15"/>
  <c r="CU12" i="15"/>
  <c r="CU11" i="15"/>
  <c r="CU19" i="15"/>
  <c r="CR12" i="15"/>
  <c r="CR11" i="15"/>
  <c r="CR19" i="15"/>
  <c r="CO12" i="15"/>
  <c r="CO11" i="15"/>
  <c r="CO19" i="15"/>
  <c r="CL12" i="15"/>
  <c r="CL11" i="15"/>
  <c r="CL19" i="15"/>
  <c r="CI12" i="15"/>
  <c r="CI11" i="15"/>
  <c r="CI19" i="15"/>
  <c r="CF12" i="15"/>
  <c r="CF11" i="15"/>
  <c r="CF19" i="15"/>
  <c r="CC12" i="15"/>
  <c r="CC11" i="15"/>
  <c r="CC19" i="15"/>
  <c r="BZ12" i="15"/>
  <c r="BZ11" i="15"/>
  <c r="BZ19" i="15"/>
  <c r="BW12" i="15"/>
  <c r="BW11" i="15"/>
  <c r="BW19" i="15"/>
  <c r="BT12" i="15"/>
  <c r="BT11" i="15"/>
  <c r="BT19" i="15"/>
  <c r="BQ12" i="15"/>
  <c r="BQ11" i="15"/>
  <c r="BQ19" i="15"/>
  <c r="BN12" i="15"/>
  <c r="BN11" i="15"/>
  <c r="BN19" i="15"/>
  <c r="BK12" i="15"/>
  <c r="BK11" i="15"/>
  <c r="BK19" i="15"/>
  <c r="BH12" i="15"/>
  <c r="BH11" i="15"/>
  <c r="BH19" i="15"/>
  <c r="BE12" i="15"/>
  <c r="BE11" i="15"/>
  <c r="BE19" i="15"/>
  <c r="BB12" i="15"/>
  <c r="BB11" i="15"/>
  <c r="BB19" i="15"/>
  <c r="AY12" i="15"/>
  <c r="AY11" i="15"/>
  <c r="AY19" i="15"/>
  <c r="AV12" i="15"/>
  <c r="AV11" i="15"/>
  <c r="AV19" i="15"/>
  <c r="AS12" i="15"/>
  <c r="AS11" i="15"/>
  <c r="AS19" i="15"/>
  <c r="AP12" i="15"/>
  <c r="AP11" i="15"/>
  <c r="AP19" i="15"/>
  <c r="AM12" i="15"/>
  <c r="AM11" i="15"/>
  <c r="AM19" i="15"/>
  <c r="F12" i="15"/>
  <c r="F11" i="15"/>
  <c r="F19" i="15"/>
  <c r="AJ11" i="15"/>
  <c r="AJ19" i="15"/>
  <c r="AJ12" i="15"/>
  <c r="AG12" i="15"/>
  <c r="AG11" i="15"/>
  <c r="AG19" i="15"/>
  <c r="AD12" i="15"/>
  <c r="AD11" i="15"/>
  <c r="AD19" i="15"/>
  <c r="AA12" i="15"/>
  <c r="AA11" i="15"/>
  <c r="AA19" i="15"/>
  <c r="X12" i="15"/>
  <c r="X11" i="15"/>
  <c r="X19" i="15"/>
  <c r="U12" i="15"/>
  <c r="U11" i="15"/>
  <c r="U19" i="15"/>
  <c r="R12" i="15"/>
  <c r="R11" i="15"/>
  <c r="R19" i="15"/>
  <c r="O12" i="15"/>
  <c r="O11" i="15"/>
  <c r="O19" i="15"/>
  <c r="L12" i="15"/>
  <c r="L11" i="15"/>
  <c r="L19" i="15"/>
  <c r="I12" i="15"/>
  <c r="I11" i="15"/>
  <c r="I19" i="15"/>
  <c r="C17" i="10"/>
  <c r="C18" i="10"/>
  <c r="C19" i="10"/>
  <c r="C20" i="10"/>
  <c r="C21" i="10"/>
  <c r="I16" i="13"/>
  <c r="I17" i="13"/>
  <c r="I18" i="13"/>
  <c r="I19" i="13"/>
  <c r="I20" i="13"/>
  <c r="I21" i="13"/>
  <c r="I22" i="13"/>
  <c r="I23" i="13"/>
  <c r="I14" i="10"/>
  <c r="M14" i="10"/>
  <c r="B8" i="10"/>
  <c r="R8" i="10"/>
  <c r="E40" i="107"/>
  <c r="C46" i="107"/>
  <c r="D46" i="107"/>
  <c r="AI44" i="107"/>
  <c r="AH44" i="107"/>
  <c r="AG44" i="107"/>
  <c r="AF44" i="107"/>
  <c r="B7" i="107"/>
  <c r="B5" i="107"/>
  <c r="B3" i="107"/>
  <c r="B1" i="107"/>
  <c r="C16" i="10"/>
  <c r="E54" i="13"/>
  <c r="E55" i="13"/>
  <c r="E56" i="13"/>
  <c r="B5" i="10"/>
  <c r="R5" i="10"/>
  <c r="B5" i="15"/>
  <c r="B7" i="10"/>
  <c r="R7" i="10"/>
  <c r="B3" i="10"/>
  <c r="R3" i="10"/>
  <c r="B1" i="10"/>
  <c r="R1" i="10"/>
  <c r="B3" i="15"/>
  <c r="B7" i="15"/>
  <c r="B1" i="15"/>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D30" i="10"/>
  <c r="O44" i="10"/>
  <c r="K44" i="10"/>
  <c r="J44" i="10"/>
  <c r="K32" i="10"/>
  <c r="J32" i="10"/>
  <c r="J16" i="10"/>
  <c r="K16" i="10"/>
  <c r="K20" i="10"/>
  <c r="J20" i="10"/>
  <c r="J51" i="10"/>
  <c r="K51" i="10"/>
  <c r="D47" i="10"/>
  <c r="J47" i="10"/>
  <c r="K47" i="10"/>
  <c r="O43" i="10"/>
  <c r="J43" i="10"/>
  <c r="K43" i="10"/>
  <c r="O39" i="10"/>
  <c r="J39" i="10"/>
  <c r="K39" i="10"/>
  <c r="O35" i="10"/>
  <c r="J35" i="10"/>
  <c r="K35" i="10"/>
  <c r="D31" i="10"/>
  <c r="J31" i="10"/>
  <c r="K31" i="10"/>
  <c r="J27" i="10"/>
  <c r="K27" i="10"/>
  <c r="D23" i="10"/>
  <c r="K23" i="10"/>
  <c r="J23" i="10"/>
  <c r="K17" i="10"/>
  <c r="J17" i="10"/>
  <c r="K52" i="10"/>
  <c r="J52" i="10"/>
  <c r="K40" i="10"/>
  <c r="J40" i="10"/>
  <c r="O28" i="10"/>
  <c r="K28" i="10"/>
  <c r="J28" i="10"/>
  <c r="K19" i="10"/>
  <c r="J19" i="10"/>
  <c r="K50" i="10"/>
  <c r="J50" i="10"/>
  <c r="J46" i="10"/>
  <c r="K46" i="10"/>
  <c r="O42" i="10"/>
  <c r="K42" i="10"/>
  <c r="J42" i="10"/>
  <c r="O38" i="10"/>
  <c r="J38" i="10"/>
  <c r="K38" i="10"/>
  <c r="K34" i="10"/>
  <c r="J34" i="10"/>
  <c r="J30" i="10"/>
  <c r="K30" i="10"/>
  <c r="O26" i="10"/>
  <c r="K26" i="10"/>
  <c r="J26" i="10"/>
  <c r="D22" i="10"/>
  <c r="K22" i="10"/>
  <c r="J22" i="10"/>
  <c r="O21" i="10"/>
  <c r="K21" i="10"/>
  <c r="J21" i="10"/>
  <c r="O48" i="10"/>
  <c r="K48" i="10"/>
  <c r="J48" i="10"/>
  <c r="O36" i="10"/>
  <c r="K36" i="10"/>
  <c r="J36" i="10"/>
  <c r="D24" i="10"/>
  <c r="K24" i="10"/>
  <c r="J24" i="10"/>
  <c r="O18" i="10"/>
  <c r="K18" i="10"/>
  <c r="J18" i="10"/>
  <c r="D34" i="10"/>
  <c r="D49" i="10"/>
  <c r="K49" i="10"/>
  <c r="J49" i="10"/>
  <c r="K45" i="10"/>
  <c r="J45" i="10"/>
  <c r="K41" i="10"/>
  <c r="J41" i="10"/>
  <c r="O37" i="10"/>
  <c r="K37" i="10"/>
  <c r="J37" i="10"/>
  <c r="D33" i="10"/>
  <c r="K33" i="10"/>
  <c r="J33" i="10"/>
  <c r="O29" i="10"/>
  <c r="K29" i="10"/>
  <c r="J29" i="10"/>
  <c r="K25" i="10"/>
  <c r="J25" i="10"/>
  <c r="D38" i="10"/>
  <c r="D42" i="10"/>
  <c r="O16" i="10"/>
  <c r="O32" i="10"/>
  <c r="D51" i="10"/>
  <c r="D36" i="10"/>
  <c r="O52" i="10"/>
  <c r="D40" i="10"/>
  <c r="D44" i="10"/>
  <c r="D32" i="10"/>
  <c r="D52" i="10"/>
  <c r="D28" i="10"/>
  <c r="O40" i="10"/>
  <c r="E57" i="13"/>
  <c r="D21" i="10"/>
  <c r="O47" i="10"/>
  <c r="O51" i="10"/>
  <c r="O23" i="10"/>
  <c r="D16" i="10"/>
  <c r="D29" i="10"/>
  <c r="O45" i="10"/>
  <c r="D45" i="10"/>
  <c r="O49" i="10"/>
  <c r="D27" i="10"/>
  <c r="O31" i="10"/>
  <c r="D19" i="10"/>
  <c r="O22" i="10"/>
  <c r="O19" i="10"/>
  <c r="O27" i="10"/>
  <c r="D39" i="10"/>
  <c r="D35" i="10"/>
  <c r="O20" i="10"/>
  <c r="D43" i="10"/>
  <c r="D48" i="10"/>
  <c r="O24" i="10"/>
  <c r="D20" i="10"/>
  <c r="O33" i="10"/>
  <c r="O50" i="10"/>
  <c r="D50" i="10"/>
  <c r="D17" i="10"/>
  <c r="O17" i="10"/>
  <c r="O41" i="10"/>
  <c r="D37" i="10"/>
  <c r="D25" i="10"/>
  <c r="O25" i="10"/>
  <c r="D46" i="10"/>
  <c r="D18" i="10"/>
  <c r="O46" i="10"/>
  <c r="D41" i="10"/>
  <c r="AB18" i="15"/>
  <c r="BF18" i="15"/>
  <c r="CD18" i="15"/>
  <c r="Y18" i="15"/>
  <c r="CY18" i="15"/>
  <c r="CP18" i="15"/>
  <c r="AQ18" i="15"/>
  <c r="J18" i="15"/>
  <c r="E47" i="107"/>
  <c r="BR18" i="15"/>
  <c r="BI18" i="15"/>
  <c r="BC18" i="15"/>
  <c r="BL18" i="15"/>
  <c r="BX18" i="15"/>
  <c r="DK18" i="15"/>
  <c r="AZ18" i="15"/>
  <c r="P18" i="15"/>
  <c r="DE18" i="15"/>
  <c r="AT18" i="15"/>
  <c r="DH18" i="15"/>
  <c r="AK18" i="15"/>
  <c r="AE18" i="15"/>
  <c r="CS18" i="15"/>
  <c r="V18" i="15"/>
  <c r="CJ18" i="15"/>
  <c r="M18" i="15"/>
  <c r="CV18" i="15"/>
  <c r="CA18" i="15"/>
  <c r="DB18" i="15"/>
  <c r="AW18" i="15"/>
  <c r="AN18" i="15"/>
  <c r="CM18" i="15"/>
  <c r="BO18" i="15"/>
  <c r="G18" i="15"/>
  <c r="I24" i="107"/>
  <c r="E49" i="107"/>
  <c r="E17" i="10"/>
  <c r="E51" i="107"/>
  <c r="H47" i="107"/>
  <c r="F47" i="107"/>
  <c r="E46" i="107"/>
  <c r="G50" i="107"/>
  <c r="J47" i="107"/>
  <c r="E48" i="107"/>
  <c r="E52" i="107"/>
  <c r="E18" i="10"/>
  <c r="E22" i="10"/>
  <c r="H46" i="107"/>
  <c r="E21" i="10"/>
  <c r="E16" i="10"/>
  <c r="E20" i="10"/>
  <c r="E19" i="10"/>
  <c r="F49" i="107"/>
  <c r="F19" i="10"/>
  <c r="H49" i="107"/>
  <c r="J49" i="107"/>
  <c r="P48" i="107"/>
  <c r="P47" i="107"/>
  <c r="P50" i="107"/>
  <c r="P51" i="107"/>
  <c r="P49" i="107"/>
  <c r="P46" i="107"/>
  <c r="J51" i="107"/>
  <c r="H52" i="107"/>
  <c r="F52" i="107"/>
  <c r="F22" i="10"/>
  <c r="H50" i="107"/>
  <c r="G20" i="10"/>
  <c r="F50" i="107"/>
  <c r="H51" i="107"/>
  <c r="F51" i="107"/>
  <c r="H48" i="107"/>
  <c r="F48" i="107"/>
  <c r="J46" i="107"/>
  <c r="F46" i="107"/>
  <c r="J50" i="107"/>
  <c r="J52" i="107"/>
  <c r="J48" i="107"/>
  <c r="F18" i="10"/>
  <c r="F20" i="10"/>
  <c r="F21" i="10"/>
  <c r="F17" i="10"/>
  <c r="F16" i="10"/>
  <c r="E53" i="107"/>
  <c r="E23" i="10"/>
  <c r="P52" i="107"/>
  <c r="F53" i="107"/>
  <c r="F23" i="10"/>
  <c r="H53" i="107"/>
  <c r="E54" i="107"/>
  <c r="J53" i="107"/>
  <c r="E24" i="10"/>
  <c r="P53" i="107"/>
  <c r="H54" i="107"/>
  <c r="F54" i="107"/>
  <c r="J54" i="107"/>
  <c r="G55" i="107"/>
  <c r="E25" i="10"/>
  <c r="F24" i="10"/>
  <c r="P54" i="107"/>
  <c r="H55" i="107"/>
  <c r="G25" i="10"/>
  <c r="F55" i="107"/>
  <c r="E57" i="107"/>
  <c r="J55" i="107"/>
  <c r="E56" i="107"/>
  <c r="E27" i="10"/>
  <c r="E26" i="10"/>
  <c r="F25" i="10"/>
  <c r="P55" i="107"/>
  <c r="P56" i="107"/>
  <c r="H56" i="107"/>
  <c r="F56" i="107"/>
  <c r="H57" i="107"/>
  <c r="F57" i="107"/>
  <c r="F27" i="10"/>
  <c r="J56" i="107"/>
  <c r="J57" i="107"/>
  <c r="F26" i="10"/>
  <c r="E58" i="107"/>
  <c r="E28" i="10"/>
  <c r="P57" i="107"/>
  <c r="H58" i="107"/>
  <c r="F58" i="107"/>
  <c r="F28" i="10"/>
  <c r="J58" i="107"/>
  <c r="E59" i="107"/>
  <c r="E29" i="10"/>
  <c r="P58" i="107"/>
  <c r="H59" i="107"/>
  <c r="F59" i="107"/>
  <c r="J59" i="107"/>
  <c r="E60" i="107"/>
  <c r="E30" i="10"/>
  <c r="F29" i="10"/>
  <c r="P59" i="107"/>
  <c r="H60" i="107"/>
  <c r="F60" i="107"/>
  <c r="E61" i="107"/>
  <c r="J60" i="107"/>
  <c r="E62" i="107"/>
  <c r="I62" i="107"/>
  <c r="E31" i="10"/>
  <c r="E32" i="10"/>
  <c r="F30" i="10"/>
  <c r="P61" i="107"/>
  <c r="P60" i="107"/>
  <c r="H62" i="107"/>
  <c r="F62" i="107"/>
  <c r="H61" i="107"/>
  <c r="F61" i="107"/>
  <c r="F31" i="10"/>
  <c r="J62" i="107"/>
  <c r="J61" i="107"/>
  <c r="F32" i="10"/>
  <c r="E63" i="107"/>
  <c r="E33" i="10"/>
  <c r="P62" i="107"/>
  <c r="H63" i="107"/>
  <c r="F63" i="107"/>
  <c r="F33" i="10"/>
  <c r="E64" i="107"/>
  <c r="E65" i="107"/>
  <c r="E34" i="10"/>
  <c r="E35" i="10"/>
  <c r="P64" i="107"/>
  <c r="P63" i="107"/>
  <c r="F65" i="107"/>
  <c r="H65" i="107"/>
  <c r="H64" i="107"/>
  <c r="F64" i="107"/>
  <c r="F34" i="10"/>
  <c r="F35" i="10"/>
  <c r="E66" i="107"/>
  <c r="E36" i="10"/>
  <c r="P65" i="107"/>
  <c r="H66" i="107"/>
  <c r="F66" i="107"/>
  <c r="F36" i="10"/>
  <c r="E67" i="107"/>
  <c r="E37" i="10"/>
  <c r="P66" i="107"/>
  <c r="H67" i="107"/>
  <c r="F67" i="107"/>
  <c r="G68" i="107"/>
  <c r="E38" i="10"/>
  <c r="F37" i="10"/>
  <c r="P67" i="107"/>
  <c r="H68" i="107"/>
  <c r="G38" i="10"/>
  <c r="F68" i="107"/>
  <c r="E69" i="107"/>
  <c r="E39" i="10"/>
  <c r="F38" i="10"/>
  <c r="P68" i="107"/>
  <c r="F69" i="107"/>
  <c r="F39" i="10"/>
  <c r="H69" i="107"/>
  <c r="E70" i="107"/>
  <c r="E40" i="10"/>
  <c r="P69" i="107"/>
  <c r="H70" i="107"/>
  <c r="F70" i="107"/>
  <c r="F40" i="10"/>
  <c r="E71" i="107"/>
  <c r="E41" i="10"/>
  <c r="P70" i="107"/>
  <c r="H71" i="107"/>
  <c r="F71" i="107"/>
  <c r="F41" i="10"/>
  <c r="E42" i="10"/>
  <c r="G72" i="107"/>
  <c r="P71" i="107"/>
  <c r="H72" i="107"/>
  <c r="F72" i="107"/>
  <c r="E73" i="107"/>
  <c r="E43" i="10"/>
  <c r="G42" i="10"/>
  <c r="F42" i="10"/>
  <c r="P72" i="107"/>
  <c r="H73" i="107"/>
  <c r="F73" i="107"/>
  <c r="F43" i="10"/>
  <c r="E74" i="107"/>
  <c r="E44" i="10"/>
  <c r="P73" i="107"/>
  <c r="H74" i="107"/>
  <c r="F74" i="107"/>
  <c r="E76" i="107"/>
  <c r="F44" i="10"/>
  <c r="E75" i="107"/>
  <c r="E46" i="10"/>
  <c r="E45" i="10"/>
  <c r="P75" i="107"/>
  <c r="P74" i="107"/>
  <c r="H76" i="107"/>
  <c r="F76" i="107"/>
  <c r="H75" i="107"/>
  <c r="F75" i="107"/>
  <c r="F45" i="10"/>
  <c r="F46" i="10"/>
  <c r="E77" i="107"/>
  <c r="E47" i="10"/>
  <c r="P76" i="107"/>
  <c r="H77" i="107"/>
  <c r="F77" i="107"/>
  <c r="E78" i="107"/>
  <c r="E48" i="10"/>
  <c r="F47" i="10"/>
  <c r="P77" i="107"/>
  <c r="H78" i="107"/>
  <c r="F78" i="107"/>
  <c r="E79" i="107"/>
  <c r="E49" i="10"/>
  <c r="F48" i="10"/>
  <c r="P78" i="107"/>
  <c r="H79" i="107"/>
  <c r="F79" i="107"/>
  <c r="F49" i="10"/>
  <c r="E80" i="107"/>
  <c r="E50" i="10"/>
  <c r="P79" i="107"/>
  <c r="H80" i="107"/>
  <c r="F80" i="107"/>
  <c r="E81" i="107"/>
  <c r="E51" i="10"/>
  <c r="F50" i="10"/>
  <c r="P80" i="107"/>
  <c r="H81" i="107"/>
  <c r="F81" i="107"/>
  <c r="E82" i="107"/>
  <c r="E52" i="10"/>
  <c r="F51" i="10"/>
  <c r="P81" i="107"/>
  <c r="H82" i="107"/>
  <c r="F82" i="107"/>
  <c r="F52" i="10"/>
  <c r="P82" i="107"/>
  <c r="I18" i="107"/>
  <c r="I35" i="107"/>
  <c r="O46" i="107"/>
  <c r="O63" i="107"/>
  <c r="O51" i="107"/>
  <c r="O67" i="107"/>
  <c r="O52" i="107"/>
  <c r="O47" i="107"/>
  <c r="O61" i="107"/>
  <c r="O69" i="107"/>
  <c r="O79" i="107"/>
  <c r="O48" i="107"/>
  <c r="O62" i="107"/>
  <c r="O59" i="107"/>
  <c r="O50" i="107"/>
  <c r="O74" i="107"/>
  <c r="O78" i="107"/>
  <c r="O70" i="107"/>
  <c r="O55" i="107"/>
  <c r="O54" i="107"/>
  <c r="O64" i="107"/>
  <c r="O72" i="107"/>
  <c r="O75" i="107"/>
  <c r="O65" i="107"/>
  <c r="O68" i="107"/>
  <c r="O76" i="107"/>
  <c r="O80" i="107"/>
  <c r="O60" i="107"/>
  <c r="O57" i="107"/>
  <c r="O81" i="107"/>
  <c r="O49" i="107"/>
  <c r="O77" i="107"/>
  <c r="O71" i="107"/>
  <c r="O73" i="107"/>
  <c r="O53" i="107"/>
  <c r="O66" i="107"/>
  <c r="O56" i="107"/>
  <c r="O82" i="107"/>
  <c r="O58" i="107"/>
  <c r="I36" i="107"/>
  <c r="I37" i="107"/>
  <c r="G47" i="107"/>
  <c r="G17" i="10"/>
  <c r="G52" i="107"/>
  <c r="G22" i="10"/>
  <c r="G49" i="107"/>
  <c r="G19" i="10"/>
  <c r="G46" i="107"/>
  <c r="G16" i="10"/>
  <c r="G51" i="107"/>
  <c r="G21" i="10"/>
  <c r="G48" i="107"/>
  <c r="G18" i="10"/>
  <c r="G53" i="107"/>
  <c r="G23" i="10"/>
  <c r="G54" i="107"/>
  <c r="G24" i="10"/>
  <c r="G57" i="107"/>
  <c r="G27" i="10"/>
  <c r="G56" i="107"/>
  <c r="G26" i="10"/>
  <c r="G58" i="107"/>
  <c r="G28" i="10"/>
  <c r="G59" i="107"/>
  <c r="G29" i="10"/>
  <c r="G60" i="107"/>
  <c r="G30" i="10"/>
  <c r="G61" i="107"/>
  <c r="G31" i="10"/>
  <c r="G62" i="107"/>
  <c r="G32" i="10"/>
  <c r="G63" i="107"/>
  <c r="G33" i="10"/>
  <c r="G64" i="107"/>
  <c r="G34" i="10"/>
  <c r="G65" i="107"/>
  <c r="G35" i="10"/>
  <c r="G66" i="107"/>
  <c r="G36" i="10"/>
  <c r="G67" i="107"/>
  <c r="G37" i="10"/>
  <c r="G69" i="107"/>
  <c r="G39" i="10"/>
  <c r="G70" i="107"/>
  <c r="G40" i="10"/>
  <c r="G71" i="107"/>
  <c r="G41" i="10"/>
  <c r="G73" i="107"/>
  <c r="G43" i="10"/>
  <c r="G74" i="107"/>
  <c r="G44" i="10"/>
  <c r="G76" i="107"/>
  <c r="G46" i="10"/>
  <c r="G75" i="107"/>
  <c r="G45" i="10"/>
  <c r="G77" i="107"/>
  <c r="G47" i="10"/>
  <c r="G78" i="107"/>
  <c r="G48" i="10"/>
  <c r="G79" i="107"/>
  <c r="G49" i="10"/>
  <c r="G80" i="107"/>
  <c r="G50" i="10"/>
  <c r="G81" i="107"/>
  <c r="G51" i="10"/>
  <c r="G82" i="107"/>
  <c r="G52" i="10"/>
  <c r="I21" i="107"/>
  <c r="I28" i="107"/>
  <c r="I32" i="107"/>
  <c r="I34" i="107"/>
  <c r="I23" i="107"/>
  <c r="I19" i="107"/>
  <c r="I20" i="107"/>
  <c r="I22" i="107"/>
  <c r="I33" i="107"/>
  <c r="I74" i="107"/>
  <c r="I70" i="107"/>
  <c r="I60" i="107"/>
  <c r="I78" i="107"/>
  <c r="I82" i="107"/>
  <c r="I49" i="107"/>
  <c r="I76" i="107"/>
  <c r="I63" i="107"/>
  <c r="I51" i="107"/>
  <c r="I57" i="107"/>
  <c r="I71" i="107"/>
  <c r="I59" i="107"/>
  <c r="I65" i="107"/>
  <c r="I69" i="107"/>
  <c r="I79" i="107"/>
  <c r="I67" i="107"/>
  <c r="I73" i="107"/>
  <c r="I47" i="107"/>
  <c r="I48" i="107"/>
  <c r="I75" i="107"/>
  <c r="I81" i="107"/>
  <c r="I61" i="107"/>
  <c r="I56" i="107"/>
  <c r="I58" i="107"/>
  <c r="I53" i="107"/>
  <c r="I77" i="107"/>
  <c r="I64" i="107"/>
  <c r="I66" i="107"/>
  <c r="I46" i="107"/>
  <c r="I52" i="107"/>
  <c r="I54" i="107"/>
  <c r="I80" i="107"/>
  <c r="M47" i="107"/>
  <c r="I30" i="107"/>
  <c r="L55" i="107"/>
  <c r="N49" i="107"/>
  <c r="N59" i="107"/>
  <c r="N61" i="107"/>
  <c r="N56" i="107"/>
  <c r="N60" i="107"/>
  <c r="N50" i="107"/>
  <c r="I40" i="107"/>
  <c r="N46" i="107"/>
  <c r="N47" i="107"/>
  <c r="N58" i="107"/>
  <c r="N55" i="107"/>
  <c r="N54" i="107"/>
  <c r="N57" i="107"/>
  <c r="N52" i="107"/>
  <c r="N53" i="107"/>
  <c r="N48" i="107"/>
  <c r="N62" i="107"/>
  <c r="N51" i="107"/>
  <c r="M50" i="107"/>
  <c r="M55" i="107"/>
  <c r="K59" i="107"/>
  <c r="K58" i="107"/>
  <c r="K50" i="107"/>
  <c r="K49" i="107"/>
  <c r="K62" i="107"/>
  <c r="K57" i="107"/>
  <c r="K48" i="107"/>
  <c r="K47" i="107"/>
  <c r="K52" i="107"/>
  <c r="K51" i="107"/>
  <c r="K46" i="107"/>
  <c r="K60" i="107"/>
  <c r="K55" i="107"/>
  <c r="K54" i="107"/>
  <c r="K61" i="107"/>
  <c r="K56" i="107"/>
  <c r="K53" i="107"/>
  <c r="M62" i="107"/>
  <c r="M53" i="107"/>
  <c r="M60" i="107"/>
  <c r="M59" i="107"/>
  <c r="M61" i="107"/>
  <c r="L61" i="107"/>
  <c r="L47" i="107"/>
  <c r="M58" i="107"/>
  <c r="M54" i="107"/>
  <c r="L53" i="107"/>
  <c r="M52" i="107"/>
  <c r="M56" i="107"/>
  <c r="M57" i="107"/>
  <c r="M51" i="107"/>
  <c r="M46" i="107"/>
  <c r="M49" i="107"/>
  <c r="L48" i="107"/>
  <c r="M48" i="107"/>
  <c r="L57" i="107"/>
  <c r="L50" i="107"/>
  <c r="L46" i="107"/>
  <c r="L51" i="107"/>
  <c r="L49" i="107"/>
  <c r="L58" i="107"/>
  <c r="L62" i="107"/>
  <c r="L60" i="107"/>
  <c r="L59" i="107"/>
  <c r="L56" i="107"/>
  <c r="L54" i="107"/>
  <c r="L52" i="107"/>
  <c r="H16" i="10"/>
  <c r="I87" i="107"/>
  <c r="I88" i="107"/>
  <c r="I25" i="10"/>
  <c r="M25" i="10"/>
  <c r="H25" i="10"/>
  <c r="I32" i="10"/>
  <c r="M32" i="10"/>
  <c r="H32" i="10"/>
  <c r="I49" i="10"/>
  <c r="M49" i="10"/>
  <c r="H49" i="10"/>
  <c r="I34" i="10"/>
  <c r="M34" i="10"/>
  <c r="H34" i="10"/>
  <c r="I22" i="10"/>
  <c r="M22" i="10"/>
  <c r="H22" i="10"/>
  <c r="I31" i="10"/>
  <c r="M31" i="10"/>
  <c r="H31" i="10"/>
  <c r="I20" i="10"/>
  <c r="M20" i="10"/>
  <c r="H20" i="10"/>
  <c r="I33" i="10"/>
  <c r="M33" i="10"/>
  <c r="H33" i="10"/>
  <c r="I40" i="10"/>
  <c r="M40" i="10"/>
  <c r="H40" i="10"/>
  <c r="I23" i="10"/>
  <c r="M23" i="10"/>
  <c r="H23" i="10"/>
  <c r="I51" i="10"/>
  <c r="M51" i="10"/>
  <c r="H51" i="10"/>
  <c r="I45" i="10"/>
  <c r="M45" i="10"/>
  <c r="H45" i="10"/>
  <c r="I50" i="10"/>
  <c r="M50" i="10"/>
  <c r="H50" i="10"/>
  <c r="I36" i="10"/>
  <c r="M36" i="10"/>
  <c r="H36" i="10"/>
  <c r="I29" i="10"/>
  <c r="M29" i="10"/>
  <c r="H29" i="10"/>
  <c r="I18" i="10"/>
  <c r="M18" i="10"/>
  <c r="H18" i="10"/>
  <c r="I21" i="10"/>
  <c r="M21" i="10"/>
  <c r="H21" i="10"/>
  <c r="I17" i="10"/>
  <c r="M17" i="10"/>
  <c r="H17" i="10"/>
  <c r="I30" i="10"/>
  <c r="M30" i="10"/>
  <c r="H30" i="10"/>
  <c r="I39" i="10"/>
  <c r="M39" i="10"/>
  <c r="H39" i="10"/>
  <c r="I43" i="10"/>
  <c r="M43" i="10"/>
  <c r="H43" i="10"/>
  <c r="I46" i="10"/>
  <c r="M46" i="10"/>
  <c r="H46" i="10"/>
  <c r="I35" i="10"/>
  <c r="M35" i="10"/>
  <c r="H35" i="10"/>
  <c r="I24" i="10"/>
  <c r="M24" i="10"/>
  <c r="H24" i="10"/>
  <c r="I38" i="10"/>
  <c r="M38" i="10"/>
  <c r="H38" i="10"/>
  <c r="I19" i="10"/>
  <c r="M19" i="10"/>
  <c r="H19" i="10"/>
  <c r="I28" i="10"/>
  <c r="M28" i="10"/>
  <c r="H28" i="10"/>
  <c r="I41" i="10"/>
  <c r="M41" i="10"/>
  <c r="H41" i="10"/>
  <c r="I42" i="10"/>
  <c r="M42" i="10"/>
  <c r="H42" i="10"/>
  <c r="I37" i="10"/>
  <c r="M37" i="10"/>
  <c r="H37" i="10"/>
  <c r="I47" i="10"/>
  <c r="M47" i="10"/>
  <c r="H47" i="10"/>
  <c r="I52" i="10"/>
  <c r="M52" i="10"/>
  <c r="H52" i="10"/>
  <c r="I44" i="10"/>
  <c r="M44" i="10"/>
  <c r="H44" i="10"/>
  <c r="I27" i="10"/>
  <c r="M27" i="10"/>
  <c r="H27" i="10"/>
  <c r="I26" i="10"/>
  <c r="M26" i="10"/>
  <c r="H26" i="10"/>
  <c r="I48" i="10"/>
  <c r="M48" i="10"/>
  <c r="H48" i="10"/>
  <c r="I86" i="107"/>
  <c r="I16" i="10"/>
  <c r="M16" i="10"/>
  <c r="I94" i="107"/>
  <c r="Q52" i="10"/>
  <c r="Q35" i="10"/>
  <c r="I89" i="107"/>
  <c r="I91" i="107"/>
  <c r="I90" i="107"/>
  <c r="Q48" i="10"/>
  <c r="Q38" i="10"/>
  <c r="Q28" i="10"/>
  <c r="Q30" i="10"/>
  <c r="Q51" i="10"/>
  <c r="Q45" i="10"/>
  <c r="Q36" i="10"/>
  <c r="Q49" i="10"/>
  <c r="Q26" i="10"/>
  <c r="Q16" i="10"/>
  <c r="Q32" i="10"/>
  <c r="Q46" i="10"/>
  <c r="Q19" i="10"/>
  <c r="Q23" i="10"/>
  <c r="Q43" i="10"/>
  <c r="Q41" i="10"/>
  <c r="Q42" i="10"/>
  <c r="Q18" i="10"/>
  <c r="Q25" i="10"/>
  <c r="Q24" i="10"/>
  <c r="Q47" i="10"/>
  <c r="Q37" i="10"/>
  <c r="Q31" i="10"/>
  <c r="Q20" i="10"/>
  <c r="Q33" i="10"/>
  <c r="Q50" i="10"/>
  <c r="Q22" i="10"/>
  <c r="Q21" i="10"/>
  <c r="Q39" i="10"/>
  <c r="Q17" i="10"/>
  <c r="Q40" i="10"/>
  <c r="Q44" i="10"/>
  <c r="Q29" i="10"/>
  <c r="Q27" i="10"/>
  <c r="Q34" i="10"/>
  <c r="S38" i="10"/>
  <c r="S33" i="10"/>
  <c r="S17" i="10"/>
  <c r="S32" i="10"/>
  <c r="S43" i="10"/>
  <c r="S51" i="10"/>
  <c r="S25" i="10"/>
  <c r="S28" i="10"/>
  <c r="S24" i="10"/>
  <c r="S46" i="10"/>
  <c r="S49" i="10"/>
  <c r="S23" i="10"/>
  <c r="S18" i="10"/>
  <c r="S34" i="10"/>
  <c r="S50" i="10"/>
  <c r="S21" i="10"/>
  <c r="S16" i="10"/>
  <c r="S20" i="10"/>
  <c r="S36" i="10"/>
  <c r="S44" i="10"/>
  <c r="S31" i="10"/>
  <c r="S42" i="10"/>
  <c r="S26" i="10"/>
  <c r="S45" i="10"/>
  <c r="S39" i="10"/>
  <c r="S30" i="10"/>
  <c r="S35" i="10"/>
  <c r="S52" i="10"/>
  <c r="S29" i="10"/>
  <c r="S22" i="10"/>
  <c r="S40" i="10"/>
  <c r="S19" i="10"/>
  <c r="S48" i="10"/>
  <c r="S47" i="10"/>
  <c r="S37" i="10"/>
  <c r="S41" i="10"/>
  <c r="S27" i="10"/>
  <c r="U35" i="10"/>
  <c r="T35" i="10"/>
  <c r="U26" i="10"/>
  <c r="T26" i="10"/>
  <c r="T50" i="10"/>
  <c r="U50" i="10"/>
  <c r="U23" i="10"/>
  <c r="T23" i="10"/>
  <c r="U32" i="10"/>
  <c r="T32" i="10"/>
  <c r="U27" i="10"/>
  <c r="T27" i="10"/>
  <c r="T48" i="10"/>
  <c r="U48" i="10"/>
  <c r="U29" i="10"/>
  <c r="T29" i="10"/>
  <c r="U52" i="10"/>
  <c r="T52" i="10"/>
  <c r="U30" i="10"/>
  <c r="T30" i="10"/>
  <c r="U45" i="10"/>
  <c r="T45" i="10"/>
  <c r="T31" i="10"/>
  <c r="U31" i="10"/>
  <c r="U36" i="10"/>
  <c r="T36" i="10"/>
  <c r="U49" i="10"/>
  <c r="T49" i="10"/>
  <c r="T25" i="10"/>
  <c r="U25" i="10"/>
  <c r="T51" i="10"/>
  <c r="U51" i="10"/>
  <c r="T17" i="10"/>
  <c r="U17" i="10"/>
  <c r="T38" i="10"/>
  <c r="U38" i="10"/>
  <c r="T41" i="10"/>
  <c r="U41" i="10"/>
  <c r="T37" i="10"/>
  <c r="U37" i="10"/>
  <c r="T40" i="10"/>
  <c r="U40" i="10"/>
  <c r="T22" i="10"/>
  <c r="U22" i="10"/>
  <c r="T20" i="10"/>
  <c r="U20" i="10"/>
  <c r="U16" i="10"/>
  <c r="R13" i="10"/>
  <c r="R55" i="10"/>
  <c r="T16" i="10"/>
  <c r="U21" i="10"/>
  <c r="T21" i="10"/>
  <c r="U34" i="10"/>
  <c r="T34" i="10"/>
  <c r="U18" i="10"/>
  <c r="T18" i="10"/>
  <c r="T28" i="10"/>
  <c r="U28" i="10"/>
  <c r="U43" i="10"/>
  <c r="T43" i="10"/>
  <c r="U33" i="10"/>
  <c r="T33" i="10"/>
  <c r="U47" i="10"/>
  <c r="T47" i="10"/>
  <c r="U39" i="10"/>
  <c r="T39" i="10"/>
  <c r="U19" i="10"/>
  <c r="T19" i="10"/>
  <c r="T42" i="10"/>
  <c r="U42" i="10"/>
  <c r="T44" i="10"/>
  <c r="U44" i="10"/>
  <c r="U46" i="10"/>
  <c r="T46" i="10"/>
  <c r="U24" i="10"/>
  <c r="T24" i="10"/>
</calcChain>
</file>

<file path=xl/sharedStrings.xml><?xml version="1.0" encoding="utf-8"?>
<sst xmlns="http://schemas.openxmlformats.org/spreadsheetml/2006/main" count="348" uniqueCount="173">
  <si>
    <t>PRESUPUESTO OFICIAL</t>
  </si>
  <si>
    <t>VR PARCIAL</t>
  </si>
  <si>
    <t>PU vs PO</t>
  </si>
  <si>
    <t xml:space="preserve"> </t>
  </si>
  <si>
    <t>PUNTAJE</t>
  </si>
  <si>
    <t>PROPONENTE</t>
  </si>
  <si>
    <t>CANTIDAD</t>
  </si>
  <si>
    <t>NO ADMISIBLE</t>
  </si>
  <si>
    <t>ADMISIBLE</t>
  </si>
  <si>
    <t>JERARQUIA</t>
  </si>
  <si>
    <t>No.</t>
  </si>
  <si>
    <t>PROP. No.</t>
  </si>
  <si>
    <t>RECHAZO</t>
  </si>
  <si>
    <t>(%)</t>
  </si>
  <si>
    <t>&lt;0</t>
  </si>
  <si>
    <t>RESULTADO FINAL DEL PROCESO DE EVALUACIÓN</t>
  </si>
  <si>
    <t>CALIFICACIÓN OBTENIDA</t>
  </si>
  <si>
    <t>PUNTAJES OTORGADOS A LOS SIGUIENTES CRITERIOS:</t>
  </si>
  <si>
    <t>TOTALES</t>
  </si>
  <si>
    <t>DIRECCIÓN GENERAL</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</si>
  <si>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</si>
  <si>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</si>
  <si>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</si>
  <si>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</si>
  <si>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</si>
  <si>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</si>
  <si>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</si>
  <si>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</si>
  <si>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</si>
  <si>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</si>
  <si>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</si>
  <si>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</si>
  <si>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</si>
  <si>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</si>
  <si>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</si>
  <si>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</si>
  <si>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</si>
  <si>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</si>
  <si>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</si>
  <si>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</si>
  <si>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</si>
  <si>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</si>
  <si>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</si>
  <si>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</si>
  <si>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</si>
  <si>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</si>
  <si>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</si>
  <si>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</si>
  <si>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</si>
  <si>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</si>
  <si>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</si>
  <si>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</si>
  <si>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</si>
  <si>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</si>
  <si>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</si>
  <si>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</si>
  <si>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</si>
  <si>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</si>
  <si>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</si>
  <si>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</si>
  <si>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</si>
  <si>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</si>
  <si>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</si>
  <si>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</si>
  <si>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</si>
  <si>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</si>
  <si>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</si>
  <si>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</si>
  <si>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</si>
  <si>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</si>
  <si>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</si>
  <si>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</si>
  <si>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</si>
  <si>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</si>
  <si>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</si>
  <si>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</si>
  <si>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</si>
  <si>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t>Número de veces que se debe incluir el PO = nv</t>
  </si>
  <si>
    <r>
      <t>($1x10</t>
    </r>
    <r>
      <rPr>
        <b/>
        <vertAlign val="superscript"/>
        <sz val="11"/>
        <rFont val="Arial"/>
        <family val="2"/>
      </rPr>
      <t>9</t>
    </r>
    <r>
      <rPr>
        <b/>
        <sz val="11"/>
        <rFont val="Arial"/>
        <family val="2"/>
      </rPr>
      <t>)</t>
    </r>
  </si>
  <si>
    <t>PROPONENTE NÚMERO</t>
  </si>
  <si>
    <t>NOMBRE PROPONENTE</t>
  </si>
  <si>
    <t>Número Propuesta</t>
  </si>
  <si>
    <t>Orden</t>
  </si>
  <si>
    <t>Factor de Calidad</t>
  </si>
  <si>
    <t>NOTAS ACLARATORIAS DE LA PROPUESTA ECONÓMICA</t>
  </si>
  <si>
    <t>CUADRO No. 2 - VERIFICACIÓN DE LAS PROPUESTAS ECONÓNICAS</t>
  </si>
  <si>
    <t>Último Método Utilizado</t>
  </si>
  <si>
    <t>MEDIA GEOMÉTRICA CON PRESUPUESTO OFICIAL</t>
  </si>
  <si>
    <t>MÉTODOS DE EVALUACIÓN</t>
  </si>
  <si>
    <t>MEDIA ARITMÉTICA</t>
  </si>
  <si>
    <t>MEDIA ARITMÉTICA ALTA</t>
  </si>
  <si>
    <t>MENOR VALOR</t>
  </si>
  <si>
    <t>No. de Módulos del Proceso</t>
  </si>
  <si>
    <t>SECRETARIA GENERAL - SUBDIRECCIÓN ADMINISTRATIVA</t>
  </si>
  <si>
    <t>SECRETARIA GENERAL - SUBDIRECCIÓN FINANCIERA</t>
  </si>
  <si>
    <t>DIRECCIÓN OPERATIVA - DIRECCIONES TERRITORIALES</t>
  </si>
  <si>
    <t>DIRECCIÓN OPERATIVA - GERENCIA DE GRANDES PROYECTOS</t>
  </si>
  <si>
    <t>DIRECCIÓN OPERATIVA - GRUPO PLAN 2500</t>
  </si>
  <si>
    <t>DIRECCIÓN TÉCNICA - SUBDIRECCIÓN DE ESTUDIOS DE INNOVACIÓN</t>
  </si>
  <si>
    <t>DIRECCIÓN TÉCNICA - SUBDIRECCIÓN DE MEDIO AMBIENTE Y GESTIÓN SOCIAL</t>
  </si>
  <si>
    <t>DIRECCIÓN TÉCNICA - SUBDIRECCIÓN DE PREVENCIÓN Y ATENCIÓN DE EMERGENCIAS</t>
  </si>
  <si>
    <t>DIRECCIÓN OPERATIVA - SUBDIRECCIÓN MARÍTIMA Y FLUVIAL</t>
  </si>
  <si>
    <t>DIRECCIÓN OPERATIVA - SUBDIRECCIÓN RED NACIONAL DE CARRETERAS</t>
  </si>
  <si>
    <t>DIRECCIÓN OPERATIVA - SUBDIRECCIÓN RED TERCIARIA Y FERREA</t>
  </si>
  <si>
    <t>DIRECCIÓN TÉCNICA</t>
  </si>
  <si>
    <t>DIRECCIÓN OPERATIVA - GRUPO TÚNEL DE LA LÍNEA</t>
  </si>
  <si>
    <t>NO APLICA</t>
  </si>
  <si>
    <t>TRM DEL DÍA DE LA INSTALACIÓN DE LA AUDIENCIA DE ASIGNACIÓN DE PUNTAJE</t>
  </si>
  <si>
    <t>DIRECCIÓN OPERATIVA</t>
  </si>
  <si>
    <t>PROPUESTA ECONÓMICA CORREGIDA</t>
  </si>
  <si>
    <t>PROPUESTA ECONÓMICA INICIAL</t>
  </si>
  <si>
    <t>% DE ERROR FRENTE AL VALOR DE LA OFERTA ECONÓMICA INICIAL</t>
  </si>
  <si>
    <t>AGENCIA NACIONAL DE INFRAESTUCTURA</t>
  </si>
  <si>
    <t>GIT DE CONTRATACIÓN</t>
  </si>
  <si>
    <t>SELECCIÓN ABREVIADA DE MENOR CUANTÍA No. VJ-VAF-SA-009-2016</t>
  </si>
  <si>
    <t>OBJETO: PRESTAR EL SERVICIO DE VIGILANCIA Y SEGURIDAD PRIVADA DE LA AGENCIA NACIONAL DE INFRAESTRUCTURA, UBICADAS EN LA CALLE 24A NO. 59 - 42 TORRE 4 PISOS 2, 6, 7 Y TORRE 3 PISO 8 DE LA CIUDAD DE BOGOTÁ</t>
  </si>
  <si>
    <t>SERVICIOS</t>
  </si>
  <si>
    <t>Valor Total Mensual – Incluye administración, AIU e impuestos</t>
  </si>
  <si>
    <t>Servicio de Recepción – Doce (12) Horas de Lunes a Viernes – sin festivos</t>
  </si>
  <si>
    <t>Servicio de Vigilancia Veinticuatro (24) Horas - sin arma</t>
  </si>
  <si>
    <t>Servicio de Vigilancia Doce (12) Horas diurnas de Lunes a viernes - sin arma</t>
  </si>
  <si>
    <t>VALOR TOTAL INCLUIDO IVA</t>
  </si>
  <si>
    <t>VIGIAS DE COLOMBIA SRL LTDA</t>
  </si>
  <si>
    <t>MEGASEGURIDAD LA PROVEEDORA LTDA</t>
  </si>
  <si>
    <t>VIGILANCIA Y SEGURIDAD CELTAS LTDA</t>
  </si>
  <si>
    <t>UNION TEMPORAL ANI SEGURA</t>
  </si>
  <si>
    <t>COVISUR DE COLOMBIA LTDA</t>
  </si>
  <si>
    <t>SEGURIDAD NUEVA ERA LTDA</t>
  </si>
  <si>
    <t>UNION TEMPORAL MP ANI 2016</t>
  </si>
  <si>
    <t>SEGURIDAD ATEMPI LTDA</t>
  </si>
  <si>
    <t>SU OPORTUNO SERVICIO LTDA</t>
  </si>
  <si>
    <t>INTERGLOBAL SEGURIDAD Y VIGILANCIA LTDA</t>
  </si>
  <si>
    <t>ZONA DE SEGURIDAD LDTA</t>
  </si>
  <si>
    <t>ACON SECURITY LIMITADA</t>
  </si>
  <si>
    <t>UNION TEMPORAL ESTATAL-IVAEST 2016</t>
  </si>
  <si>
    <t>SERVISION DE COLOMBIA Y CIA LTDA</t>
  </si>
  <si>
    <t>SEGURIDAD Y VIGILANCIA SERVICONCEL LTDA</t>
  </si>
  <si>
    <t>COOPERTAIVA DE VIGILANCIA Y SERVICIOS DE BUCARAMANGA CTA - COOVIAM CTA</t>
  </si>
  <si>
    <t>SERACIS LTDA</t>
  </si>
  <si>
    <t>SEGURIDAD EL PENTAGONO COLOMBIANO LIMTADA SEPECOL LTDA</t>
  </si>
  <si>
    <t>COMPAÑÍA DE SERVICIOS DE VIGILANCIA PRIVADA PORTILLA Y PORTILLA - COSERVIPP LTDA</t>
  </si>
  <si>
    <t>HELAM SEGURIDAD LTDA</t>
  </si>
  <si>
    <t>INTERCOM SECURITY DE COLOMBIA LTDA</t>
  </si>
  <si>
    <t>SEGURIDAD CENTRAL LIMITADA</t>
  </si>
  <si>
    <t>AUTENTICA SEGURIDAD LTDA</t>
  </si>
  <si>
    <t>COMPAÑÍA DE SEGURIDAD NACIONAL COMSENAL LTDA</t>
  </si>
  <si>
    <t>CUSTODIAR LIMITADA</t>
  </si>
  <si>
    <t>SEGURIDAD DIGITAL LTDA</t>
  </si>
  <si>
    <t>SEGURIDAD DE COLOMBIA LTDA</t>
  </si>
  <si>
    <t>JM SECURITY ADVISORS LTDA</t>
  </si>
  <si>
    <t>LIRA SEGURIDAD LTDA</t>
  </si>
  <si>
    <t>COMPAÑÍA DE VIGILANCIA Y SEGURIDAD PRIVADA ANUBIS LTDA</t>
  </si>
  <si>
    <t>WEST ARMY SECURITY LTDA</t>
  </si>
  <si>
    <t>GCSI GRUPO COLOMBIANO DE SEGURIDAD INTEGRAL ADVISEGAR LTDA SEGURIDAD PRIVADA</t>
  </si>
  <si>
    <t>CUIDAR LIMITADA</t>
  </si>
  <si>
    <t>UNION TEMPORAL A360</t>
  </si>
  <si>
    <t>SEGURIDAD SELECTA LTDA</t>
  </si>
  <si>
    <t>SEGURIDAD SCANNER LTDA</t>
  </si>
  <si>
    <t>EL VALOR CORRESPONDIENTE AL SERVICIO DE VIGILANCIA DOCE (12) HORAS DIURNAS DE LUNES A VIERNES - SIN ARMA, SUPERA EL VALOR ESTABLECIDO EN EL PRESUPUESTO OFICIAL DEL PROCESO.</t>
  </si>
  <si>
    <t>COMPAÑÍA DE SEGURIDAD PRIVADA SERSECOL LTDA</t>
  </si>
  <si>
    <t>EL VALOR CORRESPONDIENTE AL SERVICIO DE VIGILANCIA VEINTICUATRO (24) HORAS -  SIN ARMA, SUPERA EL VALOR ESTABLECIDO EN EL PRESUPUESTO OFICIAL DEL PROCESO.</t>
  </si>
  <si>
    <t>SE REALIZARON CORRECCIONES ARITMÉTICAS A LOS VALORES REGISTRADOS POR EL PROPONENTE EN SU OFERTA ECONÓMICA, POR CUANTO REGISTRABAN VALORES CON DECIMALES DENTRO DE LAS MISMAS, POR LO CUAL SE DIO APLICACIÓN A LO CONTENIDO EN EL PLIEGO DE CONDICIONES EN SU NUMERAL 3.1. NO OBSTANTE LO ANTERIOR, EL VALOR DE LA OFERTA ES EL MISMO, REALIZADAS LAS RESPECTIVAS CORRECCIONES.</t>
  </si>
  <si>
    <t>SE REALIZA LA CORRECCIÓN ARITMÉTICA AL VALOR DE LA OFERTA ECONÓMICA, POR CUANTO EL VALOR TOTAL OBTENIDO NO COINCIDE CON EL VALOR REGISTRADO POR EL PROPONENTE EN SU OFERTA.</t>
  </si>
  <si>
    <t>SE REALIZARON CORRECCIONES ARITMÉTICAS A LOS VALORES REGISTRADOS POR EL PROPONENTE EN SU OFERTA ECONÓMICA, POR CUANTO REGISTRABAN VALORES CON DECIMALES DENTRO DE LAS MISMAS, POR LO CUAL SE DIO APLICACIÓN A LO CONTENIDO EN EL PLIEGO DE CONDICIONES EN SU NUMERAL 3.1.</t>
  </si>
  <si>
    <t>EL PROPONENTE PRESENTA OFERTA ECONÓMICA EN LA OFERTA ORIGINAL Y EN LA COPIA, NO OBSTANTE LO ANTERIOR, LOS VALORES REGISTRADOS EN LA OFERTA ORIGINAL Y EN LA COPIA DIFIEREN EN VALOR, POR LO QUE PARA EFECTOS DE EVALUACIÓN, LA AGENCIA TOMARÁ EL VALOR CONSIGNADO EN LA OFERTA ORIGINAL.</t>
  </si>
  <si>
    <t>MEDIA GEOMÉTRICA</t>
  </si>
  <si>
    <t>1. Media Geométrica</t>
  </si>
  <si>
    <t>VALOR PROPUESTA ECONÓMICA</t>
  </si>
  <si>
    <t>(ENTRE 85% Y 115%)</t>
  </si>
  <si>
    <t>85% Media Geométrica</t>
  </si>
  <si>
    <t>Media Geométrica</t>
  </si>
  <si>
    <t>115% Media Geométrica</t>
  </si>
  <si>
    <t>LUEGO DE LA VERIFICACIÓN DEL SUBNUMERAL 2.3. EN EL NUMERAL 2 COOPERATIVAS DE LA CIRCULAR EXTERNA No. 20163200000015 DE LA SUPERVIGILANCIA, EN LA CUAL SE REGULAN LAS TARIFAS DE VIGILANCIA, SE VERIFICÓ QUE EL TOPE MINIMO EN LA TARIFA DE SERVICIO DE VIGILANCIA DE DOCE (12) HORAS DE LUNES A VIERNES SIN FESTIVOS ES DE $3.931.548, CON LO CUAL SE EVIDENCIA EL PROPONENTE NO CUMPLE CON LOS PLIEGOS DE CONDICIONES EN EL NUMERAL 4.5 LITERAL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</si>
</sst>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164" formatCode="_-* #,##0.00\ _€_-;\-* #,##0.00\ _€_-;_-* &quot;-&quot;??\ _€_-;_-@_-"/>
    <numFmt numFmtId="165" formatCode="_(* #,##0_);_(* \(#,##0\);_(* &quot;-&quot;_);_(@_)"/>
    <numFmt numFmtId="166" formatCode="_(&quot;$&quot;* #,##0.00_);_(&quot;$&quot;* \(#,##0.00\);_(&quot;$&quot;* &quot;-&quot;??_);_(@_)"/>
    <numFmt numFmtId="167" formatCode="_(* #,##0.00_);_(* \(#,##0.00\);_(* &quot;-&quot;??_);_(@_)"/>
    <numFmt numFmtId="168" formatCode="_(&quot;$&quot;\ * #,##0.00_);_(&quot;$&quot;\ * \(#,##0.00\);_(&quot;$&quot;\ * &quot;-&quot;??_);_(@_)"/>
    <numFmt numFmtId="169" formatCode="_-* #,##0.00\ &quot;Pts&quot;_-;\-* #,##0.00\ &quot;Pts&quot;_-;_-* &quot;-&quot;??\ &quot;Pts&quot;_-;_-@_-"/>
    <numFmt numFmtId="170" formatCode="_-* #,##0.00\ _P_t_s_-;\-* #,##0.00\ _P_t_s_-;_-* &quot;-&quot;??\ _P_t_s_-;_-@_-"/>
    <numFmt numFmtId="171" formatCode="#,##0.0"/>
    <numFmt numFmtId="172" formatCode="#,##0.00;[Red]#,##0.00"/>
    <numFmt numFmtId="173" formatCode="&quot;NN&quot;\ 0"/>
    <numFmt numFmtId="174" formatCode="&quot;VALOR PARA EL CONTRATO=$&quot;\ #,##0.00"/>
    <numFmt numFmtId="175" formatCode="#,##0&quot;º&quot;"/>
    <numFmt numFmtId="176" formatCode="0.0000000"/>
    <numFmt numFmtId="177" formatCode="_ [$€-2]\ * #,##0.00_ ;_ [$€-2]\ * \-#,##0.00_ ;_ [$€-2]\ * &quot;-&quot;??_ "/>
    <numFmt numFmtId="178" formatCode="_(* #,##0_);_(* \(#,##0\);_(* &quot;-&quot;??_);_(@_)"/>
    <numFmt numFmtId="179" formatCode="0.0000E+00"/>
    <numFmt numFmtId="180" formatCode="_([$$-240A]\ * #,##0.00_);_([$$-240A]\ * \(#,##0.00\);_([$$-240A]\ * &quot;-&quot;??_);_(@_)"/>
    <numFmt numFmtId="181" formatCode="0.000000000000000E+00"/>
    <numFmt numFmtId="182" formatCode="_-* #,##0\ _P_t_s_-;\-* #,##0\ _P_t_s_-;_-* &quot;-&quot;??\ _P_t_s_-;_-@_-"/>
    <numFmt numFmtId="183" formatCode="0.0000000000000"/>
    <numFmt numFmtId="184" formatCode="0.000000000000E+00"/>
    <numFmt numFmtId="185" formatCode="0.000E+00"/>
    <numFmt numFmtId="186" formatCode="##0"/>
    <numFmt numFmtId="187" formatCode="0.000"/>
    <numFmt numFmtId="188" formatCode="0.0000"/>
    <numFmt numFmtId="189" formatCode="0.00%;\-0.00%;&quot;&quot;"/>
    <numFmt numFmtId="190" formatCode="&quot;$&quot;#,##0\ ;\(&quot;$&quot;#,##0\)"/>
    <numFmt numFmtId="191" formatCode="\(0%\)"/>
    <numFmt numFmtId="192" formatCode="d\ \d\e\ mmmm\ \d\e\ yyyy"/>
    <numFmt numFmtId="193" formatCode="000\°00&quot;´&quot;00&quot;´´&quot;"/>
    <numFmt numFmtId="194" formatCode="0%;\-0%;&quot;&quot;"/>
    <numFmt numFmtId="195" formatCode="#0&quot;.&quot;000&quot;´&quot;000&quot;.&quot;000"/>
    <numFmt numFmtId="196" formatCode="##0&quot;.&quot;000"/>
    <numFmt numFmtId="197" formatCode="&quot;$&quot;\ #,##0.00"/>
    <numFmt numFmtId="198" formatCode="#,##0.0000"/>
    <numFmt numFmtId="199" formatCode="_-* #,##0.00\ _P_t_a_-;\-* #,##0.00\ _P_t_a_-;_-* &quot;-&quot;??\ _P_t_a_-;_-@_-"/>
    <numFmt numFmtId="200" formatCode="_ * #,##0.00_ ;_ * \-#,##0.00_ ;_ * &quot;-&quot;??_ ;_ @_ "/>
    <numFmt numFmtId="201" formatCode="##0&quot;´&quot;000&quot;.&quot;000"/>
    <numFmt numFmtId="202" formatCode="[$$-240A]\ #,##0.00"/>
    <numFmt numFmtId="203" formatCode="_ &quot;$&quot;* #,##0.00_ ;_ &quot;$&quot;* \-#,##0.00_ ;_ &quot;$&quot;* &quot;-&quot;??_ ;_ @_ "/>
    <numFmt numFmtId="204" formatCode="#.##\ \K\g"/>
    <numFmt numFmtId="205" formatCode="_(* #,##0.0_);_(* \(#,##0.0\);_(* &quot;-&quot;??_);_(@_)"/>
    <numFmt numFmtId="206" formatCode="#0&quot;.&quot;"/>
    <numFmt numFmtId="207" formatCode="0.0%;\-0.0%;&quot;&quot;"/>
    <numFmt numFmtId="208" formatCode="_([$€]* #,##0.00_);_([$€]* \(#,##0.00\);_([$€]* &quot;-&quot;??_);_(@_)"/>
    <numFmt numFmtId="209" formatCode="&quot;$&quot;\ #,##0.00;&quot;$&quot;\ \-#,##0.00"/>
    <numFmt numFmtId="210" formatCode="0\+000"/>
    <numFmt numFmtId="211" formatCode="#,##0.0000000"/>
    <numFmt numFmtId="212" formatCode="0.0000%"/>
    <numFmt numFmtId="213" formatCode="0.000000000000000"/>
  </numFmts>
  <fonts count="60"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sz val="10"/>
      <color theme="0"/>
      <name val="Arial"/>
      <family val="2"/>
    </font>
    <font>
      <b/>
      <sz val="20"/>
      <name val="Arial"/>
      <family val="2"/>
    </font>
    <font>
      <sz val="8"/>
      <color rgb="FFFF0000"/>
      <name val="Arial"/>
      <family val="2"/>
    </font>
    <font>
      <b/>
      <sz val="10"/>
      <color rgb="FFFF0000"/>
      <name val="Arial"/>
      <family val="2"/>
    </font>
    <font>
      <sz val="10"/>
      <color rgb="FFFF0000"/>
      <name val="Arial"/>
      <family val="2"/>
    </font>
  </fonts>
  <fills count="43">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theme="0"/>
        <bgColor indexed="64"/>
      </patternFill>
    </fill>
  </fills>
  <borders count="117">
    <border>
      <left/>
      <right/>
      <top/>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medium">
        <color indexed="64"/>
      </top>
      <bottom/>
      <diagonal/>
    </border>
    <border>
      <left style="medium">
        <color indexed="64"/>
      </left>
      <right/>
      <top style="thin">
        <color indexed="64"/>
      </top>
      <bottom/>
      <diagonal/>
    </border>
    <border>
      <left/>
      <right/>
      <top style="thin">
        <color indexed="64"/>
      </top>
      <bottom/>
      <diagonal/>
    </border>
  </borders>
  <cellStyleXfs count="228">
    <xf numFmtId="0" fontId="0" fillId="0" borderId="0"/>
    <xf numFmtId="0" fontId="22" fillId="0" borderId="0">
      <alignment vertical="top"/>
    </xf>
    <xf numFmtId="177" fontId="3" fillId="0" borderId="0" applyFont="0" applyFill="0" applyBorder="0" applyAlignment="0" applyProtection="0"/>
    <xf numFmtId="170" fontId="3" fillId="0" borderId="0" applyFont="0" applyFill="0" applyBorder="0" applyAlignment="0" applyProtection="0"/>
    <xf numFmtId="167" fontId="10"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2" fillId="0" borderId="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2" fontId="3" fillId="0" borderId="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2" fillId="19"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4" fillId="11" borderId="0" applyNumberFormat="0" applyBorder="0" applyAlignment="0" applyProtection="0"/>
    <xf numFmtId="0" fontId="35" fillId="28" borderId="97" applyNumberFormat="0" applyAlignment="0" applyProtection="0"/>
    <xf numFmtId="0" fontId="36" fillId="29" borderId="98" applyNumberFormat="0" applyAlignment="0" applyProtection="0"/>
    <xf numFmtId="186" fontId="9" fillId="0" borderId="86">
      <alignment horizontal="right"/>
    </xf>
    <xf numFmtId="2" fontId="9" fillId="0" borderId="0"/>
    <xf numFmtId="187" fontId="9" fillId="0" borderId="0"/>
    <xf numFmtId="188" fontId="8" fillId="0" borderId="0"/>
    <xf numFmtId="186" fontId="9" fillId="0" borderId="86">
      <alignment horizontal="right"/>
    </xf>
    <xf numFmtId="182" fontId="3" fillId="0" borderId="0">
      <protection locked="0"/>
    </xf>
    <xf numFmtId="3" fontId="37" fillId="0" borderId="0" applyFont="0" applyFill="0" applyBorder="0" applyAlignment="0" applyProtection="0"/>
    <xf numFmtId="0" fontId="38" fillId="0" borderId="0"/>
    <xf numFmtId="0" fontId="38" fillId="0" borderId="0"/>
    <xf numFmtId="0" fontId="38" fillId="0" borderId="0"/>
    <xf numFmtId="189" fontId="3" fillId="0" borderId="0">
      <protection locked="0"/>
    </xf>
    <xf numFmtId="190" fontId="37" fillId="0" borderId="0" applyFont="0" applyFill="0" applyBorder="0" applyAlignment="0" applyProtection="0"/>
    <xf numFmtId="191" fontId="3" fillId="0" borderId="0">
      <protection locked="0"/>
    </xf>
    <xf numFmtId="0" fontId="39"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3"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3" fillId="37"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3"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3" fillId="36" borderId="0" applyNumberFormat="0" applyBorder="0" applyAlignment="0" applyProtection="0"/>
    <xf numFmtId="0" fontId="32" fillId="39" borderId="0" applyNumberFormat="0" applyBorder="0" applyAlignment="0" applyProtection="0"/>
    <xf numFmtId="0" fontId="32" fillId="33" borderId="0" applyNumberFormat="0" applyBorder="0" applyAlignment="0" applyProtection="0"/>
    <xf numFmtId="0" fontId="33" fillId="34"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3" fillId="40" borderId="0" applyNumberFormat="0" applyBorder="0" applyAlignment="0" applyProtection="0"/>
    <xf numFmtId="1" fontId="3" fillId="0" borderId="0"/>
    <xf numFmtId="0" fontId="3" fillId="0" borderId="0" applyFont="0" applyFill="0" applyBorder="0" applyAlignment="0" applyProtection="0"/>
    <xf numFmtId="0" fontId="40" fillId="0" borderId="0" applyNumberFormat="0" applyFill="0" applyBorder="0" applyAlignment="0" applyProtection="0"/>
    <xf numFmtId="4" fontId="41" fillId="0" borderId="0">
      <protection locked="0"/>
    </xf>
    <xf numFmtId="4" fontId="41" fillId="0" borderId="0">
      <protection locked="0"/>
    </xf>
    <xf numFmtId="4" fontId="42" fillId="0" borderId="0">
      <protection locked="0"/>
    </xf>
    <xf numFmtId="4" fontId="41" fillId="0" borderId="0">
      <protection locked="0"/>
    </xf>
    <xf numFmtId="4" fontId="41" fillId="0" borderId="0">
      <protection locked="0"/>
    </xf>
    <xf numFmtId="4" fontId="41" fillId="0" borderId="0">
      <protection locked="0"/>
    </xf>
    <xf numFmtId="4" fontId="42" fillId="0" borderId="0">
      <protection locked="0"/>
    </xf>
    <xf numFmtId="192" fontId="3" fillId="0" borderId="0">
      <protection locked="0"/>
    </xf>
    <xf numFmtId="0" fontId="43" fillId="12" borderId="0" applyNumberFormat="0" applyBorder="0" applyAlignment="0" applyProtection="0"/>
    <xf numFmtId="193" fontId="3" fillId="0" borderId="0"/>
    <xf numFmtId="0" fontId="44" fillId="0" borderId="0" applyNumberFormat="0" applyFill="0" applyBorder="0" applyAlignment="0" applyProtection="0"/>
    <xf numFmtId="0" fontId="45" fillId="0" borderId="0" applyNumberFormat="0" applyFill="0" applyBorder="0" applyAlignment="0" applyProtection="0"/>
    <xf numFmtId="0" fontId="46" fillId="0" borderId="99" applyNumberFormat="0" applyFill="0" applyAlignment="0" applyProtection="0"/>
    <xf numFmtId="0" fontId="46" fillId="0" borderId="0" applyNumberFormat="0" applyFill="0" applyBorder="0" applyAlignment="0" applyProtection="0"/>
    <xf numFmtId="194" fontId="3" fillId="0" borderId="0">
      <protection locked="0"/>
    </xf>
    <xf numFmtId="194" fontId="3" fillId="0" borderId="0">
      <protection locked="0"/>
    </xf>
    <xf numFmtId="0" fontId="47" fillId="0" borderId="0" applyNumberFormat="0" applyFill="0" applyBorder="0" applyAlignment="0" applyProtection="0">
      <alignment vertical="top"/>
      <protection locked="0"/>
    </xf>
    <xf numFmtId="0" fontId="48" fillId="15" borderId="97" applyNumberFormat="0" applyAlignment="0" applyProtection="0"/>
    <xf numFmtId="0" fontId="49" fillId="0" borderId="100" applyNumberFormat="0" applyFill="0" applyAlignment="0" applyProtection="0"/>
    <xf numFmtId="195" fontId="9" fillId="0" borderId="0">
      <alignment horizontal="right"/>
    </xf>
    <xf numFmtId="196" fontId="9" fillId="0" borderId="0" applyFont="0" applyFill="0" applyBorder="0" applyAlignment="0">
      <alignment horizontal="center"/>
    </xf>
    <xf numFmtId="165" fontId="2"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8" fontId="3" fillId="0" borderId="0" applyFont="0" applyFill="0" applyBorder="0" applyAlignment="0" applyProtection="0"/>
    <xf numFmtId="16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8" fontId="3" fillId="0" borderId="0" applyFont="0" applyFill="0" applyBorder="0" applyAlignment="0" applyProtection="0"/>
    <xf numFmtId="164" fontId="50"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9" fontId="3" fillId="0" borderId="0" applyFont="0" applyFill="0" applyBorder="0" applyAlignment="0" applyProtection="0"/>
    <xf numFmtId="167" fontId="3" fillId="0" borderId="0" applyFont="0" applyFill="0" applyBorder="0" applyAlignment="0" applyProtection="0"/>
    <xf numFmtId="198" fontId="3" fillId="0" borderId="0" applyFont="0" applyFill="0" applyBorder="0" applyAlignment="0" applyProtection="0"/>
    <xf numFmtId="167" fontId="3" fillId="0" borderId="0" applyFont="0" applyFill="0" applyBorder="0" applyAlignment="0" applyProtection="0"/>
    <xf numFmtId="197" fontId="3" fillId="0" borderId="0" applyFont="0" applyFill="0" applyBorder="0" applyAlignment="0" applyProtection="0"/>
    <xf numFmtId="167" fontId="3" fillId="0" borderId="0" applyFont="0" applyFill="0" applyBorder="0" applyAlignment="0" applyProtection="0"/>
    <xf numFmtId="198" fontId="3" fillId="0" borderId="0" applyFont="0" applyFill="0" applyBorder="0" applyAlignment="0" applyProtection="0"/>
    <xf numFmtId="167" fontId="3" fillId="0" borderId="0" applyFont="0" applyFill="0" applyBorder="0" applyAlignment="0" applyProtection="0"/>
    <xf numFmtId="198" fontId="3" fillId="0" borderId="0" applyFont="0" applyFill="0" applyBorder="0" applyAlignment="0" applyProtection="0"/>
    <xf numFmtId="197" fontId="3" fillId="0" borderId="0" applyFont="0" applyFill="0" applyBorder="0" applyAlignment="0" applyProtection="0"/>
    <xf numFmtId="167" fontId="2"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201" fontId="9" fillId="0" borderId="0">
      <alignment horizontal="right"/>
    </xf>
    <xf numFmtId="202" fontId="9" fillId="0" borderId="52"/>
    <xf numFmtId="203" fontId="3" fillId="0" borderId="0"/>
    <xf numFmtId="204" fontId="3" fillId="0" borderId="0" applyFont="0" applyFill="0" applyBorder="0" applyAlignment="0" applyProtection="0"/>
    <xf numFmtId="204" fontId="3" fillId="0" borderId="0" applyFont="0" applyFill="0" applyBorder="0" applyAlignment="0" applyProtection="0"/>
    <xf numFmtId="168" fontId="32" fillId="0" borderId="0" applyFont="0" applyFill="0" applyBorder="0" applyAlignment="0" applyProtection="0"/>
    <xf numFmtId="205" fontId="3" fillId="0" borderId="0" applyFont="0" applyFill="0" applyBorder="0" applyAlignment="0" applyProtection="0"/>
    <xf numFmtId="168" fontId="3" fillId="0" borderId="0" applyFont="0" applyFill="0" applyBorder="0" applyAlignment="0" applyProtection="0"/>
    <xf numFmtId="206"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2" fillId="0" borderId="0" applyFont="0" applyFill="0" applyBorder="0" applyAlignment="0" applyProtection="0"/>
    <xf numFmtId="0" fontId="3" fillId="0" borderId="0"/>
    <xf numFmtId="167" fontId="2" fillId="0" borderId="0" applyFont="0" applyFill="0" applyBorder="0" applyAlignment="0" applyProtection="0"/>
    <xf numFmtId="0" fontId="3" fillId="0" borderId="0"/>
    <xf numFmtId="0" fontId="3" fillId="0" borderId="0"/>
    <xf numFmtId="0" fontId="32" fillId="0" borderId="0"/>
    <xf numFmtId="0" fontId="32" fillId="41" borderId="101" applyNumberFormat="0" applyFont="0" applyAlignment="0" applyProtection="0"/>
    <xf numFmtId="0" fontId="51" fillId="28" borderId="102" applyNumberFormat="0" applyAlignment="0" applyProtection="0"/>
    <xf numFmtId="0" fontId="38" fillId="0" borderId="0"/>
    <xf numFmtId="207"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2" fillId="0" borderId="0" applyNumberFormat="0" applyFill="0" applyBorder="0" applyAlignment="0" applyProtection="0"/>
    <xf numFmtId="49" fontId="6" fillId="0" borderId="0">
      <alignment horizontal="center" vertical="center"/>
    </xf>
    <xf numFmtId="0" fontId="53" fillId="0" borderId="0" applyNumberFormat="0" applyFill="0" applyBorder="0" applyAlignment="0" applyProtection="0"/>
    <xf numFmtId="0" fontId="54" fillId="0" borderId="0" applyNumberFormat="0" applyFill="0" applyBorder="0" applyAlignment="0" applyProtection="0"/>
    <xf numFmtId="168" fontId="2" fillId="0" borderId="0" applyFont="0" applyFill="0" applyBorder="0" applyAlignment="0" applyProtection="0"/>
    <xf numFmtId="208" fontId="3" fillId="0" borderId="0" applyFont="0" applyFill="0" applyBorder="0" applyAlignment="0" applyProtection="0"/>
    <xf numFmtId="167" fontId="2" fillId="0" borderId="0" applyFont="0" applyFill="0" applyBorder="0" applyAlignment="0" applyProtection="0"/>
    <xf numFmtId="165" fontId="3" fillId="0" borderId="0" applyFont="0" applyFill="0" applyBorder="0" applyAlignment="0" applyProtection="0"/>
    <xf numFmtId="167" fontId="2" fillId="0" borderId="0" applyFont="0" applyFill="0" applyBorder="0" applyAlignment="0" applyProtection="0"/>
    <xf numFmtId="200" fontId="3"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168" fontId="2" fillId="0" borderId="0" applyFont="0" applyFill="0" applyBorder="0" applyAlignment="0" applyProtection="0"/>
    <xf numFmtId="210" fontId="3" fillId="0" borderId="0" applyFont="0" applyFill="0" applyBorder="0" applyAlignment="0" applyProtection="0"/>
    <xf numFmtId="0" fontId="32" fillId="0" borderId="0"/>
    <xf numFmtId="168" fontId="2" fillId="0" borderId="0" applyFont="0" applyFill="0" applyBorder="0" applyAlignment="0" applyProtection="0"/>
    <xf numFmtId="167" fontId="2" fillId="0" borderId="0" applyFont="0" applyFill="0" applyBorder="0" applyAlignment="0" applyProtection="0"/>
    <xf numFmtId="0" fontId="2" fillId="0" borderId="0"/>
    <xf numFmtId="209" fontId="3" fillId="0" borderId="0" applyFont="0" applyFill="0" applyBorder="0" applyAlignment="0" applyProtection="0"/>
    <xf numFmtId="0" fontId="2" fillId="0" borderId="0"/>
    <xf numFmtId="0" fontId="2" fillId="0" borderId="0"/>
  </cellStyleXfs>
  <cellXfs count="393">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7"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10" fillId="0" borderId="0" xfId="0" applyFont="1" applyFill="1" applyAlignment="1" applyProtection="1">
      <alignment horizontal="left" vertical="center"/>
      <protection hidden="1"/>
    </xf>
    <xf numFmtId="1" fontId="21" fillId="0" borderId="0" xfId="0" applyNumberFormat="1" applyFont="1" applyFill="1" applyAlignment="1" applyProtection="1">
      <alignment horizontal="centerContinuous" vertical="center" wrapText="1"/>
      <protection hidden="1"/>
    </xf>
    <xf numFmtId="0" fontId="18" fillId="0" borderId="0" xfId="0" applyFont="1" applyProtection="1">
      <protection hidden="1"/>
    </xf>
    <xf numFmtId="0" fontId="18" fillId="0" borderId="0" xfId="0" applyFont="1" applyAlignment="1" applyProtection="1">
      <protection hidden="1"/>
    </xf>
    <xf numFmtId="0" fontId="18" fillId="0" borderId="0" xfId="0" applyFont="1" applyFill="1" applyAlignment="1" applyProtection="1">
      <protection hidden="1"/>
    </xf>
    <xf numFmtId="0" fontId="18" fillId="0" borderId="0" xfId="0" quotePrefix="1" applyFont="1" applyFill="1" applyAlignment="1" applyProtection="1">
      <alignment vertical="center"/>
      <protection hidden="1"/>
    </xf>
    <xf numFmtId="0" fontId="18" fillId="0" borderId="0" xfId="0" applyFont="1" applyFill="1" applyAlignment="1" applyProtection="1">
      <alignment horizontal="center"/>
      <protection hidden="1"/>
    </xf>
    <xf numFmtId="0" fontId="19"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2"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1" fontId="19" fillId="0" borderId="0" xfId="12" applyNumberFormat="1" applyFont="1" applyAlignment="1">
      <alignment horizontal="centerContinuous" vertical="center" wrapText="1"/>
    </xf>
    <xf numFmtId="0" fontId="8" fillId="0" borderId="3" xfId="0" applyFont="1" applyBorder="1" applyAlignment="1" applyProtection="1">
      <alignment horizontal="centerContinuous"/>
      <protection hidden="1"/>
    </xf>
    <xf numFmtId="0" fontId="8" fillId="0" borderId="4" xfId="0" applyFont="1" applyBorder="1" applyAlignment="1" applyProtection="1">
      <alignment horizontal="center" vertical="center"/>
      <protection hidden="1"/>
    </xf>
    <xf numFmtId="0" fontId="6" fillId="0" borderId="5" xfId="11" applyFont="1" applyBorder="1" applyAlignment="1" applyProtection="1">
      <alignment horizont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10" fillId="0" borderId="8"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10" fillId="0" borderId="9" xfId="0" applyFont="1" applyBorder="1" applyAlignment="1" applyProtection="1">
      <alignment horizontal="center"/>
      <protection hidden="1"/>
    </xf>
    <xf numFmtId="0" fontId="29" fillId="4" borderId="14" xfId="13" applyFont="1" applyFill="1" applyBorder="1" applyAlignment="1">
      <alignment horizontal="center" vertical="center"/>
    </xf>
    <xf numFmtId="0" fontId="24" fillId="5" borderId="15" xfId="11" applyFont="1" applyFill="1" applyBorder="1"/>
    <xf numFmtId="0" fontId="24" fillId="5" borderId="16" xfId="11" applyFont="1" applyFill="1" applyBorder="1"/>
    <xf numFmtId="0" fontId="3" fillId="0" borderId="17" xfId="11" applyBorder="1"/>
    <xf numFmtId="0" fontId="24" fillId="5" borderId="18" xfId="11" applyFont="1" applyFill="1" applyBorder="1"/>
    <xf numFmtId="0" fontId="3" fillId="0" borderId="19" xfId="11" applyBorder="1"/>
    <xf numFmtId="0" fontId="24"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28" fillId="4" borderId="5" xfId="13" applyFont="1" applyFill="1" applyBorder="1" applyAlignment="1">
      <alignment horizontal="center" vertical="center"/>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4"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72" fontId="15" fillId="0" borderId="41" xfId="9" applyNumberFormat="1" applyFont="1" applyFill="1" applyBorder="1" applyAlignment="1" applyProtection="1">
      <alignment vertical="center"/>
      <protection locked="0"/>
    </xf>
    <xf numFmtId="0" fontId="15" fillId="9" borderId="44" xfId="0" applyFont="1" applyFill="1" applyBorder="1" applyAlignment="1" applyProtection="1">
      <alignment horizontal="centerContinuous" vertical="center"/>
      <protection locked="0"/>
    </xf>
    <xf numFmtId="3" fontId="12" fillId="9" borderId="43"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80"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57" xfId="12" applyNumberFormat="1" applyFont="1" applyFill="1" applyBorder="1" applyAlignment="1">
      <alignment horizontal="center" vertical="center" wrapText="1"/>
    </xf>
    <xf numFmtId="0" fontId="6" fillId="0" borderId="50" xfId="12" applyFont="1" applyBorder="1" applyAlignment="1">
      <alignment horizontal="left" vertical="center"/>
    </xf>
    <xf numFmtId="0" fontId="6" fillId="0" borderId="51" xfId="12" applyFont="1" applyBorder="1" applyAlignment="1">
      <alignment horizontal="centerContinuous" vertical="center"/>
    </xf>
    <xf numFmtId="0" fontId="6" fillId="2" borderId="51" xfId="12" applyFont="1" applyFill="1" applyBorder="1" applyAlignment="1">
      <alignment horizontal="centerContinuous" vertical="center" wrapText="1"/>
    </xf>
    <xf numFmtId="0" fontId="3" fillId="2" borderId="50" xfId="12" applyFont="1" applyFill="1" applyBorder="1"/>
    <xf numFmtId="0" fontId="6" fillId="0" borderId="53" xfId="12" applyFont="1" applyBorder="1" applyAlignment="1">
      <alignment horizontal="centerContinuous"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1" xfId="12" applyFont="1" applyFill="1" applyBorder="1"/>
    <xf numFmtId="0" fontId="3" fillId="0" borderId="51" xfId="12" applyFont="1" applyFill="1" applyBorder="1"/>
    <xf numFmtId="0" fontId="3" fillId="2" borderId="54" xfId="12" applyFont="1" applyFill="1" applyBorder="1"/>
    <xf numFmtId="0" fontId="3" fillId="0" borderId="54" xfId="12" applyFont="1" applyFill="1" applyBorder="1"/>
    <xf numFmtId="0" fontId="6" fillId="0" borderId="51" xfId="12" applyFont="1" applyFill="1" applyBorder="1" applyAlignment="1">
      <alignment horizontal="right" vertical="center"/>
    </xf>
    <xf numFmtId="0" fontId="6" fillId="0" borderId="50" xfId="12" applyFont="1" applyFill="1" applyBorder="1" applyAlignment="1">
      <alignment horizontal="left" vertical="center"/>
    </xf>
    <xf numFmtId="0" fontId="6" fillId="0" borderId="51" xfId="12" applyFont="1" applyFill="1" applyBorder="1" applyAlignment="1">
      <alignment vertical="center"/>
    </xf>
    <xf numFmtId="0" fontId="6" fillId="0" borderId="50" xfId="12" applyFont="1" applyFill="1" applyBorder="1" applyAlignment="1">
      <alignment horizontal="center" vertical="center" wrapText="1"/>
    </xf>
    <xf numFmtId="0" fontId="6" fillId="0" borderId="51" xfId="12" applyFont="1" applyFill="1" applyBorder="1" applyAlignment="1">
      <alignment horizontal="center" vertical="center" wrapText="1"/>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4" xfId="12" applyFont="1" applyFill="1" applyBorder="1" applyAlignment="1">
      <alignment horizontal="right" vertical="center"/>
    </xf>
    <xf numFmtId="178" fontId="6" fillId="0" borderId="46" xfId="6" applyNumberFormat="1" applyFont="1" applyFill="1" applyBorder="1" applyAlignment="1" applyProtection="1">
      <alignment vertical="center"/>
      <protection locked="0"/>
    </xf>
    <xf numFmtId="167" fontId="6" fillId="0" borderId="58" xfId="6" applyNumberFormat="1" applyFont="1" applyFill="1" applyBorder="1" applyAlignment="1" applyProtection="1">
      <alignment vertical="center"/>
      <protection locked="0"/>
    </xf>
    <xf numFmtId="180" fontId="6" fillId="2" borderId="52" xfId="7" applyNumberFormat="1" applyFont="1" applyFill="1" applyBorder="1" applyAlignment="1"/>
    <xf numFmtId="180" fontId="6" fillId="2" borderId="46" xfId="7" applyNumberFormat="1" applyFont="1" applyFill="1" applyBorder="1" applyAlignment="1"/>
    <xf numFmtId="181" fontId="6" fillId="2" borderId="52" xfId="7" applyNumberFormat="1" applyFont="1" applyFill="1" applyBorder="1" applyAlignment="1"/>
    <xf numFmtId="180" fontId="6" fillId="2" borderId="55" xfId="7" applyNumberFormat="1" applyFont="1" applyFill="1" applyBorder="1" applyAlignment="1"/>
    <xf numFmtId="1" fontId="8" fillId="2" borderId="34" xfId="12" applyNumberFormat="1" applyFont="1" applyFill="1" applyBorder="1" applyAlignment="1">
      <alignment horizontal="left" vertical="center" wrapText="1"/>
    </xf>
    <xf numFmtId="0" fontId="6" fillId="4" borderId="52" xfId="12" applyFont="1" applyFill="1" applyBorder="1" applyAlignment="1">
      <alignment horizontal="center" vertical="center"/>
    </xf>
    <xf numFmtId="0" fontId="6" fillId="0" borderId="52" xfId="0" applyFont="1" applyBorder="1" applyAlignment="1">
      <alignment horizontal="center" vertical="center"/>
    </xf>
    <xf numFmtId="0" fontId="6" fillId="2" borderId="52" xfId="12" applyFont="1" applyFill="1" applyBorder="1" applyAlignment="1">
      <alignment horizontal="center"/>
    </xf>
    <xf numFmtId="10" fontId="6" fillId="2" borderId="52" xfId="12" applyNumberFormat="1" applyFont="1" applyFill="1" applyBorder="1" applyAlignment="1">
      <alignment horizontal="center" vertical="center" wrapText="1"/>
    </xf>
    <xf numFmtId="10" fontId="6" fillId="2" borderId="55" xfId="12" applyNumberFormat="1" applyFont="1" applyFill="1" applyBorder="1" applyAlignment="1">
      <alignment horizontal="center" vertical="center" wrapText="1"/>
    </xf>
    <xf numFmtId="0" fontId="8" fillId="2" borderId="4" xfId="12" applyFont="1" applyFill="1" applyBorder="1" applyAlignment="1">
      <alignment horizontal="center" vertical="center" wrapText="1"/>
    </xf>
    <xf numFmtId="4" fontId="8" fillId="2" borderId="2" xfId="12" applyNumberFormat="1" applyFont="1" applyFill="1" applyBorder="1" applyAlignment="1">
      <alignment horizontal="center" vertical="center"/>
    </xf>
    <xf numFmtId="1" fontId="6" fillId="2" borderId="52" xfId="12" applyNumberFormat="1" applyFont="1" applyFill="1" applyBorder="1" applyAlignment="1">
      <alignment horizontal="center" vertical="center" wrapText="1"/>
    </xf>
    <xf numFmtId="0" fontId="6" fillId="0" borderId="51" xfId="12" applyFont="1" applyBorder="1" applyAlignment="1">
      <alignment horizontal="right" vertical="center"/>
    </xf>
    <xf numFmtId="170" fontId="6" fillId="0" borderId="62" xfId="3" applyFont="1" applyFill="1" applyBorder="1" applyAlignment="1" applyProtection="1">
      <alignment horizontal="center" vertical="center" wrapText="1"/>
    </xf>
    <xf numFmtId="182" fontId="6" fillId="2" borderId="62"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80"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3" fontId="8" fillId="0" borderId="0" xfId="0" applyNumberFormat="1" applyFont="1" applyFill="1" applyBorder="1" applyAlignment="1" applyProtection="1">
      <alignment horizontal="center" vertical="center"/>
      <protection hidden="1"/>
    </xf>
    <xf numFmtId="171"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8" xfId="0" applyFont="1" applyFill="1" applyBorder="1" applyAlignment="1" applyProtection="1">
      <alignment horizontal="center"/>
      <protection hidden="1"/>
    </xf>
    <xf numFmtId="0" fontId="8" fillId="0" borderId="9" xfId="0" applyFont="1" applyFill="1" applyBorder="1" applyAlignment="1" applyProtection="1">
      <alignment horizontal="center" vertical="center"/>
      <protection hidden="1"/>
    </xf>
    <xf numFmtId="1" fontId="9" fillId="0" borderId="10" xfId="0" applyNumberFormat="1" applyFont="1" applyBorder="1" applyAlignment="1" applyProtection="1">
      <alignment horizontal="center" vertical="center"/>
      <protection hidden="1"/>
    </xf>
    <xf numFmtId="1" fontId="9" fillId="0" borderId="11" xfId="0" applyNumberFormat="1" applyFont="1" applyBorder="1" applyAlignment="1" applyProtection="1">
      <alignment horizontal="center" vertical="center"/>
      <protection hidden="1"/>
    </xf>
    <xf numFmtId="0" fontId="9" fillId="0" borderId="11" xfId="0" applyFont="1" applyBorder="1" applyAlignment="1" applyProtection="1">
      <alignment horizontal="centerContinuous" vertical="center" wrapText="1"/>
      <protection hidden="1"/>
    </xf>
    <xf numFmtId="4" fontId="9" fillId="0" borderId="11" xfId="0" applyNumberFormat="1" applyFont="1" applyBorder="1" applyProtection="1">
      <protection hidden="1"/>
    </xf>
    <xf numFmtId="3" fontId="9" fillId="0" borderId="11" xfId="0" applyNumberFormat="1" applyFont="1" applyFill="1" applyBorder="1" applyProtection="1">
      <protection hidden="1"/>
    </xf>
    <xf numFmtId="3" fontId="9" fillId="0" borderId="1" xfId="0" applyNumberFormat="1" applyFont="1" applyFill="1" applyBorder="1" applyAlignment="1" applyProtection="1">
      <alignment horizontal="right"/>
      <protection hidden="1"/>
    </xf>
    <xf numFmtId="0" fontId="7" fillId="4" borderId="65" xfId="12" applyFont="1" applyFill="1" applyBorder="1" applyAlignment="1">
      <alignment horizontal="center" vertical="center" wrapText="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3" fillId="0" borderId="34" xfId="0" applyNumberFormat="1" applyFont="1" applyBorder="1" applyAlignment="1" applyProtection="1">
      <alignment horizontal="center" vertical="center"/>
      <protection locked="0"/>
    </xf>
    <xf numFmtId="179" fontId="8" fillId="0" borderId="66" xfId="0" applyNumberFormat="1" applyFont="1" applyBorder="1" applyAlignment="1" applyProtection="1">
      <alignment horizontal="center" vertical="center"/>
      <protection hidden="1"/>
    </xf>
    <xf numFmtId="2" fontId="9" fillId="0" borderId="1" xfId="0" applyNumberFormat="1" applyFont="1" applyFill="1" applyBorder="1" applyProtection="1">
      <protection hidden="1"/>
    </xf>
    <xf numFmtId="0" fontId="6" fillId="0" borderId="0" xfId="0" applyFont="1" applyBorder="1" applyAlignment="1" applyProtection="1">
      <alignment horizontal="center"/>
      <protection hidden="1"/>
    </xf>
    <xf numFmtId="0" fontId="6" fillId="0" borderId="8"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18" fillId="0" borderId="10" xfId="0" applyFont="1" applyBorder="1" applyAlignment="1" applyProtection="1">
      <alignment horizontal="center" vertical="center"/>
      <protection hidden="1"/>
    </xf>
    <xf numFmtId="0" fontId="18" fillId="0" borderId="11" xfId="0" applyFont="1" applyBorder="1" applyProtection="1">
      <protection hidden="1"/>
    </xf>
    <xf numFmtId="0" fontId="18" fillId="0" borderId="1" xfId="0" applyFont="1" applyBorder="1" applyProtection="1">
      <protection hidden="1"/>
    </xf>
    <xf numFmtId="0" fontId="15" fillId="4" borderId="67" xfId="0" applyFont="1" applyFill="1" applyBorder="1" applyAlignment="1" applyProtection="1">
      <alignment horizontal="center"/>
      <protection hidden="1"/>
    </xf>
    <xf numFmtId="0" fontId="15" fillId="4" borderId="57" xfId="0" applyFont="1" applyFill="1" applyBorder="1" applyAlignment="1" applyProtection="1">
      <alignment horizontal="center"/>
      <protection hidden="1"/>
    </xf>
    <xf numFmtId="0" fontId="15" fillId="4" borderId="6" xfId="0" applyFont="1" applyFill="1" applyBorder="1" applyAlignment="1" applyProtection="1">
      <alignment horizontal="center"/>
      <protection hidden="1"/>
    </xf>
    <xf numFmtId="175"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81" fontId="0" fillId="0" borderId="0" xfId="0" applyNumberFormat="1"/>
    <xf numFmtId="180" fontId="0" fillId="0" borderId="0" xfId="7" applyNumberFormat="1" applyFont="1"/>
    <xf numFmtId="180" fontId="15" fillId="4" borderId="68" xfId="7" applyNumberFormat="1" applyFont="1" applyFill="1" applyBorder="1" applyAlignment="1">
      <alignment horizontal="center" vertical="center" wrapText="1"/>
    </xf>
    <xf numFmtId="0" fontId="7" fillId="4" borderId="63" xfId="0" applyFont="1" applyFill="1" applyBorder="1" applyAlignment="1" applyProtection="1">
      <alignment horizontal="center" vertical="center" wrapText="1"/>
      <protection hidden="1"/>
    </xf>
    <xf numFmtId="0" fontId="7" fillId="4" borderId="63" xfId="0" applyFont="1" applyFill="1" applyBorder="1" applyAlignment="1" applyProtection="1">
      <alignment horizontal="center" vertical="center" wrapText="1"/>
      <protection locked="0"/>
    </xf>
    <xf numFmtId="0" fontId="7" fillId="4" borderId="65" xfId="0" applyFont="1" applyFill="1" applyBorder="1" applyAlignment="1" applyProtection="1">
      <alignment horizontal="center" vertical="center" wrapText="1"/>
      <protection hidden="1"/>
    </xf>
    <xf numFmtId="2" fontId="7" fillId="4" borderId="65" xfId="3" applyNumberFormat="1" applyFont="1" applyFill="1" applyBorder="1" applyAlignment="1" applyProtection="1">
      <alignment horizontal="center" vertical="center"/>
      <protection locked="0"/>
    </xf>
    <xf numFmtId="2" fontId="7" fillId="4" borderId="65" xfId="0" applyNumberFormat="1" applyFont="1" applyFill="1" applyBorder="1" applyAlignment="1" applyProtection="1">
      <alignment horizontal="center" vertical="center"/>
      <protection hidden="1"/>
    </xf>
    <xf numFmtId="2" fontId="7" fillId="4" borderId="69" xfId="0" applyNumberFormat="1"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wrapText="1"/>
      <protection locked="0"/>
    </xf>
    <xf numFmtId="1" fontId="7" fillId="0" borderId="33" xfId="0" applyNumberFormat="1" applyFont="1" applyFill="1" applyBorder="1" applyAlignment="1" applyProtection="1">
      <alignment horizontal="center" vertical="center"/>
      <protection hidden="1"/>
    </xf>
    <xf numFmtId="1" fontId="7" fillId="0" borderId="34" xfId="0" applyNumberFormat="1" applyFont="1" applyFill="1" applyBorder="1" applyAlignment="1" applyProtection="1">
      <alignment horizontal="center" vertical="center"/>
      <protection hidden="1"/>
    </xf>
    <xf numFmtId="173" fontId="7" fillId="0" borderId="34" xfId="0" applyNumberFormat="1" applyFont="1" applyFill="1" applyBorder="1" applyAlignment="1" applyProtection="1">
      <alignment horizontal="center" vertical="center"/>
      <protection locked="0"/>
    </xf>
    <xf numFmtId="3" fontId="7" fillId="0" borderId="34" xfId="0" applyNumberFormat="1" applyFont="1" applyBorder="1" applyAlignment="1">
      <alignment horizontal="center" vertical="center"/>
    </xf>
    <xf numFmtId="0" fontId="7" fillId="0" borderId="34"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3" fontId="6" fillId="4" borderId="32" xfId="11" applyNumberFormat="1" applyFont="1" applyFill="1" applyBorder="1" applyAlignment="1" applyProtection="1">
      <alignment horizontal="right"/>
      <protection hidden="1"/>
    </xf>
    <xf numFmtId="0" fontId="3" fillId="0" borderId="45"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center" wrapText="1"/>
      <protection locked="0"/>
    </xf>
    <xf numFmtId="4" fontId="3" fillId="0" borderId="46" xfId="7" applyNumberFormat="1" applyFont="1" applyFill="1" applyBorder="1" applyAlignment="1" applyProtection="1">
      <alignment vertical="center"/>
      <protection locked="0"/>
    </xf>
    <xf numFmtId="172" fontId="3" fillId="0" borderId="34" xfId="0" applyNumberFormat="1" applyFont="1" applyFill="1" applyBorder="1" applyAlignment="1" applyProtection="1">
      <alignment horizontal="right" vertical="center"/>
      <protection locked="0"/>
    </xf>
    <xf numFmtId="3" fontId="3" fillId="0" borderId="46" xfId="7" applyNumberFormat="1" applyFont="1" applyFill="1" applyBorder="1" applyAlignment="1" applyProtection="1">
      <alignment horizontal="center" vertical="center"/>
      <protection locked="0"/>
    </xf>
    <xf numFmtId="0" fontId="6" fillId="4" borderId="53" xfId="0" applyFont="1" applyFill="1" applyBorder="1" applyAlignment="1" applyProtection="1">
      <alignment horizontal="right" vertical="center"/>
      <protection locked="0"/>
    </xf>
    <xf numFmtId="0" fontId="6" fillId="4" borderId="54" xfId="0" quotePrefix="1" applyFont="1" applyFill="1" applyBorder="1" applyAlignment="1" applyProtection="1">
      <alignment horizontal="right" vertical="center"/>
      <protection locked="0"/>
    </xf>
    <xf numFmtId="4" fontId="6" fillId="4" borderId="54" xfId="0" applyNumberFormat="1" applyFont="1" applyFill="1" applyBorder="1" applyAlignment="1" applyProtection="1">
      <alignment horizontal="right" vertical="center"/>
      <protection locked="0"/>
    </xf>
    <xf numFmtId="0" fontId="12" fillId="0" borderId="39" xfId="0" applyFont="1" applyFill="1" applyBorder="1" applyProtection="1">
      <protection hidden="1"/>
    </xf>
    <xf numFmtId="172" fontId="15" fillId="0" borderId="40" xfId="9" applyNumberFormat="1" applyFont="1" applyFill="1" applyBorder="1" applyAlignment="1" applyProtection="1">
      <alignment horizontal="center" vertical="center"/>
      <protection hidden="1"/>
    </xf>
    <xf numFmtId="0" fontId="15" fillId="4" borderId="63" xfId="12" applyFont="1" applyFill="1" applyBorder="1" applyAlignment="1">
      <alignment horizontal="center" vertical="center" wrapText="1"/>
    </xf>
    <xf numFmtId="0" fontId="15" fillId="4" borderId="64" xfId="12" applyFont="1" applyFill="1" applyBorder="1" applyAlignment="1">
      <alignment horizontal="center" vertical="center" wrapText="1"/>
    </xf>
    <xf numFmtId="0" fontId="15" fillId="4" borderId="37" xfId="12" applyFont="1" applyFill="1" applyBorder="1" applyAlignment="1">
      <alignment horizontal="center" vertical="center"/>
    </xf>
    <xf numFmtId="0" fontId="15" fillId="4" borderId="56" xfId="12" applyFont="1" applyFill="1" applyBorder="1" applyAlignment="1">
      <alignment horizontal="center" vertical="center"/>
    </xf>
    <xf numFmtId="1" fontId="6" fillId="2" borderId="59" xfId="12" applyNumberFormat="1" applyFont="1" applyFill="1" applyBorder="1" applyAlignment="1">
      <alignment horizontal="center" vertical="center" wrapText="1"/>
    </xf>
    <xf numFmtId="1" fontId="6" fillId="2" borderId="60" xfId="12" applyNumberFormat="1" applyFont="1" applyFill="1" applyBorder="1" applyAlignment="1">
      <alignment horizontal="center" vertical="center" wrapText="1"/>
    </xf>
    <xf numFmtId="1" fontId="6" fillId="2" borderId="60" xfId="12" applyNumberFormat="1" applyFont="1" applyFill="1" applyBorder="1" applyAlignment="1">
      <alignment horizontal="left" vertical="center" wrapText="1"/>
    </xf>
    <xf numFmtId="3" fontId="6" fillId="0" borderId="60" xfId="12" applyNumberFormat="1" applyFont="1" applyFill="1" applyBorder="1" applyAlignment="1">
      <alignment horizontal="center" vertical="center" wrapText="1"/>
    </xf>
    <xf numFmtId="185" fontId="6" fillId="0" borderId="60" xfId="12" applyNumberFormat="1" applyFont="1" applyFill="1" applyBorder="1" applyAlignment="1">
      <alignment horizontal="center" vertical="center" wrapText="1"/>
    </xf>
    <xf numFmtId="1" fontId="6" fillId="2" borderId="45"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5" fontId="6" fillId="0" borderId="34" xfId="12" applyNumberFormat="1" applyFont="1" applyFill="1" applyBorder="1" applyAlignment="1">
      <alignment horizontal="center" vertical="center" wrapText="1"/>
    </xf>
    <xf numFmtId="0" fontId="31" fillId="0" borderId="0" xfId="0" applyFont="1" applyAlignment="1" applyProtection="1">
      <alignment horizontal="center" vertical="center"/>
      <protection hidden="1"/>
    </xf>
    <xf numFmtId="0" fontId="15" fillId="4" borderId="103" xfId="0" applyFont="1" applyFill="1" applyBorder="1" applyAlignment="1" applyProtection="1">
      <alignment horizontal="center"/>
      <protection hidden="1"/>
    </xf>
    <xf numFmtId="1" fontId="10" fillId="0" borderId="0" xfId="0" applyNumberFormat="1" applyFont="1" applyProtection="1">
      <protection hidden="1"/>
    </xf>
    <xf numFmtId="0" fontId="4" fillId="0" borderId="104" xfId="0" applyFont="1" applyFill="1" applyBorder="1" applyAlignment="1" applyProtection="1">
      <alignment horizontal="center" vertical="center" wrapText="1"/>
      <protection hidden="1"/>
    </xf>
    <xf numFmtId="0" fontId="6" fillId="4" borderId="29" xfId="0" applyFont="1" applyFill="1" applyBorder="1" applyAlignment="1" applyProtection="1">
      <alignment vertical="center" wrapText="1"/>
      <protection locked="0"/>
    </xf>
    <xf numFmtId="0" fontId="10" fillId="0" borderId="8" xfId="0" applyFont="1" applyBorder="1" applyProtection="1">
      <protection hidden="1"/>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15" fillId="4" borderId="41" xfId="12" applyFont="1" applyFill="1" applyBorder="1" applyAlignment="1">
      <alignment horizontal="center" vertical="center" wrapText="1"/>
    </xf>
    <xf numFmtId="0" fontId="6" fillId="2" borderId="41" xfId="12" applyFont="1" applyFill="1" applyBorder="1" applyAlignment="1">
      <alignment horizontal="center" vertical="center"/>
    </xf>
    <xf numFmtId="0" fontId="1" fillId="4" borderId="5" xfId="13" applyFont="1" applyFill="1" applyBorder="1" applyAlignment="1">
      <alignment horizontal="center" vertical="center"/>
    </xf>
    <xf numFmtId="4" fontId="3" fillId="0" borderId="45" xfId="0" applyNumberFormat="1" applyFont="1" applyFill="1" applyBorder="1" applyAlignment="1" applyProtection="1">
      <alignment horizontal="right" vertical="center"/>
      <protection locked="0"/>
    </xf>
    <xf numFmtId="0" fontId="3" fillId="0" borderId="105" xfId="11" applyFont="1" applyFill="1" applyBorder="1"/>
    <xf numFmtId="211" fontId="4" fillId="0" borderId="35" xfId="0" applyNumberFormat="1" applyFont="1" applyFill="1" applyBorder="1" applyAlignment="1" applyProtection="1">
      <alignment horizontal="right" vertical="center"/>
      <protection hidden="1"/>
    </xf>
    <xf numFmtId="211" fontId="6" fillId="0" borderId="46" xfId="12" applyNumberFormat="1" applyFont="1" applyFill="1" applyBorder="1" applyAlignment="1">
      <alignment horizontal="center" vertical="center" wrapText="1"/>
    </xf>
    <xf numFmtId="211" fontId="8" fillId="0" borderId="34" xfId="0" applyNumberFormat="1" applyFont="1" applyFill="1" applyBorder="1" applyAlignment="1" applyProtection="1">
      <alignment horizontal="center" vertical="center"/>
      <protection hidden="1"/>
    </xf>
    <xf numFmtId="176" fontId="8" fillId="0" borderId="35" xfId="0" applyNumberFormat="1" applyFont="1" applyBorder="1" applyAlignment="1" applyProtection="1">
      <alignment horizontal="center" vertical="center"/>
      <protection hidden="1"/>
    </xf>
    <xf numFmtId="172" fontId="18" fillId="0" borderId="0" xfId="0" applyNumberFormat="1" applyFont="1" applyFill="1" applyAlignment="1" applyProtection="1">
      <protection hidden="1"/>
    </xf>
    <xf numFmtId="172" fontId="3" fillId="0" borderId="0" xfId="0" applyNumberFormat="1" applyFont="1" applyFill="1" applyAlignment="1" applyProtection="1">
      <protection hidden="1"/>
    </xf>
    <xf numFmtId="172" fontId="9" fillId="0" borderId="0" xfId="0" applyNumberFormat="1" applyFont="1" applyProtection="1">
      <protection hidden="1"/>
    </xf>
    <xf numFmtId="0" fontId="6" fillId="0" borderId="106" xfId="0" applyFont="1" applyFill="1" applyBorder="1" applyAlignment="1">
      <alignment horizontal="center" vertical="center"/>
    </xf>
    <xf numFmtId="0" fontId="6" fillId="0" borderId="107" xfId="0" applyFont="1" applyFill="1" applyBorder="1" applyAlignment="1" applyProtection="1">
      <alignment horizontal="center" vertical="center"/>
      <protection hidden="1"/>
    </xf>
    <xf numFmtId="0" fontId="6" fillId="0" borderId="107" xfId="0" quotePrefix="1" applyFont="1" applyFill="1" applyBorder="1" applyAlignment="1" applyProtection="1">
      <alignment horizontal="center" vertical="center"/>
      <protection hidden="1"/>
    </xf>
    <xf numFmtId="0" fontId="6" fillId="0" borderId="108" xfId="0" applyFont="1" applyFill="1" applyBorder="1" applyAlignment="1" applyProtection="1">
      <alignment horizontal="center" vertical="center"/>
      <protection hidden="1"/>
    </xf>
    <xf numFmtId="0" fontId="6" fillId="0" borderId="109" xfId="0" applyFont="1" applyFill="1" applyBorder="1" applyAlignment="1" applyProtection="1">
      <alignment horizontal="center" vertical="center" wrapText="1"/>
      <protection hidden="1"/>
    </xf>
    <xf numFmtId="183" fontId="0" fillId="0" borderId="0" xfId="0" applyNumberFormat="1"/>
    <xf numFmtId="0" fontId="7" fillId="4" borderId="65" xfId="0" applyFont="1" applyFill="1" applyBorder="1" applyAlignment="1" applyProtection="1">
      <alignment horizontal="center" vertical="center" wrapText="1"/>
      <protection hidden="1"/>
    </xf>
    <xf numFmtId="0" fontId="55" fillId="0" borderId="0" xfId="0" applyFont="1"/>
    <xf numFmtId="0" fontId="55" fillId="2" borderId="0" xfId="12" applyFont="1" applyFill="1"/>
    <xf numFmtId="0" fontId="55" fillId="2" borderId="0" xfId="12" applyFont="1" applyFill="1" applyAlignment="1">
      <alignment wrapText="1"/>
    </xf>
    <xf numFmtId="184" fontId="55" fillId="2" borderId="0" xfId="12" applyNumberFormat="1" applyFont="1" applyFill="1" applyAlignment="1">
      <alignment horizontal="center" vertical="center"/>
    </xf>
    <xf numFmtId="184" fontId="55" fillId="2" borderId="0" xfId="12" applyNumberFormat="1" applyFont="1" applyFill="1"/>
    <xf numFmtId="213" fontId="3" fillId="2" borderId="0" xfId="12" applyNumberFormat="1" applyFont="1" applyFill="1" applyAlignment="1">
      <alignment horizontal="center" vertical="center"/>
    </xf>
    <xf numFmtId="0" fontId="0" fillId="42" borderId="0" xfId="0" applyFill="1"/>
    <xf numFmtId="212" fontId="6" fillId="2" borderId="60" xfId="12" applyNumberFormat="1" applyFont="1" applyFill="1" applyBorder="1" applyAlignment="1">
      <alignment horizontal="center" vertical="center" wrapText="1"/>
    </xf>
    <xf numFmtId="212" fontId="6" fillId="2" borderId="34" xfId="12" applyNumberFormat="1" applyFont="1" applyFill="1" applyBorder="1" applyAlignment="1">
      <alignment horizontal="center" vertical="center" wrapText="1"/>
    </xf>
    <xf numFmtId="212" fontId="8" fillId="0" borderId="34" xfId="0" applyNumberFormat="1" applyFont="1" applyFill="1" applyBorder="1" applyAlignment="1" applyProtection="1">
      <alignment horizontal="center" vertical="center"/>
      <protection hidden="1"/>
    </xf>
    <xf numFmtId="0" fontId="6" fillId="4" borderId="89" xfId="0" applyFont="1" applyFill="1" applyBorder="1" applyAlignment="1" applyProtection="1">
      <alignment vertical="center" wrapText="1"/>
      <protection locked="0"/>
    </xf>
    <xf numFmtId="0" fontId="7" fillId="0" borderId="110" xfId="0" applyFont="1" applyBorder="1" applyAlignment="1" applyProtection="1">
      <alignment horizontal="center" vertical="center"/>
      <protection hidden="1"/>
    </xf>
    <xf numFmtId="0" fontId="6" fillId="4" borderId="112" xfId="0" applyFont="1" applyFill="1" applyBorder="1" applyAlignment="1" applyProtection="1">
      <alignment horizontal="center" vertical="center" wrapText="1"/>
      <protection hidden="1"/>
    </xf>
    <xf numFmtId="0" fontId="10" fillId="0" borderId="12"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3" fillId="0" borderId="0" xfId="0" applyFont="1" applyFill="1" applyAlignment="1" applyProtection="1">
      <alignment horizontal="right" vertical="center"/>
      <protection hidden="1"/>
    </xf>
    <xf numFmtId="4" fontId="6" fillId="4" borderId="55" xfId="7"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4" fontId="6" fillId="4" borderId="41" xfId="7" applyNumberFormat="1" applyFont="1" applyFill="1" applyBorder="1" applyAlignment="1" applyProtection="1">
      <alignment horizontal="right" vertical="center"/>
      <protection locked="0"/>
    </xf>
    <xf numFmtId="3" fontId="3" fillId="0" borderId="38"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2" xfId="0" applyFont="1" applyFill="1" applyBorder="1" applyAlignment="1" applyProtection="1">
      <alignment horizontal="centerContinuous" vertical="center"/>
      <protection locked="0"/>
    </xf>
    <xf numFmtId="0" fontId="4" fillId="0" borderId="113" xfId="0" applyFont="1" applyFill="1" applyBorder="1" applyAlignment="1" applyProtection="1">
      <alignment horizontal="left" vertical="center" wrapText="1"/>
      <protection hidden="1"/>
    </xf>
    <xf numFmtId="182" fontId="10" fillId="0" borderId="0" xfId="3" applyNumberFormat="1" applyFont="1" applyAlignment="1" applyProtection="1">
      <alignment horizontal="center" vertical="center"/>
      <protection hidden="1"/>
    </xf>
    <xf numFmtId="183" fontId="55" fillId="2" borderId="0" xfId="12" applyNumberFormat="1" applyFont="1" applyFill="1" applyAlignment="1">
      <alignment horizontal="right" vertical="center"/>
    </xf>
    <xf numFmtId="170" fontId="55" fillId="2" borderId="0" xfId="3" applyFont="1" applyFill="1" applyAlignment="1">
      <alignment horizontal="center" vertical="center"/>
    </xf>
    <xf numFmtId="3" fontId="3" fillId="0" borderId="34" xfId="0" applyNumberFormat="1" applyFont="1" applyFill="1" applyBorder="1" applyAlignment="1" applyProtection="1">
      <alignment horizontal="center" vertical="center"/>
      <protection locked="0"/>
    </xf>
    <xf numFmtId="0" fontId="6" fillId="0" borderId="106" xfId="0" quotePrefix="1" applyFont="1" applyFill="1" applyBorder="1" applyAlignment="1" applyProtection="1">
      <alignment horizontal="center" vertical="center" wrapText="1"/>
      <protection hidden="1"/>
    </xf>
    <xf numFmtId="170" fontId="0" fillId="42" borderId="0" xfId="3" applyFont="1" applyFill="1" applyAlignment="1">
      <alignment horizontal="center" vertical="center"/>
    </xf>
    <xf numFmtId="170" fontId="6" fillId="42" borderId="0" xfId="3" applyFont="1" applyFill="1" applyAlignment="1">
      <alignment horizontal="center" vertical="center"/>
    </xf>
    <xf numFmtId="170" fontId="58" fillId="42" borderId="0" xfId="3" applyFont="1" applyFill="1" applyAlignment="1">
      <alignment horizontal="center" vertical="center"/>
    </xf>
    <xf numFmtId="3" fontId="6" fillId="0" borderId="114" xfId="12" applyNumberFormat="1" applyFont="1" applyFill="1" applyBorder="1" applyAlignment="1">
      <alignment horizontal="center" vertical="center" wrapText="1"/>
    </xf>
    <xf numFmtId="0" fontId="6" fillId="2" borderId="115" xfId="12" applyFont="1" applyFill="1" applyBorder="1" applyAlignment="1">
      <alignment horizontal="right" vertical="center"/>
    </xf>
    <xf numFmtId="0" fontId="6" fillId="2" borderId="116" xfId="12" applyFont="1" applyFill="1" applyBorder="1" applyAlignment="1">
      <alignment horizontal="right" vertical="center"/>
    </xf>
    <xf numFmtId="0" fontId="6" fillId="2" borderId="30" xfId="12" applyFont="1" applyFill="1" applyBorder="1" applyAlignment="1">
      <alignment horizontal="right" vertical="center"/>
    </xf>
    <xf numFmtId="180" fontId="6" fillId="2" borderId="64" xfId="7" applyNumberFormat="1" applyFont="1" applyFill="1" applyBorder="1" applyAlignment="1"/>
    <xf numFmtId="170" fontId="59" fillId="42" borderId="0" xfId="3" applyFont="1" applyFill="1" applyAlignment="1">
      <alignment horizontal="center" vertical="center"/>
    </xf>
    <xf numFmtId="4" fontId="58" fillId="0" borderId="45" xfId="0" applyNumberFormat="1" applyFont="1" applyFill="1" applyBorder="1" applyAlignment="1" applyProtection="1">
      <alignment horizontal="right" vertical="center"/>
      <protection locked="0"/>
    </xf>
    <xf numFmtId="1" fontId="4" fillId="0" borderId="0" xfId="12" applyNumberFormat="1" applyFont="1" applyAlignment="1">
      <alignment horizontal="center" vertical="center" wrapText="1"/>
    </xf>
    <xf numFmtId="1" fontId="6" fillId="0" borderId="0" xfId="12" applyNumberFormat="1" applyFont="1" applyAlignment="1">
      <alignment horizontal="center" vertical="center" wrapText="1"/>
    </xf>
    <xf numFmtId="0" fontId="6" fillId="4" borderId="23" xfId="11" applyFont="1" applyFill="1" applyBorder="1" applyAlignment="1" applyProtection="1">
      <alignment horizontal="center" vertical="center" wrapText="1"/>
      <protection hidden="1"/>
    </xf>
    <xf numFmtId="0" fontId="6" fillId="4" borderId="25" xfId="11" applyFont="1" applyFill="1" applyBorder="1" applyAlignment="1" applyProtection="1">
      <alignment horizontal="center" vertical="center" wrapText="1"/>
      <protection hidden="1"/>
    </xf>
    <xf numFmtId="0" fontId="6" fillId="4" borderId="8" xfId="11" applyFont="1" applyFill="1" applyBorder="1" applyAlignment="1" applyProtection="1">
      <alignment horizontal="center" vertical="center" wrapText="1"/>
      <protection hidden="1"/>
    </xf>
    <xf numFmtId="0" fontId="6" fillId="4" borderId="9" xfId="11" applyFont="1" applyFill="1" applyBorder="1" applyAlignment="1" applyProtection="1">
      <alignment horizontal="center" vertical="center" wrapText="1"/>
      <protection hidden="1"/>
    </xf>
    <xf numFmtId="0" fontId="6" fillId="4" borderId="10" xfId="11" applyFont="1" applyFill="1" applyBorder="1" applyAlignment="1" applyProtection="1">
      <alignment horizontal="center" vertical="center" wrapText="1"/>
      <protection hidden="1"/>
    </xf>
    <xf numFmtId="0" fontId="6" fillId="4" borderId="1" xfId="11" applyFont="1" applyFill="1" applyBorder="1" applyAlignment="1" applyProtection="1">
      <alignment horizontal="center" vertical="center" wrapText="1"/>
      <protection hidden="1"/>
    </xf>
    <xf numFmtId="0" fontId="3" fillId="0" borderId="10" xfId="0" applyFont="1" applyBorder="1" applyProtection="1">
      <protection hidden="1"/>
    </xf>
    <xf numFmtId="0" fontId="10" fillId="0" borderId="11" xfId="0" applyFont="1" applyBorder="1" applyProtection="1">
      <protection hidden="1"/>
    </xf>
    <xf numFmtId="0" fontId="6" fillId="4" borderId="72" xfId="0" applyFont="1" applyFill="1" applyBorder="1" applyAlignment="1" applyProtection="1">
      <alignment horizontal="center" vertical="center" wrapText="1"/>
      <protection hidden="1"/>
    </xf>
    <xf numFmtId="0" fontId="6" fillId="4" borderId="73" xfId="0" applyFont="1" applyFill="1" applyBorder="1" applyAlignment="1" applyProtection="1">
      <alignment horizontal="center" vertical="center" wrapText="1"/>
      <protection hidden="1"/>
    </xf>
    <xf numFmtId="0" fontId="6" fillId="4" borderId="75" xfId="0" applyFont="1" applyFill="1" applyBorder="1" applyAlignment="1" applyProtection="1">
      <alignment horizontal="center" vertical="center" wrapText="1"/>
      <protection hidden="1"/>
    </xf>
    <xf numFmtId="0" fontId="6" fillId="4" borderId="76" xfId="0" applyFont="1" applyFill="1" applyBorder="1" applyAlignment="1" applyProtection="1">
      <alignment horizontal="center" vertical="center" wrapText="1"/>
      <protection hidden="1"/>
    </xf>
    <xf numFmtId="0" fontId="6" fillId="4" borderId="71" xfId="0" applyFont="1" applyFill="1" applyBorder="1" applyAlignment="1" applyProtection="1">
      <alignment horizontal="center" vertical="center" wrapText="1"/>
      <protection hidden="1"/>
    </xf>
    <xf numFmtId="0" fontId="6" fillId="4" borderId="37" xfId="0" applyFont="1" applyFill="1" applyBorder="1" applyAlignment="1" applyProtection="1">
      <alignment horizontal="center" vertical="center" wrapText="1"/>
      <protection hidden="1"/>
    </xf>
    <xf numFmtId="0" fontId="6" fillId="4" borderId="70" xfId="0" applyFont="1" applyFill="1" applyBorder="1" applyAlignment="1" applyProtection="1">
      <alignment horizontal="center" vertical="center" wrapText="1"/>
      <protection locked="0"/>
    </xf>
    <xf numFmtId="0" fontId="6" fillId="4" borderId="111" xfId="0" applyFont="1" applyFill="1" applyBorder="1" applyAlignment="1" applyProtection="1">
      <alignment horizontal="center" vertical="center" wrapText="1"/>
      <protection locked="0"/>
    </xf>
    <xf numFmtId="0" fontId="6" fillId="4" borderId="72" xfId="0" applyFont="1" applyFill="1" applyBorder="1" applyAlignment="1" applyProtection="1">
      <alignment horizontal="center" vertical="center" wrapText="1"/>
      <protection locked="0"/>
    </xf>
    <xf numFmtId="0" fontId="6" fillId="4" borderId="73" xfId="0" applyFont="1" applyFill="1" applyBorder="1" applyAlignment="1" applyProtection="1">
      <alignment horizontal="center" vertical="center" wrapText="1"/>
      <protection locked="0"/>
    </xf>
    <xf numFmtId="0" fontId="6" fillId="0" borderId="0" xfId="12" applyFont="1" applyAlignment="1">
      <alignment horizontal="center" vertical="center"/>
    </xf>
    <xf numFmtId="0" fontId="6" fillId="0" borderId="11" xfId="12" applyFont="1" applyBorder="1" applyAlignment="1">
      <alignment horizontal="center" vertical="center"/>
    </xf>
    <xf numFmtId="0" fontId="6" fillId="0" borderId="2" xfId="0" applyFont="1" applyFill="1" applyBorder="1" applyAlignment="1" applyProtection="1">
      <alignment horizontal="center" vertical="center" wrapText="1"/>
      <protection hidden="1"/>
    </xf>
    <xf numFmtId="3" fontId="5" fillId="0" borderId="77" xfId="0" applyNumberFormat="1"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42" borderId="2" xfId="0" applyFont="1" applyFill="1" applyBorder="1" applyAlignment="1" applyProtection="1">
      <alignment horizontal="center" vertical="center" wrapText="1"/>
      <protection hidden="1"/>
    </xf>
    <xf numFmtId="1" fontId="4" fillId="0" borderId="78" xfId="0" quotePrefix="1" applyNumberFormat="1" applyFont="1" applyFill="1" applyBorder="1" applyAlignment="1" applyProtection="1">
      <alignment horizontal="center" vertical="center" wrapText="1"/>
      <protection hidden="1"/>
    </xf>
    <xf numFmtId="1" fontId="4" fillId="0" borderId="79" xfId="0" quotePrefix="1" applyNumberFormat="1" applyFont="1" applyFill="1" applyBorder="1" applyAlignment="1" applyProtection="1">
      <alignment horizontal="center" vertical="center" wrapText="1"/>
      <protection hidden="1"/>
    </xf>
    <xf numFmtId="1" fontId="4" fillId="0" borderId="80" xfId="0" quotePrefix="1" applyNumberFormat="1" applyFont="1" applyFill="1" applyBorder="1" applyAlignment="1" applyProtection="1">
      <alignment horizontal="center" vertical="center" wrapText="1"/>
      <protection hidden="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8"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 xfId="0" applyFont="1" applyFill="1" applyBorder="1" applyAlignment="1" applyProtection="1">
      <alignment horizontal="justify" vertical="center" wrapText="1"/>
      <protection hidden="1"/>
    </xf>
    <xf numFmtId="4" fontId="8" fillId="4" borderId="81" xfId="0" applyNumberFormat="1" applyFont="1" applyFill="1" applyBorder="1" applyAlignment="1" applyProtection="1">
      <alignment horizontal="center" vertical="center" wrapText="1"/>
      <protection hidden="1"/>
    </xf>
    <xf numFmtId="4" fontId="8" fillId="4" borderId="82"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25" fillId="3" borderId="0" xfId="0" applyFont="1" applyFill="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7" fillId="0" borderId="23" xfId="0" applyFont="1" applyFill="1" applyBorder="1" applyAlignment="1" applyProtection="1">
      <alignment horizontal="justify" vertical="center" wrapText="1"/>
      <protection hidden="1"/>
    </xf>
    <xf numFmtId="0" fontId="57" fillId="0" borderId="24" xfId="0" applyFont="1" applyFill="1" applyBorder="1" applyAlignment="1" applyProtection="1">
      <alignment horizontal="justify" vertical="center" wrapText="1"/>
      <protection hidden="1"/>
    </xf>
    <xf numFmtId="0" fontId="57" fillId="0" borderId="25" xfId="0" applyFont="1" applyFill="1" applyBorder="1" applyAlignment="1" applyProtection="1">
      <alignment horizontal="justify" vertical="center" wrapText="1"/>
      <protection hidden="1"/>
    </xf>
    <xf numFmtId="0" fontId="57" fillId="0" borderId="8" xfId="0" applyFont="1" applyFill="1" applyBorder="1" applyAlignment="1" applyProtection="1">
      <alignment horizontal="justify" vertical="center" wrapText="1"/>
      <protection hidden="1"/>
    </xf>
    <xf numFmtId="0" fontId="57" fillId="0" borderId="0" xfId="0" applyFont="1" applyFill="1" applyBorder="1" applyAlignment="1" applyProtection="1">
      <alignment horizontal="justify" vertical="center" wrapText="1"/>
      <protection hidden="1"/>
    </xf>
    <xf numFmtId="0" fontId="57" fillId="0" borderId="9" xfId="0" applyFont="1" applyFill="1" applyBorder="1" applyAlignment="1" applyProtection="1">
      <alignment horizontal="justify" vertical="center" wrapText="1"/>
      <protection hidden="1"/>
    </xf>
    <xf numFmtId="0" fontId="57" fillId="0" borderId="10" xfId="0" applyFont="1" applyFill="1" applyBorder="1" applyAlignment="1" applyProtection="1">
      <alignment horizontal="justify" vertical="center" wrapText="1"/>
      <protection hidden="1"/>
    </xf>
    <xf numFmtId="0" fontId="57" fillId="0" borderId="11" xfId="0" applyFont="1" applyFill="1" applyBorder="1" applyAlignment="1" applyProtection="1">
      <alignment horizontal="justify" vertical="center" wrapText="1"/>
      <protection hidden="1"/>
    </xf>
    <xf numFmtId="0" fontId="57" fillId="0" borderId="1" xfId="0" applyFont="1" applyFill="1" applyBorder="1" applyAlignment="1" applyProtection="1">
      <alignment horizontal="justify" vertical="center" wrapText="1"/>
      <protection hidden="1"/>
    </xf>
    <xf numFmtId="0" fontId="6" fillId="0" borderId="0" xfId="12" applyFont="1" applyBorder="1" applyAlignment="1">
      <alignment horizontal="center" vertical="center" wrapText="1"/>
    </xf>
    <xf numFmtId="0" fontId="13" fillId="2" borderId="63" xfId="12" applyFont="1" applyFill="1" applyBorder="1" applyAlignment="1">
      <alignment horizontal="center" vertical="center" wrapText="1"/>
    </xf>
    <xf numFmtId="0" fontId="13" fillId="2" borderId="86" xfId="12" applyFont="1" applyFill="1" applyBorder="1" applyAlignment="1">
      <alignment horizontal="center" vertical="center" wrapText="1"/>
    </xf>
    <xf numFmtId="0" fontId="15" fillId="4" borderId="47" xfId="12" applyFont="1" applyFill="1" applyBorder="1" applyAlignment="1">
      <alignment horizontal="left" vertical="center" wrapText="1"/>
    </xf>
    <xf numFmtId="0" fontId="15" fillId="4" borderId="48" xfId="12" applyFont="1" applyFill="1" applyBorder="1" applyAlignment="1">
      <alignment horizontal="left" vertical="center" wrapText="1"/>
    </xf>
    <xf numFmtId="0" fontId="15" fillId="4" borderId="90" xfId="12" applyFont="1" applyFill="1" applyBorder="1" applyAlignment="1">
      <alignment horizontal="left" vertical="center" wrapText="1"/>
    </xf>
    <xf numFmtId="0" fontId="15" fillId="4" borderId="50" xfId="12" applyFont="1" applyFill="1" applyBorder="1" applyAlignment="1">
      <alignment horizontal="left" vertical="center" wrapText="1"/>
    </xf>
    <xf numFmtId="0" fontId="15" fillId="4" borderId="51" xfId="12" applyFont="1" applyFill="1" applyBorder="1" applyAlignment="1">
      <alignment horizontal="left" vertical="center" wrapText="1"/>
    </xf>
    <xf numFmtId="0" fontId="15" fillId="4" borderId="62" xfId="12" applyFont="1" applyFill="1" applyBorder="1" applyAlignment="1">
      <alignment horizontal="left" vertical="center" wrapText="1"/>
    </xf>
    <xf numFmtId="180" fontId="15" fillId="4" borderId="43" xfId="7" applyNumberFormat="1" applyFont="1" applyFill="1" applyBorder="1" applyAlignment="1">
      <alignment horizontal="center" vertical="center" wrapText="1"/>
    </xf>
    <xf numFmtId="0" fontId="15" fillId="4" borderId="87" xfId="12" applyFont="1" applyFill="1" applyBorder="1" applyAlignment="1">
      <alignment horizontal="center" vertical="center" wrapText="1"/>
    </xf>
    <xf numFmtId="0" fontId="15" fillId="4" borderId="88" xfId="12" applyFont="1" applyFill="1" applyBorder="1" applyAlignment="1">
      <alignment horizontal="center" vertical="center" wrapText="1"/>
    </xf>
    <xf numFmtId="0" fontId="15" fillId="4" borderId="49" xfId="12"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5" xfId="12" applyFont="1" applyFill="1" applyBorder="1" applyAlignment="1">
      <alignment horizontal="center" vertical="center" wrapText="1"/>
    </xf>
    <xf numFmtId="4" fontId="6" fillId="2" borderId="84"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4" fontId="6" fillId="2" borderId="83" xfId="12" applyNumberFormat="1" applyFont="1" applyFill="1" applyBorder="1" applyAlignment="1">
      <alignment horizontal="right" vertical="center" wrapText="1"/>
    </xf>
    <xf numFmtId="4" fontId="6" fillId="2" borderId="57" xfId="12" applyNumberFormat="1" applyFont="1" applyFill="1" applyBorder="1" applyAlignment="1">
      <alignment horizontal="right" vertical="center" wrapText="1"/>
    </xf>
    <xf numFmtId="0" fontId="15" fillId="4" borderId="59" xfId="12" applyFont="1" applyFill="1" applyBorder="1" applyAlignment="1">
      <alignment horizontal="center" vertical="center" wrapText="1"/>
    </xf>
    <xf numFmtId="0" fontId="15" fillId="4" borderId="60" xfId="12" applyFont="1" applyFill="1" applyBorder="1" applyAlignment="1">
      <alignment horizontal="center" vertical="center" wrapText="1"/>
    </xf>
    <xf numFmtId="0" fontId="15" fillId="4" borderId="61" xfId="12" applyFont="1" applyFill="1" applyBorder="1" applyAlignment="1">
      <alignment horizontal="center" vertical="center" wrapText="1"/>
    </xf>
    <xf numFmtId="0" fontId="6" fillId="2" borderId="50" xfId="12" applyFont="1" applyFill="1" applyBorder="1" applyAlignment="1">
      <alignment horizontal="right" vertical="center"/>
    </xf>
    <xf numFmtId="0" fontId="6" fillId="2" borderId="51" xfId="12" applyFont="1" applyFill="1" applyBorder="1" applyAlignment="1">
      <alignment horizontal="right" vertical="center"/>
    </xf>
    <xf numFmtId="0" fontId="6" fillId="2" borderId="36" xfId="12" applyFont="1" applyFill="1" applyBorder="1" applyAlignment="1">
      <alignment horizontal="right" vertical="center"/>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89" xfId="12" applyFont="1" applyFill="1" applyBorder="1" applyAlignment="1">
      <alignment horizontal="right" vertical="center"/>
    </xf>
    <xf numFmtId="0" fontId="15" fillId="4" borderId="42" xfId="12" applyFont="1" applyFill="1" applyBorder="1" applyAlignment="1">
      <alignment horizontal="center" vertical="center" wrapText="1"/>
    </xf>
    <xf numFmtId="0" fontId="15" fillId="4" borderId="43" xfId="12" applyFont="1" applyFill="1" applyBorder="1" applyAlignment="1">
      <alignment horizontal="center" vertical="center" wrapText="1"/>
    </xf>
    <xf numFmtId="0" fontId="6" fillId="2" borderId="54" xfId="12" applyFont="1" applyFill="1" applyBorder="1" applyAlignment="1">
      <alignment horizontal="center" vertical="center"/>
    </xf>
    <xf numFmtId="0" fontId="6" fillId="2" borderId="91" xfId="12" applyFont="1" applyFill="1" applyBorder="1" applyAlignment="1">
      <alignment horizontal="center" vertical="center"/>
    </xf>
    <xf numFmtId="0" fontId="6" fillId="4" borderId="83" xfId="12" applyFont="1" applyFill="1" applyBorder="1" applyAlignment="1">
      <alignment horizontal="center" vertical="center" wrapText="1"/>
    </xf>
    <xf numFmtId="0" fontId="6" fillId="4" borderId="57" xfId="12" applyFont="1" applyFill="1" applyBorder="1" applyAlignment="1">
      <alignment horizontal="center" vertical="center" wrapText="1"/>
    </xf>
    <xf numFmtId="0" fontId="15" fillId="4" borderId="83" xfId="12" applyFont="1" applyFill="1" applyBorder="1" applyAlignment="1">
      <alignment horizontal="center" vertical="center" wrapText="1"/>
    </xf>
    <xf numFmtId="0" fontId="15" fillId="4" borderId="84" xfId="12" applyFont="1" applyFill="1" applyBorder="1" applyAlignment="1">
      <alignment horizontal="center" vertical="center" wrapText="1"/>
    </xf>
    <xf numFmtId="0" fontId="15" fillId="4" borderId="57" xfId="12" applyFont="1" applyFill="1" applyBorder="1" applyAlignment="1">
      <alignment horizontal="center" vertical="center" wrapText="1"/>
    </xf>
    <xf numFmtId="0" fontId="15" fillId="4" borderId="13" xfId="12" applyFont="1" applyFill="1" applyBorder="1" applyAlignment="1">
      <alignment horizontal="center" vertical="center" wrapText="1"/>
    </xf>
    <xf numFmtId="0" fontId="15" fillId="4" borderId="57" xfId="12" applyFont="1" applyFill="1" applyBorder="1" applyAlignment="1">
      <alignment horizontal="center" vertical="center"/>
    </xf>
    <xf numFmtId="0" fontId="15" fillId="4" borderId="13" xfId="12" applyFont="1" applyFill="1" applyBorder="1" applyAlignment="1">
      <alignment horizontal="center" vertical="center"/>
    </xf>
    <xf numFmtId="0" fontId="7" fillId="4" borderId="71" xfId="0" applyFont="1" applyFill="1" applyBorder="1" applyAlignment="1" applyProtection="1">
      <alignment horizontal="center" vertical="center" wrapText="1"/>
      <protection hidden="1"/>
    </xf>
    <xf numFmtId="0" fontId="7" fillId="4" borderId="86" xfId="0" applyFont="1" applyFill="1" applyBorder="1" applyAlignment="1" applyProtection="1">
      <alignment horizontal="center" vertical="center" wrapText="1"/>
      <protection hidden="1"/>
    </xf>
    <xf numFmtId="0" fontId="7" fillId="4" borderId="65" xfId="0" applyFont="1" applyFill="1" applyBorder="1" applyAlignment="1" applyProtection="1">
      <alignment horizontal="center" vertical="center" wrapText="1"/>
      <protection hidden="1"/>
    </xf>
    <xf numFmtId="0" fontId="7" fillId="4" borderId="75" xfId="0" applyFont="1" applyFill="1" applyBorder="1" applyAlignment="1" applyProtection="1">
      <alignment horizontal="center" vertical="center" wrapText="1"/>
      <protection hidden="1"/>
    </xf>
    <xf numFmtId="0" fontId="7" fillId="4" borderId="94" xfId="0" applyFont="1" applyFill="1" applyBorder="1" applyAlignment="1" applyProtection="1">
      <alignment horizontal="center" vertical="center" wrapText="1"/>
      <protection hidden="1"/>
    </xf>
    <xf numFmtId="0" fontId="7" fillId="4" borderId="95" xfId="0" applyFont="1" applyFill="1" applyBorder="1" applyAlignment="1" applyProtection="1">
      <alignment horizontal="center" vertical="center" wrapText="1"/>
      <protection hidden="1"/>
    </xf>
    <xf numFmtId="176" fontId="10" fillId="0" borderId="0" xfId="0" applyNumberFormat="1" applyFont="1" applyProtection="1">
      <protection hidden="1"/>
    </xf>
    <xf numFmtId="0" fontId="20"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 borderId="14" xfId="0" applyFont="1" applyFill="1" applyBorder="1" applyAlignment="1" applyProtection="1">
      <alignment horizontal="center" vertical="center"/>
      <protection hidden="1"/>
    </xf>
    <xf numFmtId="0" fontId="15" fillId="4" borderId="96" xfId="0" applyFont="1" applyFill="1" applyBorder="1" applyAlignment="1" applyProtection="1">
      <alignment horizontal="center" vertical="center"/>
      <protection hidden="1"/>
    </xf>
    <xf numFmtId="0" fontId="15" fillId="4" borderId="70" xfId="0" applyFont="1" applyFill="1" applyBorder="1" applyAlignment="1" applyProtection="1">
      <alignment horizontal="center" vertical="center"/>
      <protection hidden="1"/>
    </xf>
    <xf numFmtId="0" fontId="15" fillId="4" borderId="5" xfId="0" applyFont="1" applyFill="1" applyBorder="1" applyAlignment="1" applyProtection="1">
      <alignment horizontal="center" vertical="center"/>
      <protection hidden="1"/>
    </xf>
    <xf numFmtId="174" fontId="56" fillId="4" borderId="67" xfId="0" applyNumberFormat="1" applyFont="1" applyFill="1" applyBorder="1" applyAlignment="1" applyProtection="1">
      <alignment horizontal="center" vertical="center"/>
      <protection hidden="1"/>
    </xf>
    <xf numFmtId="174" fontId="56" fillId="4" borderId="57" xfId="0" applyNumberFormat="1" applyFont="1" applyFill="1" applyBorder="1" applyAlignment="1" applyProtection="1">
      <alignment horizontal="center" vertical="center"/>
      <protection hidden="1"/>
    </xf>
    <xf numFmtId="174" fontId="56" fillId="4" borderId="103" xfId="0" applyNumberFormat="1" applyFont="1" applyFill="1" applyBorder="1" applyAlignment="1" applyProtection="1">
      <alignment horizontal="center" vertical="center"/>
      <protection hidden="1"/>
    </xf>
    <xf numFmtId="174" fontId="56" fillId="4" borderId="6" xfId="0" applyNumberFormat="1" applyFont="1" applyFill="1" applyBorder="1" applyAlignment="1" applyProtection="1">
      <alignment horizontal="center" vertical="center"/>
      <protection hidden="1"/>
    </xf>
    <xf numFmtId="0" fontId="7" fillId="4" borderId="71" xfId="12" applyFont="1" applyFill="1" applyBorder="1" applyAlignment="1">
      <alignment horizontal="center" vertical="center" wrapText="1"/>
    </xf>
    <xf numFmtId="0" fontId="7" fillId="4" borderId="86" xfId="12" applyFont="1" applyFill="1" applyBorder="1" applyAlignment="1">
      <alignment horizontal="center" vertical="center" wrapText="1"/>
    </xf>
    <xf numFmtId="0" fontId="8" fillId="4" borderId="25"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8" fillId="4" borderId="92" xfId="0" applyFont="1" applyFill="1" applyBorder="1" applyAlignment="1" applyProtection="1">
      <alignment horizontal="center" vertical="center" wrapText="1"/>
      <protection hidden="1"/>
    </xf>
    <xf numFmtId="0" fontId="7" fillId="4" borderId="71" xfId="0" applyFont="1" applyFill="1" applyBorder="1" applyAlignment="1" applyProtection="1">
      <alignment horizontal="center" vertical="center" wrapText="1"/>
      <protection locked="0"/>
    </xf>
    <xf numFmtId="0" fontId="7" fillId="4" borderId="74" xfId="0" applyFont="1" applyFill="1" applyBorder="1" applyAlignment="1" applyProtection="1">
      <alignment horizontal="center" vertical="center" wrapText="1"/>
      <protection hidden="1"/>
    </xf>
    <xf numFmtId="0" fontId="7" fillId="4" borderId="93" xfId="0" applyFont="1" applyFill="1" applyBorder="1" applyAlignment="1" applyProtection="1">
      <alignment horizontal="center" vertical="center" wrapText="1"/>
      <protection hidden="1"/>
    </xf>
  </cellXfs>
  <cellStyles count="228">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144">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K58"/>
  <sheetViews>
    <sheetView showGridLines="0" topLeftCell="B10" zoomScaleNormal="100" workbookViewId="0">
      <selection activeCell="K15" sqref="K15"/>
    </sheetView>
  </sheetViews>
  <sheetFormatPr baseColWidth="10" defaultColWidth="11.42578125" defaultRowHeight="12.75" x14ac:dyDescent="0.2"/>
  <cols>
    <col min="1" max="1" width="3" style="2" customWidth="1"/>
    <col min="2" max="3" width="15.28515625" style="2" customWidth="1"/>
    <col min="4" max="4" width="79.140625" style="2" customWidth="1"/>
    <col min="5" max="5" width="15.7109375" style="2" customWidth="1"/>
    <col min="6" max="7" width="13.5703125" style="16" customWidth="1"/>
    <col min="8" max="9" width="13.5703125" style="16" hidden="1" customWidth="1"/>
    <col min="10" max="16384" width="11.42578125" style="2"/>
  </cols>
  <sheetData>
    <row r="1" spans="1:11" s="29" customFormat="1" ht="20.100000000000001" customHeight="1" x14ac:dyDescent="0.25">
      <c r="B1" s="276" t="s">
        <v>112</v>
      </c>
      <c r="C1" s="276"/>
      <c r="D1" s="276"/>
      <c r="E1" s="276"/>
      <c r="F1" s="276"/>
      <c r="G1" s="276"/>
      <c r="H1" s="44"/>
      <c r="I1" s="44"/>
    </row>
    <row r="2" spans="1:11" s="29" customFormat="1" ht="20.100000000000001" customHeight="1" x14ac:dyDescent="0.25">
      <c r="B2" s="277"/>
      <c r="C2" s="277"/>
      <c r="D2" s="277"/>
      <c r="E2" s="277"/>
      <c r="F2" s="277"/>
      <c r="G2" s="277"/>
      <c r="H2" s="44"/>
      <c r="I2" s="44"/>
    </row>
    <row r="3" spans="1:11" s="29" customFormat="1" ht="20.100000000000001" customHeight="1" x14ac:dyDescent="0.25">
      <c r="B3" s="277" t="s">
        <v>113</v>
      </c>
      <c r="C3" s="277"/>
      <c r="D3" s="277"/>
      <c r="E3" s="277"/>
      <c r="F3" s="277"/>
      <c r="G3" s="277"/>
      <c r="H3" s="44"/>
      <c r="I3" s="44"/>
    </row>
    <row r="4" spans="1:11" s="29" customFormat="1" ht="18" x14ac:dyDescent="0.25">
      <c r="B4" s="277"/>
      <c r="C4" s="277"/>
      <c r="D4" s="277"/>
      <c r="E4" s="277"/>
      <c r="F4" s="277"/>
      <c r="G4" s="277"/>
      <c r="H4" s="277"/>
      <c r="I4" s="277"/>
    </row>
    <row r="5" spans="1:11" s="29" customFormat="1" ht="25.5" customHeight="1" x14ac:dyDescent="0.25">
      <c r="A5" s="34"/>
      <c r="B5" s="277" t="s">
        <v>114</v>
      </c>
      <c r="C5" s="277"/>
      <c r="D5" s="277"/>
      <c r="E5" s="277"/>
      <c r="F5" s="277"/>
      <c r="G5" s="277"/>
      <c r="H5" s="44"/>
      <c r="I5" s="44"/>
    </row>
    <row r="6" spans="1:11" s="29" customFormat="1" ht="18.75" x14ac:dyDescent="0.25">
      <c r="A6" s="34"/>
      <c r="B6" s="45"/>
      <c r="C6" s="45"/>
      <c r="D6" s="44"/>
      <c r="E6" s="44"/>
      <c r="F6" s="44"/>
      <c r="G6" s="44"/>
      <c r="H6" s="44"/>
      <c r="I6" s="44"/>
    </row>
    <row r="7" spans="1:11" s="29" customFormat="1" ht="33.75" customHeight="1" x14ac:dyDescent="0.25">
      <c r="A7" s="34"/>
      <c r="B7" s="277" t="s">
        <v>115</v>
      </c>
      <c r="C7" s="277"/>
      <c r="D7" s="277"/>
      <c r="E7" s="277"/>
      <c r="F7" s="277"/>
      <c r="G7" s="277"/>
      <c r="H7" s="44"/>
      <c r="I7" s="44"/>
    </row>
    <row r="8" spans="1:11" s="29" customFormat="1" ht="18.75" x14ac:dyDescent="0.25">
      <c r="A8" s="34"/>
      <c r="B8" s="45"/>
      <c r="C8" s="45"/>
      <c r="D8" s="44"/>
      <c r="E8" s="44"/>
      <c r="F8" s="44"/>
      <c r="G8" s="44"/>
      <c r="H8" s="44"/>
      <c r="I8" s="44"/>
    </row>
    <row r="9" spans="1:11" s="29" customFormat="1" ht="18.75" x14ac:dyDescent="0.25">
      <c r="A9" s="34"/>
      <c r="B9" s="45"/>
      <c r="C9" s="45"/>
      <c r="D9" s="44"/>
      <c r="E9" s="44"/>
      <c r="F9" s="44"/>
      <c r="G9" s="44"/>
      <c r="H9" s="44"/>
      <c r="I9" s="44"/>
    </row>
    <row r="10" spans="1:11" ht="13.5" customHeight="1" x14ac:dyDescent="0.2">
      <c r="B10" s="296" t="s">
        <v>22</v>
      </c>
      <c r="C10" s="296"/>
      <c r="D10" s="296"/>
      <c r="E10" s="296"/>
      <c r="F10" s="296"/>
      <c r="G10" s="296"/>
      <c r="H10" s="47"/>
      <c r="I10" s="47"/>
    </row>
    <row r="11" spans="1:11" ht="13.5" customHeight="1" thickBot="1" x14ac:dyDescent="0.25">
      <c r="B11" s="297" t="s">
        <v>15</v>
      </c>
      <c r="C11" s="297"/>
      <c r="D11" s="297"/>
      <c r="E11" s="297"/>
      <c r="F11" s="297"/>
      <c r="G11" s="297"/>
      <c r="H11" s="47"/>
      <c r="I11" s="47"/>
    </row>
    <row r="12" spans="1:11" ht="41.25" customHeight="1" thickTop="1" x14ac:dyDescent="0.2">
      <c r="B12" s="288" t="s">
        <v>37</v>
      </c>
      <c r="C12" s="290" t="s">
        <v>79</v>
      </c>
      <c r="D12" s="286" t="s">
        <v>80</v>
      </c>
      <c r="E12" s="290" t="s">
        <v>16</v>
      </c>
      <c r="F12" s="292" t="s">
        <v>17</v>
      </c>
      <c r="G12" s="293"/>
      <c r="H12" s="212"/>
      <c r="I12" s="294"/>
    </row>
    <row r="13" spans="1:11" ht="46.5" customHeight="1" thickBot="1" x14ac:dyDescent="0.25">
      <c r="B13" s="289"/>
      <c r="C13" s="291"/>
      <c r="D13" s="287"/>
      <c r="E13" s="291"/>
      <c r="F13" s="173" t="s">
        <v>73</v>
      </c>
      <c r="G13" s="248" t="s">
        <v>83</v>
      </c>
      <c r="H13" s="246"/>
      <c r="I13" s="295"/>
    </row>
    <row r="14" spans="1:11" ht="4.5" customHeight="1" x14ac:dyDescent="0.2">
      <c r="B14" s="48"/>
      <c r="C14" s="76"/>
      <c r="D14" s="49"/>
      <c r="E14" s="49"/>
      <c r="F14" s="57"/>
      <c r="G14" s="249"/>
      <c r="H14" s="57"/>
      <c r="I14" s="57"/>
      <c r="J14" s="213"/>
    </row>
    <row r="15" spans="1:11" x14ac:dyDescent="0.2">
      <c r="B15" s="174">
        <v>1</v>
      </c>
      <c r="C15" s="175">
        <v>1</v>
      </c>
      <c r="D15" s="176" t="s">
        <v>122</v>
      </c>
      <c r="E15" s="177" t="s">
        <v>8</v>
      </c>
      <c r="F15" s="178"/>
      <c r="G15" s="179"/>
      <c r="H15" s="247"/>
      <c r="I15" s="178"/>
      <c r="J15" s="213"/>
      <c r="K15" s="2" t="str">
        <f>"PROPONENTE No. "&amp;C15&amp;" "&amp;D15</f>
        <v>PROPONENTE No. 1 VIGIAS DE COLOMBIA SRL LTDA</v>
      </c>
    </row>
    <row r="16" spans="1:11" x14ac:dyDescent="0.2">
      <c r="B16" s="174">
        <v>2</v>
      </c>
      <c r="C16" s="175">
        <v>2</v>
      </c>
      <c r="D16" s="176" t="s">
        <v>123</v>
      </c>
      <c r="E16" s="177" t="s">
        <v>8</v>
      </c>
      <c r="F16" s="178"/>
      <c r="G16" s="179"/>
      <c r="H16" s="247"/>
      <c r="I16" s="178" t="str">
        <f t="shared" ref="I16:I23" si="0">IF(H16="","",IF(H16=10,25,IF(H16=5,35,50)))</f>
        <v/>
      </c>
      <c r="J16" s="213"/>
      <c r="K16" s="2" t="str">
        <f t="shared" ref="K16:K51" si="1">"PROPONENTE No. "&amp;C16&amp;" "&amp;D16</f>
        <v>PROPONENTE No. 2 MEGASEGURIDAD LA PROVEEDORA LTDA</v>
      </c>
    </row>
    <row r="17" spans="2:11" x14ac:dyDescent="0.2">
      <c r="B17" s="174">
        <v>3</v>
      </c>
      <c r="C17" s="175">
        <v>3</v>
      </c>
      <c r="D17" s="176" t="s">
        <v>124</v>
      </c>
      <c r="E17" s="177" t="s">
        <v>8</v>
      </c>
      <c r="F17" s="178"/>
      <c r="G17" s="179"/>
      <c r="H17" s="247"/>
      <c r="I17" s="178" t="str">
        <f t="shared" si="0"/>
        <v/>
      </c>
      <c r="J17" s="213"/>
      <c r="K17" s="2" t="str">
        <f t="shared" si="1"/>
        <v>PROPONENTE No. 3 VIGILANCIA Y SEGURIDAD CELTAS LTDA</v>
      </c>
    </row>
    <row r="18" spans="2:11" x14ac:dyDescent="0.2">
      <c r="B18" s="174">
        <v>4</v>
      </c>
      <c r="C18" s="175">
        <v>4</v>
      </c>
      <c r="D18" s="176" t="s">
        <v>125</v>
      </c>
      <c r="E18" s="177" t="s">
        <v>8</v>
      </c>
      <c r="F18" s="178"/>
      <c r="G18" s="179"/>
      <c r="H18" s="247"/>
      <c r="I18" s="178" t="str">
        <f t="shared" si="0"/>
        <v/>
      </c>
      <c r="J18" s="213"/>
      <c r="K18" s="2" t="str">
        <f t="shared" si="1"/>
        <v>PROPONENTE No. 4 UNION TEMPORAL ANI SEGURA</v>
      </c>
    </row>
    <row r="19" spans="2:11" x14ac:dyDescent="0.2">
      <c r="B19" s="174">
        <v>5</v>
      </c>
      <c r="C19" s="175">
        <v>5</v>
      </c>
      <c r="D19" s="176" t="s">
        <v>126</v>
      </c>
      <c r="E19" s="177" t="s">
        <v>8</v>
      </c>
      <c r="F19" s="178"/>
      <c r="G19" s="179"/>
      <c r="H19" s="247"/>
      <c r="I19" s="178" t="str">
        <f t="shared" si="0"/>
        <v/>
      </c>
      <c r="J19" s="213"/>
      <c r="K19" s="2" t="str">
        <f t="shared" si="1"/>
        <v>PROPONENTE No. 5 COVISUR DE COLOMBIA LTDA</v>
      </c>
    </row>
    <row r="20" spans="2:11" x14ac:dyDescent="0.2">
      <c r="B20" s="174">
        <v>6</v>
      </c>
      <c r="C20" s="175">
        <v>6</v>
      </c>
      <c r="D20" s="176" t="s">
        <v>127</v>
      </c>
      <c r="E20" s="177" t="s">
        <v>8</v>
      </c>
      <c r="F20" s="178"/>
      <c r="G20" s="179"/>
      <c r="H20" s="247"/>
      <c r="I20" s="178" t="str">
        <f t="shared" si="0"/>
        <v/>
      </c>
      <c r="J20" s="213"/>
      <c r="K20" s="2" t="str">
        <f t="shared" si="1"/>
        <v>PROPONENTE No. 6 SEGURIDAD NUEVA ERA LTDA</v>
      </c>
    </row>
    <row r="21" spans="2:11" x14ac:dyDescent="0.2">
      <c r="B21" s="174">
        <v>7</v>
      </c>
      <c r="C21" s="175">
        <v>7</v>
      </c>
      <c r="D21" s="176" t="s">
        <v>128</v>
      </c>
      <c r="E21" s="177" t="s">
        <v>8</v>
      </c>
      <c r="F21" s="178"/>
      <c r="G21" s="179"/>
      <c r="H21" s="247"/>
      <c r="I21" s="178" t="str">
        <f t="shared" si="0"/>
        <v/>
      </c>
      <c r="J21" s="213"/>
      <c r="K21" s="2" t="str">
        <f t="shared" si="1"/>
        <v>PROPONENTE No. 7 UNION TEMPORAL MP ANI 2016</v>
      </c>
    </row>
    <row r="22" spans="2:11" x14ac:dyDescent="0.2">
      <c r="B22" s="174">
        <v>8</v>
      </c>
      <c r="C22" s="175">
        <v>8</v>
      </c>
      <c r="D22" s="176" t="s">
        <v>159</v>
      </c>
      <c r="E22" s="177" t="s">
        <v>8</v>
      </c>
      <c r="F22" s="178"/>
      <c r="G22" s="179"/>
      <c r="H22" s="247"/>
      <c r="I22" s="178" t="str">
        <f t="shared" si="0"/>
        <v/>
      </c>
      <c r="J22" s="213"/>
      <c r="K22" s="2" t="str">
        <f t="shared" si="1"/>
        <v>PROPONENTE No. 8 COMPAÑÍA DE SEGURIDAD PRIVADA SERSECOL LTDA</v>
      </c>
    </row>
    <row r="23" spans="2:11" x14ac:dyDescent="0.2">
      <c r="B23" s="174">
        <v>9</v>
      </c>
      <c r="C23" s="175">
        <v>9</v>
      </c>
      <c r="D23" s="176" t="s">
        <v>129</v>
      </c>
      <c r="E23" s="177" t="s">
        <v>8</v>
      </c>
      <c r="F23" s="178"/>
      <c r="G23" s="179"/>
      <c r="H23" s="247"/>
      <c r="I23" s="178" t="str">
        <f t="shared" si="0"/>
        <v/>
      </c>
      <c r="J23" s="213"/>
      <c r="K23" s="2" t="str">
        <f t="shared" si="1"/>
        <v>PROPONENTE No. 9 SEGURIDAD ATEMPI LTDA</v>
      </c>
    </row>
    <row r="24" spans="2:11" x14ac:dyDescent="0.2">
      <c r="B24" s="174">
        <v>10</v>
      </c>
      <c r="C24" s="175">
        <v>10</v>
      </c>
      <c r="D24" s="176" t="s">
        <v>130</v>
      </c>
      <c r="E24" s="177" t="s">
        <v>8</v>
      </c>
      <c r="F24" s="178"/>
      <c r="G24" s="179"/>
      <c r="H24" s="247"/>
      <c r="I24" s="178"/>
      <c r="J24" s="213"/>
      <c r="K24" s="2" t="str">
        <f t="shared" si="1"/>
        <v>PROPONENTE No. 10 SU OPORTUNO SERVICIO LTDA</v>
      </c>
    </row>
    <row r="25" spans="2:11" x14ac:dyDescent="0.2">
      <c r="B25" s="174">
        <v>11</v>
      </c>
      <c r="C25" s="175">
        <v>11</v>
      </c>
      <c r="D25" s="176" t="s">
        <v>131</v>
      </c>
      <c r="E25" s="177" t="s">
        <v>8</v>
      </c>
      <c r="F25" s="178"/>
      <c r="G25" s="179"/>
      <c r="H25" s="247"/>
      <c r="I25" s="178"/>
      <c r="J25" s="213"/>
      <c r="K25" s="2" t="str">
        <f t="shared" si="1"/>
        <v>PROPONENTE No. 11 INTERGLOBAL SEGURIDAD Y VIGILANCIA LTDA</v>
      </c>
    </row>
    <row r="26" spans="2:11" x14ac:dyDescent="0.2">
      <c r="B26" s="174">
        <v>12</v>
      </c>
      <c r="C26" s="175">
        <v>12</v>
      </c>
      <c r="D26" s="176" t="s">
        <v>132</v>
      </c>
      <c r="E26" s="177" t="s">
        <v>8</v>
      </c>
      <c r="F26" s="178"/>
      <c r="G26" s="179"/>
      <c r="H26" s="247"/>
      <c r="I26" s="178"/>
      <c r="J26" s="213"/>
      <c r="K26" s="2" t="str">
        <f t="shared" si="1"/>
        <v>PROPONENTE No. 12 ZONA DE SEGURIDAD LDTA</v>
      </c>
    </row>
    <row r="27" spans="2:11" x14ac:dyDescent="0.2">
      <c r="B27" s="174">
        <v>13</v>
      </c>
      <c r="C27" s="175">
        <v>13</v>
      </c>
      <c r="D27" s="176" t="s">
        <v>133</v>
      </c>
      <c r="E27" s="177" t="s">
        <v>8</v>
      </c>
      <c r="F27" s="178"/>
      <c r="G27" s="179"/>
      <c r="H27" s="247"/>
      <c r="I27" s="178"/>
      <c r="J27" s="213"/>
      <c r="K27" s="2" t="str">
        <f t="shared" si="1"/>
        <v>PROPONENTE No. 13 ACON SECURITY LIMITADA</v>
      </c>
    </row>
    <row r="28" spans="2:11" x14ac:dyDescent="0.2">
      <c r="B28" s="174">
        <v>14</v>
      </c>
      <c r="C28" s="175">
        <v>14</v>
      </c>
      <c r="D28" s="176" t="s">
        <v>134</v>
      </c>
      <c r="E28" s="177" t="s">
        <v>8</v>
      </c>
      <c r="F28" s="178"/>
      <c r="G28" s="179"/>
      <c r="H28" s="247"/>
      <c r="I28" s="178"/>
      <c r="J28" s="213"/>
      <c r="K28" s="2" t="str">
        <f t="shared" si="1"/>
        <v>PROPONENTE No. 14 UNION TEMPORAL ESTATAL-IVAEST 2016</v>
      </c>
    </row>
    <row r="29" spans="2:11" x14ac:dyDescent="0.2">
      <c r="B29" s="174">
        <v>15</v>
      </c>
      <c r="C29" s="175">
        <v>15</v>
      </c>
      <c r="D29" s="176" t="s">
        <v>135</v>
      </c>
      <c r="E29" s="177" t="s">
        <v>8</v>
      </c>
      <c r="F29" s="178"/>
      <c r="G29" s="179"/>
      <c r="H29" s="247"/>
      <c r="I29" s="178"/>
      <c r="J29" s="213"/>
      <c r="K29" s="2" t="str">
        <f t="shared" si="1"/>
        <v>PROPONENTE No. 15 SERVISION DE COLOMBIA Y CIA LTDA</v>
      </c>
    </row>
    <row r="30" spans="2:11" x14ac:dyDescent="0.2">
      <c r="B30" s="174">
        <v>16</v>
      </c>
      <c r="C30" s="175">
        <v>16</v>
      </c>
      <c r="D30" s="176" t="s">
        <v>136</v>
      </c>
      <c r="E30" s="177" t="s">
        <v>8</v>
      </c>
      <c r="F30" s="178"/>
      <c r="G30" s="179"/>
      <c r="H30" s="247"/>
      <c r="I30" s="178"/>
      <c r="J30" s="213"/>
      <c r="K30" s="2" t="str">
        <f t="shared" si="1"/>
        <v>PROPONENTE No. 16 SEGURIDAD Y VIGILANCIA SERVICONCEL LTDA</v>
      </c>
    </row>
    <row r="31" spans="2:11" x14ac:dyDescent="0.2">
      <c r="B31" s="174">
        <v>17</v>
      </c>
      <c r="C31" s="175">
        <v>17</v>
      </c>
      <c r="D31" s="176" t="s">
        <v>137</v>
      </c>
      <c r="E31" s="177" t="s">
        <v>8</v>
      </c>
      <c r="F31" s="178"/>
      <c r="G31" s="179"/>
      <c r="H31" s="247"/>
      <c r="I31" s="178"/>
      <c r="J31" s="213"/>
      <c r="K31" s="2" t="str">
        <f t="shared" si="1"/>
        <v>PROPONENTE No. 17 COOPERTAIVA DE VIGILANCIA Y SERVICIOS DE BUCARAMANGA CTA - COOVIAM CTA</v>
      </c>
    </row>
    <row r="32" spans="2:11" x14ac:dyDescent="0.2">
      <c r="B32" s="174">
        <v>18</v>
      </c>
      <c r="C32" s="175">
        <v>18</v>
      </c>
      <c r="D32" s="176" t="s">
        <v>138</v>
      </c>
      <c r="E32" s="177" t="s">
        <v>8</v>
      </c>
      <c r="F32" s="178"/>
      <c r="G32" s="179"/>
      <c r="H32" s="247"/>
      <c r="I32" s="178"/>
      <c r="J32" s="213"/>
      <c r="K32" s="2" t="str">
        <f t="shared" si="1"/>
        <v>PROPONENTE No. 18 SERACIS LTDA</v>
      </c>
    </row>
    <row r="33" spans="2:11" x14ac:dyDescent="0.2">
      <c r="B33" s="174">
        <v>19</v>
      </c>
      <c r="C33" s="175">
        <v>19</v>
      </c>
      <c r="D33" s="176" t="s">
        <v>139</v>
      </c>
      <c r="E33" s="177" t="s">
        <v>8</v>
      </c>
      <c r="F33" s="178"/>
      <c r="G33" s="179"/>
      <c r="H33" s="247"/>
      <c r="I33" s="178"/>
      <c r="J33" s="213"/>
      <c r="K33" s="2" t="str">
        <f t="shared" si="1"/>
        <v>PROPONENTE No. 19 SEGURIDAD EL PENTAGONO COLOMBIANO LIMTADA SEPECOL LTDA</v>
      </c>
    </row>
    <row r="34" spans="2:11" x14ac:dyDescent="0.2">
      <c r="B34" s="174">
        <v>20</v>
      </c>
      <c r="C34" s="175">
        <v>20</v>
      </c>
      <c r="D34" s="176" t="s">
        <v>140</v>
      </c>
      <c r="E34" s="177" t="s">
        <v>8</v>
      </c>
      <c r="F34" s="178"/>
      <c r="G34" s="179"/>
      <c r="H34" s="247"/>
      <c r="I34" s="178"/>
      <c r="J34" s="213"/>
      <c r="K34" s="2" t="str">
        <f t="shared" si="1"/>
        <v>PROPONENTE No. 20 COMPAÑÍA DE SERVICIOS DE VIGILANCIA PRIVADA PORTILLA Y PORTILLA - COSERVIPP LTDA</v>
      </c>
    </row>
    <row r="35" spans="2:11" x14ac:dyDescent="0.2">
      <c r="B35" s="174">
        <v>21</v>
      </c>
      <c r="C35" s="175">
        <v>21</v>
      </c>
      <c r="D35" s="176" t="s">
        <v>141</v>
      </c>
      <c r="E35" s="177" t="s">
        <v>8</v>
      </c>
      <c r="F35" s="178"/>
      <c r="G35" s="179"/>
      <c r="H35" s="247"/>
      <c r="I35" s="178"/>
      <c r="J35" s="213"/>
      <c r="K35" s="2" t="str">
        <f t="shared" si="1"/>
        <v>PROPONENTE No. 21 HELAM SEGURIDAD LTDA</v>
      </c>
    </row>
    <row r="36" spans="2:11" x14ac:dyDescent="0.2">
      <c r="B36" s="174">
        <v>22</v>
      </c>
      <c r="C36" s="175">
        <v>22</v>
      </c>
      <c r="D36" s="176" t="s">
        <v>142</v>
      </c>
      <c r="E36" s="177" t="s">
        <v>8</v>
      </c>
      <c r="F36" s="178"/>
      <c r="G36" s="179"/>
      <c r="H36" s="247"/>
      <c r="I36" s="178"/>
      <c r="J36" s="213"/>
      <c r="K36" s="2" t="str">
        <f t="shared" si="1"/>
        <v>PROPONENTE No. 22 INTERCOM SECURITY DE COLOMBIA LTDA</v>
      </c>
    </row>
    <row r="37" spans="2:11" x14ac:dyDescent="0.2">
      <c r="B37" s="174">
        <v>23</v>
      </c>
      <c r="C37" s="175">
        <v>23</v>
      </c>
      <c r="D37" s="176" t="s">
        <v>143</v>
      </c>
      <c r="E37" s="177" t="s">
        <v>8</v>
      </c>
      <c r="F37" s="178"/>
      <c r="G37" s="179"/>
      <c r="H37" s="247"/>
      <c r="I37" s="178"/>
      <c r="J37" s="213"/>
      <c r="K37" s="2" t="str">
        <f t="shared" si="1"/>
        <v>PROPONENTE No. 23 SEGURIDAD CENTRAL LIMITADA</v>
      </c>
    </row>
    <row r="38" spans="2:11" x14ac:dyDescent="0.2">
      <c r="B38" s="174">
        <v>24</v>
      </c>
      <c r="C38" s="175">
        <v>24</v>
      </c>
      <c r="D38" s="176" t="s">
        <v>144</v>
      </c>
      <c r="E38" s="177" t="s">
        <v>8</v>
      </c>
      <c r="F38" s="178"/>
      <c r="G38" s="179"/>
      <c r="H38" s="247"/>
      <c r="I38" s="178"/>
      <c r="J38" s="213"/>
      <c r="K38" s="2" t="str">
        <f t="shared" si="1"/>
        <v>PROPONENTE No. 24 AUTENTICA SEGURIDAD LTDA</v>
      </c>
    </row>
    <row r="39" spans="2:11" x14ac:dyDescent="0.2">
      <c r="B39" s="174">
        <v>25</v>
      </c>
      <c r="C39" s="175">
        <v>25</v>
      </c>
      <c r="D39" s="176" t="s">
        <v>145</v>
      </c>
      <c r="E39" s="177" t="s">
        <v>8</v>
      </c>
      <c r="F39" s="178"/>
      <c r="G39" s="179"/>
      <c r="H39" s="247"/>
      <c r="I39" s="178"/>
      <c r="J39" s="213"/>
      <c r="K39" s="2" t="str">
        <f t="shared" si="1"/>
        <v>PROPONENTE No. 25 COMPAÑÍA DE SEGURIDAD NACIONAL COMSENAL LTDA</v>
      </c>
    </row>
    <row r="40" spans="2:11" x14ac:dyDescent="0.2">
      <c r="B40" s="174">
        <v>26</v>
      </c>
      <c r="C40" s="175">
        <v>26</v>
      </c>
      <c r="D40" s="176" t="s">
        <v>146</v>
      </c>
      <c r="E40" s="177" t="s">
        <v>8</v>
      </c>
      <c r="F40" s="178"/>
      <c r="G40" s="179"/>
      <c r="H40" s="247"/>
      <c r="I40" s="178"/>
      <c r="J40" s="213"/>
      <c r="K40" s="2" t="str">
        <f t="shared" si="1"/>
        <v>PROPONENTE No. 26 CUSTODIAR LIMITADA</v>
      </c>
    </row>
    <row r="41" spans="2:11" x14ac:dyDescent="0.2">
      <c r="B41" s="174">
        <v>27</v>
      </c>
      <c r="C41" s="175">
        <v>27</v>
      </c>
      <c r="D41" s="176" t="s">
        <v>147</v>
      </c>
      <c r="E41" s="177" t="s">
        <v>8</v>
      </c>
      <c r="F41" s="178"/>
      <c r="G41" s="179"/>
      <c r="H41" s="247"/>
      <c r="I41" s="178"/>
      <c r="J41" s="213"/>
      <c r="K41" s="2" t="str">
        <f t="shared" si="1"/>
        <v>PROPONENTE No. 27 SEGURIDAD DIGITAL LTDA</v>
      </c>
    </row>
    <row r="42" spans="2:11" x14ac:dyDescent="0.2">
      <c r="B42" s="174">
        <v>28</v>
      </c>
      <c r="C42" s="175">
        <v>28</v>
      </c>
      <c r="D42" s="176" t="s">
        <v>148</v>
      </c>
      <c r="E42" s="177" t="s">
        <v>8</v>
      </c>
      <c r="F42" s="178"/>
      <c r="G42" s="179"/>
      <c r="H42" s="247"/>
      <c r="I42" s="178"/>
      <c r="J42" s="213"/>
      <c r="K42" s="2" t="str">
        <f t="shared" si="1"/>
        <v>PROPONENTE No. 28 SEGURIDAD DE COLOMBIA LTDA</v>
      </c>
    </row>
    <row r="43" spans="2:11" x14ac:dyDescent="0.2">
      <c r="B43" s="174">
        <v>29</v>
      </c>
      <c r="C43" s="175">
        <v>29</v>
      </c>
      <c r="D43" s="176" t="s">
        <v>149</v>
      </c>
      <c r="E43" s="177" t="s">
        <v>8</v>
      </c>
      <c r="F43" s="178"/>
      <c r="G43" s="179"/>
      <c r="H43" s="247"/>
      <c r="I43" s="178"/>
      <c r="J43" s="213"/>
      <c r="K43" s="2" t="str">
        <f t="shared" si="1"/>
        <v>PROPONENTE No. 29 JM SECURITY ADVISORS LTDA</v>
      </c>
    </row>
    <row r="44" spans="2:11" x14ac:dyDescent="0.2">
      <c r="B44" s="174">
        <v>30</v>
      </c>
      <c r="C44" s="175">
        <v>30</v>
      </c>
      <c r="D44" s="176" t="s">
        <v>150</v>
      </c>
      <c r="E44" s="177" t="s">
        <v>8</v>
      </c>
      <c r="F44" s="178"/>
      <c r="G44" s="179"/>
      <c r="H44" s="247"/>
      <c r="I44" s="178"/>
      <c r="J44" s="213"/>
      <c r="K44" s="2" t="str">
        <f t="shared" si="1"/>
        <v>PROPONENTE No. 30 LIRA SEGURIDAD LTDA</v>
      </c>
    </row>
    <row r="45" spans="2:11" x14ac:dyDescent="0.2">
      <c r="B45" s="174">
        <v>31</v>
      </c>
      <c r="C45" s="175">
        <v>31</v>
      </c>
      <c r="D45" s="176" t="s">
        <v>151</v>
      </c>
      <c r="E45" s="177" t="s">
        <v>8</v>
      </c>
      <c r="F45" s="178"/>
      <c r="G45" s="179"/>
      <c r="H45" s="247"/>
      <c r="I45" s="178"/>
      <c r="J45" s="213"/>
      <c r="K45" s="2" t="str">
        <f t="shared" si="1"/>
        <v>PROPONENTE No. 31 COMPAÑÍA DE VIGILANCIA Y SEGURIDAD PRIVADA ANUBIS LTDA</v>
      </c>
    </row>
    <row r="46" spans="2:11" x14ac:dyDescent="0.2">
      <c r="B46" s="174">
        <v>32</v>
      </c>
      <c r="C46" s="175">
        <v>32</v>
      </c>
      <c r="D46" s="176" t="s">
        <v>152</v>
      </c>
      <c r="E46" s="177" t="s">
        <v>8</v>
      </c>
      <c r="F46" s="178"/>
      <c r="G46" s="179"/>
      <c r="H46" s="247"/>
      <c r="I46" s="178"/>
      <c r="J46" s="213"/>
      <c r="K46" s="2" t="str">
        <f t="shared" si="1"/>
        <v>PROPONENTE No. 32 WEST ARMY SECURITY LTDA</v>
      </c>
    </row>
    <row r="47" spans="2:11" x14ac:dyDescent="0.2">
      <c r="B47" s="174">
        <v>33</v>
      </c>
      <c r="C47" s="175">
        <v>33</v>
      </c>
      <c r="D47" s="176" t="s">
        <v>153</v>
      </c>
      <c r="E47" s="177" t="s">
        <v>8</v>
      </c>
      <c r="F47" s="178"/>
      <c r="G47" s="179"/>
      <c r="H47" s="247"/>
      <c r="I47" s="178"/>
      <c r="J47" s="213"/>
      <c r="K47" s="2" t="str">
        <f t="shared" si="1"/>
        <v>PROPONENTE No. 33 GCSI GRUPO COLOMBIANO DE SEGURIDAD INTEGRAL ADVISEGAR LTDA SEGURIDAD PRIVADA</v>
      </c>
    </row>
    <row r="48" spans="2:11" x14ac:dyDescent="0.2">
      <c r="B48" s="174">
        <v>34</v>
      </c>
      <c r="C48" s="175">
        <v>34</v>
      </c>
      <c r="D48" s="176" t="s">
        <v>154</v>
      </c>
      <c r="E48" s="177" t="s">
        <v>8</v>
      </c>
      <c r="F48" s="178"/>
      <c r="G48" s="179"/>
      <c r="H48" s="247"/>
      <c r="I48" s="178"/>
      <c r="J48" s="213"/>
      <c r="K48" s="2" t="str">
        <f t="shared" si="1"/>
        <v>PROPONENTE No. 34 CUIDAR LIMITADA</v>
      </c>
    </row>
    <row r="49" spans="2:11" x14ac:dyDescent="0.2">
      <c r="B49" s="174">
        <v>35</v>
      </c>
      <c r="C49" s="175">
        <v>35</v>
      </c>
      <c r="D49" s="176" t="s">
        <v>155</v>
      </c>
      <c r="E49" s="177" t="s">
        <v>8</v>
      </c>
      <c r="F49" s="178"/>
      <c r="G49" s="179"/>
      <c r="H49" s="247"/>
      <c r="I49" s="178"/>
      <c r="J49" s="213"/>
      <c r="K49" s="2" t="str">
        <f t="shared" si="1"/>
        <v>PROPONENTE No. 35 UNION TEMPORAL A360</v>
      </c>
    </row>
    <row r="50" spans="2:11" x14ac:dyDescent="0.2">
      <c r="B50" s="174">
        <v>36</v>
      </c>
      <c r="C50" s="175">
        <v>36</v>
      </c>
      <c r="D50" s="176" t="s">
        <v>156</v>
      </c>
      <c r="E50" s="177" t="s">
        <v>8</v>
      </c>
      <c r="F50" s="178"/>
      <c r="G50" s="179"/>
      <c r="H50" s="247"/>
      <c r="I50" s="178"/>
      <c r="J50" s="213"/>
      <c r="K50" s="2" t="str">
        <f t="shared" si="1"/>
        <v>PROPONENTE No. 36 SEGURIDAD SELECTA LTDA</v>
      </c>
    </row>
    <row r="51" spans="2:11" x14ac:dyDescent="0.2">
      <c r="B51" s="174">
        <v>37</v>
      </c>
      <c r="C51" s="175">
        <v>37</v>
      </c>
      <c r="D51" s="176" t="s">
        <v>157</v>
      </c>
      <c r="E51" s="177" t="s">
        <v>8</v>
      </c>
      <c r="F51" s="178"/>
      <c r="G51" s="179"/>
      <c r="H51" s="247"/>
      <c r="I51" s="178"/>
      <c r="J51" s="213"/>
      <c r="K51" s="2" t="str">
        <f t="shared" si="1"/>
        <v>PROPONENTE No. 37 SEGURIDAD SCANNER LTDA</v>
      </c>
    </row>
    <row r="52" spans="2:11" x14ac:dyDescent="0.2">
      <c r="B52" s="174">
        <v>38</v>
      </c>
      <c r="C52" s="175">
        <v>38</v>
      </c>
      <c r="D52" s="176">
        <v>38</v>
      </c>
      <c r="E52" s="177" t="s">
        <v>8</v>
      </c>
      <c r="F52" s="178"/>
      <c r="G52" s="179"/>
      <c r="H52" s="247"/>
      <c r="I52" s="178"/>
      <c r="J52" s="213"/>
    </row>
    <row r="53" spans="2:11" ht="5.25" customHeight="1" thickBot="1" x14ac:dyDescent="0.25">
      <c r="B53" s="284"/>
      <c r="C53" s="285"/>
      <c r="D53" s="285"/>
      <c r="E53" s="285"/>
      <c r="F53" s="54"/>
      <c r="G53" s="58"/>
      <c r="H53" s="54"/>
      <c r="I53" s="54"/>
      <c r="J53" s="213"/>
    </row>
    <row r="54" spans="2:11" ht="13.5" thickTop="1" x14ac:dyDescent="0.2">
      <c r="B54" s="278" t="s">
        <v>18</v>
      </c>
      <c r="C54" s="279"/>
      <c r="D54" s="180" t="s">
        <v>8</v>
      </c>
      <c r="E54" s="50">
        <f>COUNTIF($E$15:$E$52,D54)</f>
        <v>38</v>
      </c>
      <c r="F54" s="69"/>
      <c r="G54" s="250"/>
      <c r="H54" s="70"/>
      <c r="I54" s="70"/>
    </row>
    <row r="55" spans="2:11" x14ac:dyDescent="0.2">
      <c r="B55" s="280"/>
      <c r="C55" s="281"/>
      <c r="D55" s="181" t="s">
        <v>7</v>
      </c>
      <c r="E55" s="51">
        <f>COUNTIF($E$15:$E$52,D55)</f>
        <v>0</v>
      </c>
      <c r="F55" s="53"/>
      <c r="G55" s="58"/>
      <c r="H55" s="54"/>
      <c r="I55" s="54"/>
    </row>
    <row r="56" spans="2:11" x14ac:dyDescent="0.2">
      <c r="B56" s="280"/>
      <c r="C56" s="281"/>
      <c r="D56" s="182" t="s">
        <v>12</v>
      </c>
      <c r="E56" s="77">
        <f>COUNTIF($E$15:$E$52,D56)</f>
        <v>0</v>
      </c>
      <c r="F56" s="53"/>
      <c r="G56" s="58"/>
      <c r="H56" s="54"/>
      <c r="I56" s="54"/>
    </row>
    <row r="57" spans="2:11" ht="13.5" thickBot="1" x14ac:dyDescent="0.25">
      <c r="B57" s="282"/>
      <c r="C57" s="283"/>
      <c r="D57" s="183" t="s">
        <v>39</v>
      </c>
      <c r="E57" s="52">
        <f>SUM(E54:E56)</f>
        <v>38</v>
      </c>
      <c r="F57" s="55"/>
      <c r="G57" s="251"/>
      <c r="H57" s="56"/>
      <c r="I57" s="56"/>
    </row>
    <row r="58" spans="2:11" ht="13.5" thickTop="1" x14ac:dyDescent="0.2"/>
  </sheetData>
  <sheetProtection selectLockedCells="1"/>
  <mergeCells count="16">
    <mergeCell ref="B54:C57"/>
    <mergeCell ref="B4:I4"/>
    <mergeCell ref="B53:E53"/>
    <mergeCell ref="D12:D13"/>
    <mergeCell ref="B12:B13"/>
    <mergeCell ref="E12:E13"/>
    <mergeCell ref="F12:G12"/>
    <mergeCell ref="C12:C13"/>
    <mergeCell ref="I12:I13"/>
    <mergeCell ref="B10:G10"/>
    <mergeCell ref="B11:G11"/>
    <mergeCell ref="B1:G1"/>
    <mergeCell ref="B2:G2"/>
    <mergeCell ref="B3:G3"/>
    <mergeCell ref="B5:G5"/>
    <mergeCell ref="B7:G7"/>
  </mergeCells>
  <phoneticPr fontId="0" type="noConversion"/>
  <conditionalFormatting sqref="B15:I52">
    <cfRule type="expression" dxfId="143" priority="26">
      <formula>MOD(ROW(),2)</formula>
    </cfRule>
  </conditionalFormatting>
  <conditionalFormatting sqref="E55">
    <cfRule type="cellIs" dxfId="142" priority="9" operator="greaterThan">
      <formula>0</formula>
    </cfRule>
  </conditionalFormatting>
  <conditionalFormatting sqref="E15:E52">
    <cfRule type="cellIs" dxfId="141" priority="6" operator="equal">
      <formula>"RECHAZO"</formula>
    </cfRule>
    <cfRule type="cellIs" dxfId="140" priority="7" operator="equal">
      <formula>"NO ADMISIBLE"</formula>
    </cfRule>
    <cfRule type="cellIs" dxfId="139" priority="8" operator="equal">
      <formula>"ADMISIBLE"</formula>
    </cfRule>
  </conditionalFormatting>
  <dataValidations count="1">
    <dataValidation type="list" allowBlank="1" showInputMessage="1" showErrorMessage="1" sqref="E15:E52">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
&amp;A&amp;C&amp;P de &amp;N&amp;R&amp;9INSTITUTO NACIONAL DE VIAS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XP112"/>
  <sheetViews>
    <sheetView showGridLines="0" tabSelected="1" topLeftCell="A10" zoomScale="80" zoomScaleNormal="80" zoomScaleSheetLayoutView="55" workbookViewId="0">
      <pane xSplit="5" ySplit="3" topLeftCell="F13" activePane="bottomRight" state="frozen"/>
      <selection activeCell="A10" sqref="A10"/>
      <selection pane="topRight" activeCell="F10" sqref="F10"/>
      <selection pane="bottomLeft" activeCell="A13" sqref="A13"/>
      <selection pane="bottomRight" activeCell="BB14" sqref="BB14"/>
    </sheetView>
  </sheetViews>
  <sheetFormatPr baseColWidth="10" defaultColWidth="0" defaultRowHeight="12.75" x14ac:dyDescent="0.2"/>
  <cols>
    <col min="1" max="1" width="2.7109375" style="2" customWidth="1"/>
    <col min="2" max="2" width="5.140625" style="14" customWidth="1"/>
    <col min="3" max="3" width="45.7109375" style="2" customWidth="1"/>
    <col min="4" max="4" width="13.5703125" style="2" customWidth="1"/>
    <col min="5" max="5" width="24.7109375" style="2" customWidth="1"/>
    <col min="6" max="6" width="24.7109375" style="12" customWidth="1"/>
    <col min="7" max="7" width="21.140625" style="12" customWidth="1"/>
    <col min="8" max="8" width="21.140625" style="15" customWidth="1"/>
    <col min="9" max="9" width="24.7109375" customWidth="1"/>
    <col min="10" max="11" width="21.140625" customWidth="1"/>
    <col min="12" max="12" width="24.7109375" customWidth="1"/>
    <col min="13" max="14" width="21.140625" customWidth="1"/>
    <col min="15" max="15" width="24.7109375" customWidth="1"/>
    <col min="16" max="17" width="21.140625" customWidth="1"/>
    <col min="18" max="18" width="24.7109375" customWidth="1"/>
    <col min="19" max="20" width="21.140625" customWidth="1"/>
    <col min="21" max="21" width="24.7109375" customWidth="1"/>
    <col min="22" max="23" width="21.140625" customWidth="1"/>
    <col min="24" max="24" width="24.7109375" customWidth="1"/>
    <col min="25" max="26" width="21.140625" customWidth="1"/>
    <col min="27" max="27" width="24.7109375" customWidth="1"/>
    <col min="28" max="29" width="21.140625" customWidth="1"/>
    <col min="30" max="30" width="24.7109375" customWidth="1"/>
    <col min="31" max="32" width="21.140625" customWidth="1"/>
    <col min="33" max="33" width="24.7109375" customWidth="1"/>
    <col min="34" max="35" width="21.140625" customWidth="1"/>
    <col min="36" max="36" width="24.7109375" customWidth="1"/>
    <col min="37" max="38" width="21.140625" customWidth="1"/>
    <col min="39" max="39" width="24.7109375" customWidth="1"/>
    <col min="40" max="41" width="21.140625" customWidth="1"/>
    <col min="42" max="42" width="24.7109375" customWidth="1"/>
    <col min="43" max="44" width="21.140625" customWidth="1"/>
    <col min="45" max="45" width="24.7109375" customWidth="1"/>
    <col min="46" max="47" width="21.140625" customWidth="1"/>
    <col min="48" max="48" width="24.7109375" customWidth="1"/>
    <col min="49" max="50" width="21.140625" customWidth="1"/>
    <col min="51" max="51" width="24.7109375" customWidth="1"/>
    <col min="52" max="53" width="21.140625" customWidth="1"/>
    <col min="54" max="54" width="24.7109375" customWidth="1"/>
    <col min="55" max="56" width="21.140625" customWidth="1"/>
    <col min="57" max="57" width="24.7109375" customWidth="1"/>
    <col min="58" max="59" width="21.140625" customWidth="1"/>
    <col min="60" max="60" width="24.7109375" customWidth="1"/>
    <col min="61" max="62" width="21.140625" customWidth="1"/>
    <col min="63" max="63" width="24.7109375" customWidth="1"/>
    <col min="64" max="65" width="21.140625" customWidth="1"/>
    <col min="66" max="66" width="24.7109375" customWidth="1"/>
    <col min="67" max="68" width="21.140625" customWidth="1"/>
    <col min="69" max="69" width="24.7109375" customWidth="1"/>
    <col min="70" max="71" width="21.140625" customWidth="1"/>
    <col min="72" max="72" width="24.7109375" customWidth="1"/>
    <col min="73" max="74" width="21.140625" customWidth="1"/>
    <col min="75" max="75" width="24.7109375" customWidth="1"/>
    <col min="76" max="77" width="21.140625" customWidth="1"/>
    <col min="78" max="78" width="24.7109375" customWidth="1"/>
    <col min="79" max="80" width="21.140625" customWidth="1"/>
    <col min="81" max="81" width="24.7109375" customWidth="1"/>
    <col min="82" max="83" width="21.140625" customWidth="1"/>
    <col min="84" max="84" width="24.7109375" customWidth="1"/>
    <col min="85" max="86" width="21.140625" customWidth="1"/>
    <col min="87" max="90" width="24.7109375" customWidth="1"/>
    <col min="91" max="92" width="21.140625" customWidth="1"/>
    <col min="93" max="93" width="24.7109375" customWidth="1"/>
    <col min="94" max="95" width="21.140625" customWidth="1"/>
    <col min="96" max="96" width="24.7109375" customWidth="1"/>
    <col min="97" max="98" width="21.140625" customWidth="1"/>
    <col min="99" max="99" width="24.7109375" customWidth="1"/>
    <col min="100" max="101" width="21.140625" customWidth="1"/>
    <col min="102" max="102" width="24.7109375" customWidth="1"/>
    <col min="103" max="104" width="21.140625" customWidth="1"/>
    <col min="105" max="105" width="24.7109375" customWidth="1"/>
    <col min="106" max="107" width="21.140625" customWidth="1"/>
    <col min="108" max="108" width="24.7109375" customWidth="1"/>
    <col min="109" max="110" width="21.140625" customWidth="1"/>
    <col min="111" max="111" width="24.7109375" customWidth="1"/>
    <col min="112" max="113" width="21.140625" customWidth="1"/>
    <col min="114" max="114" width="24.7109375" customWidth="1"/>
    <col min="115" max="116" width="21.140625" customWidth="1"/>
    <col min="117" max="117" width="16.5703125" customWidth="1"/>
    <col min="118" max="121" width="11.42578125" style="2" hidden="1" customWidth="1"/>
    <col min="122" max="633" width="0" style="2" hidden="1" customWidth="1"/>
    <col min="634" max="640" width="11.42578125" style="2" hidden="1" customWidth="1"/>
    <col min="641" max="16384" width="0" style="2" hidden="1"/>
  </cols>
  <sheetData>
    <row r="1" spans="1:117" s="30" customFormat="1" ht="20.100000000000001" customHeight="1" x14ac:dyDescent="0.25">
      <c r="A1" s="31"/>
      <c r="B1" s="276" t="str">
        <f>RESUMEN!B1</f>
        <v>AGENCIA NACIONAL DE INFRAESTUCTURA</v>
      </c>
      <c r="C1" s="276"/>
      <c r="D1" s="276"/>
      <c r="E1" s="276"/>
      <c r="F1" s="32"/>
      <c r="G1" s="31"/>
      <c r="H1" s="33"/>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row>
    <row r="2" spans="1:117" s="30" customFormat="1" ht="20.100000000000001" customHeight="1" x14ac:dyDescent="0.25">
      <c r="A2" s="31"/>
      <c r="B2" s="277"/>
      <c r="C2" s="277"/>
      <c r="D2" s="277"/>
      <c r="E2" s="277"/>
      <c r="F2" s="32"/>
      <c r="G2" s="31"/>
      <c r="H2" s="33"/>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row>
    <row r="3" spans="1:117" s="30" customFormat="1" ht="20.100000000000001" customHeight="1" x14ac:dyDescent="0.25">
      <c r="A3" s="31"/>
      <c r="B3" s="277" t="str">
        <f>RESUMEN!B3</f>
        <v>GIT DE CONTRATACIÓN</v>
      </c>
      <c r="C3" s="277"/>
      <c r="D3" s="277"/>
      <c r="E3" s="277"/>
      <c r="F3" s="32"/>
      <c r="G3" s="226"/>
      <c r="H3" s="3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row>
    <row r="4" spans="1:117" s="30" customFormat="1" ht="20.100000000000001" customHeight="1" x14ac:dyDescent="0.25">
      <c r="A4" s="31"/>
      <c r="B4" s="277"/>
      <c r="C4" s="277"/>
      <c r="D4" s="277"/>
      <c r="E4" s="277"/>
      <c r="F4" s="32"/>
      <c r="G4" s="227"/>
      <c r="H4" s="33"/>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row>
    <row r="5" spans="1:117" s="30" customFormat="1" ht="20.100000000000001" customHeight="1" x14ac:dyDescent="0.25">
      <c r="A5" s="31"/>
      <c r="B5" s="277" t="str">
        <f>RESUMEN!B5</f>
        <v>SELECCIÓN ABREVIADA DE MENOR CUANTÍA No. VJ-VAF-SA-009-2016</v>
      </c>
      <c r="C5" s="277"/>
      <c r="D5" s="277"/>
      <c r="E5" s="277"/>
      <c r="F5" s="32"/>
      <c r="G5" s="31"/>
      <c r="H5" s="33"/>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row>
    <row r="6" spans="1:117" s="30" customFormat="1" ht="18.75" x14ac:dyDescent="0.25">
      <c r="A6" s="31"/>
      <c r="B6" s="45"/>
      <c r="C6" s="28"/>
      <c r="D6" s="28"/>
      <c r="E6" s="28"/>
      <c r="F6" s="32"/>
      <c r="G6" s="31"/>
      <c r="H6" s="3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row>
    <row r="7" spans="1:117" s="30" customFormat="1" ht="36.75" customHeight="1" x14ac:dyDescent="0.25">
      <c r="A7" s="31"/>
      <c r="B7" s="277" t="str">
        <f>RESUMEN!B7</f>
        <v>OBJETO: PRESTAR EL SERVICIO DE VIGILANCIA Y SEGURIDAD PRIVADA DE LA AGENCIA NACIONAL DE INFRAESTRUCTURA, UBICADAS EN LA CALLE 24A NO. 59 - 42 TORRE 4 PISOS 2, 6, 7 Y TORRE 3 PISO 8 DE LA CIUDAD DE BOGOTÁ</v>
      </c>
      <c r="C7" s="277"/>
      <c r="D7" s="277"/>
      <c r="E7" s="277"/>
      <c r="F7" s="32"/>
      <c r="G7" s="31"/>
      <c r="H7" s="3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row>
    <row r="8" spans="1:117" s="30" customFormat="1" ht="18.75" x14ac:dyDescent="0.25">
      <c r="A8" s="31"/>
      <c r="B8" s="45"/>
      <c r="C8" s="28"/>
      <c r="D8" s="28"/>
      <c r="E8" s="28"/>
      <c r="F8" s="32"/>
      <c r="G8" s="31"/>
      <c r="H8" s="3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row>
    <row r="9" spans="1:117" s="16" customFormat="1" ht="13.5" thickBot="1" x14ac:dyDescent="0.25">
      <c r="A9" s="20"/>
      <c r="B9" s="296" t="s">
        <v>85</v>
      </c>
      <c r="C9" s="296"/>
      <c r="D9" s="296"/>
      <c r="E9" s="296"/>
      <c r="F9" s="24"/>
      <c r="G9" s="23"/>
      <c r="H9" s="23"/>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row>
    <row r="10" spans="1:117" s="8" customFormat="1" ht="20.100000000000001" customHeight="1" thickTop="1" thickBot="1" x14ac:dyDescent="0.25">
      <c r="A10" s="17"/>
      <c r="B10" s="46"/>
      <c r="C10" s="18"/>
      <c r="D10" s="19"/>
      <c r="E10" s="25"/>
      <c r="F10" s="299" t="str">
        <f>RESUMEN!$E$15</f>
        <v>ADMISIBLE</v>
      </c>
      <c r="G10" s="299"/>
      <c r="H10" s="299"/>
      <c r="I10" s="299" t="str">
        <f>RESUMEN!$E$16</f>
        <v>ADMISIBLE</v>
      </c>
      <c r="J10" s="299"/>
      <c r="K10" s="299"/>
      <c r="L10" s="299" t="str">
        <f>RESUMEN!$E$17</f>
        <v>ADMISIBLE</v>
      </c>
      <c r="M10" s="299"/>
      <c r="N10" s="299"/>
      <c r="O10" s="299" t="str">
        <f>RESUMEN!$E$18</f>
        <v>ADMISIBLE</v>
      </c>
      <c r="P10" s="299"/>
      <c r="Q10" s="299"/>
      <c r="R10" s="299" t="str">
        <f>RESUMEN!$E$19</f>
        <v>ADMISIBLE</v>
      </c>
      <c r="S10" s="299"/>
      <c r="T10" s="299"/>
      <c r="U10" s="299" t="str">
        <f>RESUMEN!$E$20</f>
        <v>ADMISIBLE</v>
      </c>
      <c r="V10" s="299"/>
      <c r="W10" s="299"/>
      <c r="X10" s="299" t="str">
        <f>RESUMEN!$E$21</f>
        <v>ADMISIBLE</v>
      </c>
      <c r="Y10" s="299"/>
      <c r="Z10" s="299"/>
      <c r="AA10" s="299" t="str">
        <f>RESUMEN!$E$22</f>
        <v>ADMISIBLE</v>
      </c>
      <c r="AB10" s="299"/>
      <c r="AC10" s="299"/>
      <c r="AD10" s="299" t="str">
        <f>RESUMEN!$E$23</f>
        <v>ADMISIBLE</v>
      </c>
      <c r="AE10" s="299"/>
      <c r="AF10" s="299"/>
      <c r="AG10" s="299" t="str">
        <f>RESUMEN!$E$24</f>
        <v>ADMISIBLE</v>
      </c>
      <c r="AH10" s="299"/>
      <c r="AI10" s="299"/>
      <c r="AJ10" s="299" t="str">
        <f>RESUMEN!$E$25</f>
        <v>ADMISIBLE</v>
      </c>
      <c r="AK10" s="299"/>
      <c r="AL10" s="299"/>
      <c r="AM10" s="299" t="str">
        <f>RESUMEN!$E$26</f>
        <v>ADMISIBLE</v>
      </c>
      <c r="AN10" s="299"/>
      <c r="AO10" s="299"/>
      <c r="AP10" s="299" t="str">
        <f>RESUMEN!$E$27</f>
        <v>ADMISIBLE</v>
      </c>
      <c r="AQ10" s="299"/>
      <c r="AR10" s="299"/>
      <c r="AS10" s="299" t="str">
        <f>RESUMEN!$E$28</f>
        <v>ADMISIBLE</v>
      </c>
      <c r="AT10" s="299"/>
      <c r="AU10" s="299"/>
      <c r="AV10" s="299" t="str">
        <f>RESUMEN!$E$29</f>
        <v>ADMISIBLE</v>
      </c>
      <c r="AW10" s="299"/>
      <c r="AX10" s="299"/>
      <c r="AY10" s="299" t="str">
        <f>RESUMEN!$E$30</f>
        <v>ADMISIBLE</v>
      </c>
      <c r="AZ10" s="299"/>
      <c r="BA10" s="299"/>
      <c r="BB10" s="299" t="str">
        <f>RESUMEN!$E$31</f>
        <v>ADMISIBLE</v>
      </c>
      <c r="BC10" s="299"/>
      <c r="BD10" s="299"/>
      <c r="BE10" s="299" t="str">
        <f>RESUMEN!$E$32</f>
        <v>ADMISIBLE</v>
      </c>
      <c r="BF10" s="299"/>
      <c r="BG10" s="299"/>
      <c r="BH10" s="299" t="str">
        <f>RESUMEN!$E$33</f>
        <v>ADMISIBLE</v>
      </c>
      <c r="BI10" s="299"/>
      <c r="BJ10" s="299"/>
      <c r="BK10" s="299" t="str">
        <f>RESUMEN!$E$34</f>
        <v>ADMISIBLE</v>
      </c>
      <c r="BL10" s="299"/>
      <c r="BM10" s="299"/>
      <c r="BN10" s="299" t="str">
        <f>RESUMEN!$E$35</f>
        <v>ADMISIBLE</v>
      </c>
      <c r="BO10" s="299"/>
      <c r="BP10" s="299"/>
      <c r="BQ10" s="299" t="str">
        <f>RESUMEN!$E$36</f>
        <v>ADMISIBLE</v>
      </c>
      <c r="BR10" s="299"/>
      <c r="BS10" s="299"/>
      <c r="BT10" s="299" t="str">
        <f>RESUMEN!$E$37</f>
        <v>ADMISIBLE</v>
      </c>
      <c r="BU10" s="299"/>
      <c r="BV10" s="299"/>
      <c r="BW10" s="299" t="str">
        <f>RESUMEN!$E$38</f>
        <v>ADMISIBLE</v>
      </c>
      <c r="BX10" s="299"/>
      <c r="BY10" s="299"/>
      <c r="BZ10" s="299" t="str">
        <f>RESUMEN!$E$39</f>
        <v>ADMISIBLE</v>
      </c>
      <c r="CA10" s="299"/>
      <c r="CB10" s="299"/>
      <c r="CC10" s="299" t="str">
        <f>RESUMEN!$E$40</f>
        <v>ADMISIBLE</v>
      </c>
      <c r="CD10" s="299"/>
      <c r="CE10" s="299"/>
      <c r="CF10" s="299" t="str">
        <f>RESUMEN!$E$41</f>
        <v>ADMISIBLE</v>
      </c>
      <c r="CG10" s="299"/>
      <c r="CH10" s="299"/>
      <c r="CI10" s="299" t="str">
        <f>RESUMEN!$E$42</f>
        <v>ADMISIBLE</v>
      </c>
      <c r="CJ10" s="299"/>
      <c r="CK10" s="299"/>
      <c r="CL10" s="299" t="str">
        <f>RESUMEN!$E$43</f>
        <v>ADMISIBLE</v>
      </c>
      <c r="CM10" s="299"/>
      <c r="CN10" s="299"/>
      <c r="CO10" s="299" t="str">
        <f>RESUMEN!$E$44</f>
        <v>ADMISIBLE</v>
      </c>
      <c r="CP10" s="299"/>
      <c r="CQ10" s="299"/>
      <c r="CR10" s="299" t="str">
        <f>RESUMEN!$E$45</f>
        <v>ADMISIBLE</v>
      </c>
      <c r="CS10" s="299"/>
      <c r="CT10" s="299"/>
      <c r="CU10" s="299" t="str">
        <f>RESUMEN!$E$46</f>
        <v>ADMISIBLE</v>
      </c>
      <c r="CV10" s="299"/>
      <c r="CW10" s="299"/>
      <c r="CX10" s="299" t="str">
        <f>RESUMEN!$E$47</f>
        <v>ADMISIBLE</v>
      </c>
      <c r="CY10" s="299"/>
      <c r="CZ10" s="299"/>
      <c r="DA10" s="299" t="str">
        <f>RESUMEN!$E$48</f>
        <v>ADMISIBLE</v>
      </c>
      <c r="DB10" s="299"/>
      <c r="DC10" s="299"/>
      <c r="DD10" s="299" t="str">
        <f>RESUMEN!$E$49</f>
        <v>ADMISIBLE</v>
      </c>
      <c r="DE10" s="299"/>
      <c r="DF10" s="299"/>
      <c r="DG10" s="299" t="str">
        <f>RESUMEN!$E$50</f>
        <v>ADMISIBLE</v>
      </c>
      <c r="DH10" s="299"/>
      <c r="DI10" s="299"/>
      <c r="DJ10" s="299" t="str">
        <f>RESUMEN!$E$51</f>
        <v>ADMISIBLE</v>
      </c>
      <c r="DK10" s="299"/>
      <c r="DL10" s="299"/>
      <c r="DM10"/>
    </row>
    <row r="11" spans="1:117" s="9" customFormat="1" ht="20.25" customHeight="1" thickTop="1" x14ac:dyDescent="0.25">
      <c r="A11" s="21"/>
      <c r="B11" s="317"/>
      <c r="C11" s="317"/>
      <c r="D11" s="317"/>
      <c r="E11" s="317"/>
      <c r="F11" s="300">
        <f>RESUMEN!$C$15</f>
        <v>1</v>
      </c>
      <c r="G11" s="300"/>
      <c r="H11" s="300"/>
      <c r="I11" s="300">
        <f>RESUMEN!$C$16</f>
        <v>2</v>
      </c>
      <c r="J11" s="300"/>
      <c r="K11" s="300"/>
      <c r="L11" s="300">
        <f>RESUMEN!$C$17</f>
        <v>3</v>
      </c>
      <c r="M11" s="300"/>
      <c r="N11" s="300"/>
      <c r="O11" s="300">
        <f>RESUMEN!$C$18</f>
        <v>4</v>
      </c>
      <c r="P11" s="300"/>
      <c r="Q11" s="300"/>
      <c r="R11" s="300">
        <f>RESUMEN!$C$19</f>
        <v>5</v>
      </c>
      <c r="S11" s="300"/>
      <c r="T11" s="300"/>
      <c r="U11" s="300">
        <f>RESUMEN!$C$20</f>
        <v>6</v>
      </c>
      <c r="V11" s="300"/>
      <c r="W11" s="300"/>
      <c r="X11" s="300">
        <f>RESUMEN!$C$21</f>
        <v>7</v>
      </c>
      <c r="Y11" s="300"/>
      <c r="Z11" s="300"/>
      <c r="AA11" s="300">
        <f>RESUMEN!$C$22</f>
        <v>8</v>
      </c>
      <c r="AB11" s="300"/>
      <c r="AC11" s="300"/>
      <c r="AD11" s="300">
        <f>RESUMEN!$C$23</f>
        <v>9</v>
      </c>
      <c r="AE11" s="300"/>
      <c r="AF11" s="300"/>
      <c r="AG11" s="300">
        <f>RESUMEN!$C$24</f>
        <v>10</v>
      </c>
      <c r="AH11" s="300"/>
      <c r="AI11" s="300"/>
      <c r="AJ11" s="300">
        <f>RESUMEN!$C$25</f>
        <v>11</v>
      </c>
      <c r="AK11" s="300"/>
      <c r="AL11" s="300"/>
      <c r="AM11" s="300">
        <f>RESUMEN!$C$26</f>
        <v>12</v>
      </c>
      <c r="AN11" s="300"/>
      <c r="AO11" s="300"/>
      <c r="AP11" s="300">
        <f>RESUMEN!$C$27</f>
        <v>13</v>
      </c>
      <c r="AQ11" s="300"/>
      <c r="AR11" s="300"/>
      <c r="AS11" s="300">
        <f>RESUMEN!$C$28</f>
        <v>14</v>
      </c>
      <c r="AT11" s="300"/>
      <c r="AU11" s="300"/>
      <c r="AV11" s="300">
        <f>RESUMEN!$C$29</f>
        <v>15</v>
      </c>
      <c r="AW11" s="300"/>
      <c r="AX11" s="300"/>
      <c r="AY11" s="300">
        <f>RESUMEN!$C$30</f>
        <v>16</v>
      </c>
      <c r="AZ11" s="300"/>
      <c r="BA11" s="300"/>
      <c r="BB11" s="300">
        <f>RESUMEN!$C$31</f>
        <v>17</v>
      </c>
      <c r="BC11" s="300"/>
      <c r="BD11" s="300"/>
      <c r="BE11" s="300">
        <f>RESUMEN!$C$32</f>
        <v>18</v>
      </c>
      <c r="BF11" s="300"/>
      <c r="BG11" s="300"/>
      <c r="BH11" s="300">
        <f>RESUMEN!$C$33</f>
        <v>19</v>
      </c>
      <c r="BI11" s="300"/>
      <c r="BJ11" s="300"/>
      <c r="BK11" s="300">
        <f>RESUMEN!$C$34</f>
        <v>20</v>
      </c>
      <c r="BL11" s="300"/>
      <c r="BM11" s="300"/>
      <c r="BN11" s="300">
        <f>RESUMEN!$C$35</f>
        <v>21</v>
      </c>
      <c r="BO11" s="300"/>
      <c r="BP11" s="300"/>
      <c r="BQ11" s="300">
        <f>RESUMEN!$C$36</f>
        <v>22</v>
      </c>
      <c r="BR11" s="300"/>
      <c r="BS11" s="300"/>
      <c r="BT11" s="300">
        <f>RESUMEN!$C$37</f>
        <v>23</v>
      </c>
      <c r="BU11" s="300"/>
      <c r="BV11" s="300"/>
      <c r="BW11" s="300">
        <f>RESUMEN!$C$38</f>
        <v>24</v>
      </c>
      <c r="BX11" s="300"/>
      <c r="BY11" s="300"/>
      <c r="BZ11" s="300">
        <f>RESUMEN!$C$39</f>
        <v>25</v>
      </c>
      <c r="CA11" s="300"/>
      <c r="CB11" s="300"/>
      <c r="CC11" s="300">
        <f>RESUMEN!$C$40</f>
        <v>26</v>
      </c>
      <c r="CD11" s="300"/>
      <c r="CE11" s="300"/>
      <c r="CF11" s="300">
        <f>RESUMEN!$C$41</f>
        <v>27</v>
      </c>
      <c r="CG11" s="300"/>
      <c r="CH11" s="300"/>
      <c r="CI11" s="300">
        <f>RESUMEN!$C$42</f>
        <v>28</v>
      </c>
      <c r="CJ11" s="300"/>
      <c r="CK11" s="300"/>
      <c r="CL11" s="300">
        <f>RESUMEN!$C$43</f>
        <v>29</v>
      </c>
      <c r="CM11" s="300"/>
      <c r="CN11" s="300"/>
      <c r="CO11" s="300">
        <f>RESUMEN!$C$44</f>
        <v>30</v>
      </c>
      <c r="CP11" s="300"/>
      <c r="CQ11" s="300"/>
      <c r="CR11" s="300">
        <f>RESUMEN!$C$45</f>
        <v>31</v>
      </c>
      <c r="CS11" s="300"/>
      <c r="CT11" s="300"/>
      <c r="CU11" s="300">
        <f>RESUMEN!$C$46</f>
        <v>32</v>
      </c>
      <c r="CV11" s="300"/>
      <c r="CW11" s="300"/>
      <c r="CX11" s="300">
        <f>RESUMEN!$C$47</f>
        <v>33</v>
      </c>
      <c r="CY11" s="300"/>
      <c r="CZ11" s="300"/>
      <c r="DA11" s="300">
        <f>RESUMEN!$C$48</f>
        <v>34</v>
      </c>
      <c r="DB11" s="300"/>
      <c r="DC11" s="300"/>
      <c r="DD11" s="300">
        <f>RESUMEN!$C$49</f>
        <v>35</v>
      </c>
      <c r="DE11" s="300"/>
      <c r="DF11" s="300"/>
      <c r="DG11" s="300">
        <f>RESUMEN!$C$50</f>
        <v>36</v>
      </c>
      <c r="DH11" s="300"/>
      <c r="DI11" s="300"/>
      <c r="DJ11" s="300">
        <f>RESUMEN!$C$51</f>
        <v>37</v>
      </c>
      <c r="DK11" s="300"/>
      <c r="DL11" s="300"/>
      <c r="DM11"/>
    </row>
    <row r="12" spans="1:117" s="10" customFormat="1" ht="31.5" customHeight="1" thickBot="1" x14ac:dyDescent="0.25">
      <c r="A12" s="27"/>
      <c r="B12" s="318" t="s">
        <v>0</v>
      </c>
      <c r="C12" s="318"/>
      <c r="D12" s="318"/>
      <c r="E12" s="318"/>
      <c r="F12" s="298" t="str">
        <f>RESUMEN!$D$15</f>
        <v>VIGIAS DE COLOMBIA SRL LTDA</v>
      </c>
      <c r="G12" s="298"/>
      <c r="H12" s="298"/>
      <c r="I12" s="298" t="str">
        <f>RESUMEN!$D$16</f>
        <v>MEGASEGURIDAD LA PROVEEDORA LTDA</v>
      </c>
      <c r="J12" s="298"/>
      <c r="K12" s="298"/>
      <c r="L12" s="298" t="str">
        <f>RESUMEN!$D$17</f>
        <v>VIGILANCIA Y SEGURIDAD CELTAS LTDA</v>
      </c>
      <c r="M12" s="298"/>
      <c r="N12" s="298"/>
      <c r="O12" s="298" t="str">
        <f>RESUMEN!$D$18</f>
        <v>UNION TEMPORAL ANI SEGURA</v>
      </c>
      <c r="P12" s="298"/>
      <c r="Q12" s="298"/>
      <c r="R12" s="298" t="str">
        <f>RESUMEN!$D$19</f>
        <v>COVISUR DE COLOMBIA LTDA</v>
      </c>
      <c r="S12" s="298"/>
      <c r="T12" s="298"/>
      <c r="U12" s="298" t="str">
        <f>RESUMEN!$D$20</f>
        <v>SEGURIDAD NUEVA ERA LTDA</v>
      </c>
      <c r="V12" s="298"/>
      <c r="W12" s="298"/>
      <c r="X12" s="301" t="str">
        <f>RESUMEN!$D$21</f>
        <v>UNION TEMPORAL MP ANI 2016</v>
      </c>
      <c r="Y12" s="301"/>
      <c r="Z12" s="301"/>
      <c r="AA12" s="298" t="str">
        <f>RESUMEN!$D$22</f>
        <v>COMPAÑÍA DE SEGURIDAD PRIVADA SERSECOL LTDA</v>
      </c>
      <c r="AB12" s="298"/>
      <c r="AC12" s="298"/>
      <c r="AD12" s="298" t="str">
        <f>RESUMEN!$D$23</f>
        <v>SEGURIDAD ATEMPI LTDA</v>
      </c>
      <c r="AE12" s="298"/>
      <c r="AF12" s="298"/>
      <c r="AG12" s="298" t="str">
        <f>RESUMEN!$D$24</f>
        <v>SU OPORTUNO SERVICIO LTDA</v>
      </c>
      <c r="AH12" s="298"/>
      <c r="AI12" s="298"/>
      <c r="AJ12" s="301" t="str">
        <f>RESUMEN!$D$25</f>
        <v>INTERGLOBAL SEGURIDAD Y VIGILANCIA LTDA</v>
      </c>
      <c r="AK12" s="301"/>
      <c r="AL12" s="301"/>
      <c r="AM12" s="298" t="str">
        <f>RESUMEN!$D$26</f>
        <v>ZONA DE SEGURIDAD LDTA</v>
      </c>
      <c r="AN12" s="298"/>
      <c r="AO12" s="298"/>
      <c r="AP12" s="298" t="str">
        <f>RESUMEN!$D$27</f>
        <v>ACON SECURITY LIMITADA</v>
      </c>
      <c r="AQ12" s="298"/>
      <c r="AR12" s="298"/>
      <c r="AS12" s="298" t="str">
        <f>RESUMEN!$D$28</f>
        <v>UNION TEMPORAL ESTATAL-IVAEST 2016</v>
      </c>
      <c r="AT12" s="298"/>
      <c r="AU12" s="298"/>
      <c r="AV12" s="298" t="str">
        <f>RESUMEN!$D$29</f>
        <v>SERVISION DE COLOMBIA Y CIA LTDA</v>
      </c>
      <c r="AW12" s="298"/>
      <c r="AX12" s="298"/>
      <c r="AY12" s="298" t="str">
        <f>RESUMEN!$D$30</f>
        <v>SEGURIDAD Y VIGILANCIA SERVICONCEL LTDA</v>
      </c>
      <c r="AZ12" s="298"/>
      <c r="BA12" s="298"/>
      <c r="BB12" s="298" t="str">
        <f>RESUMEN!$D$31</f>
        <v>COOPERTAIVA DE VIGILANCIA Y SERVICIOS DE BUCARAMANGA CTA - COOVIAM CTA</v>
      </c>
      <c r="BC12" s="298"/>
      <c r="BD12" s="298"/>
      <c r="BE12" s="298" t="str">
        <f>RESUMEN!$D$32</f>
        <v>SERACIS LTDA</v>
      </c>
      <c r="BF12" s="298"/>
      <c r="BG12" s="298"/>
      <c r="BH12" s="298" t="str">
        <f>RESUMEN!$D$33</f>
        <v>SEGURIDAD EL PENTAGONO COLOMBIANO LIMTADA SEPECOL LTDA</v>
      </c>
      <c r="BI12" s="298"/>
      <c r="BJ12" s="298"/>
      <c r="BK12" s="298" t="str">
        <f>RESUMEN!$D$34</f>
        <v>COMPAÑÍA DE SERVICIOS DE VIGILANCIA PRIVADA PORTILLA Y PORTILLA - COSERVIPP LTDA</v>
      </c>
      <c r="BL12" s="298"/>
      <c r="BM12" s="298"/>
      <c r="BN12" s="298" t="str">
        <f>RESUMEN!$D$35</f>
        <v>HELAM SEGURIDAD LTDA</v>
      </c>
      <c r="BO12" s="298"/>
      <c r="BP12" s="298"/>
      <c r="BQ12" s="298" t="str">
        <f>RESUMEN!$D$36</f>
        <v>INTERCOM SECURITY DE COLOMBIA LTDA</v>
      </c>
      <c r="BR12" s="298"/>
      <c r="BS12" s="298"/>
      <c r="BT12" s="298" t="str">
        <f>RESUMEN!$D$37</f>
        <v>SEGURIDAD CENTRAL LIMITADA</v>
      </c>
      <c r="BU12" s="298"/>
      <c r="BV12" s="298"/>
      <c r="BW12" s="301" t="str">
        <f>RESUMEN!$D$38</f>
        <v>AUTENTICA SEGURIDAD LTDA</v>
      </c>
      <c r="BX12" s="301"/>
      <c r="BY12" s="301"/>
      <c r="BZ12" s="298" t="str">
        <f>RESUMEN!$D$39</f>
        <v>COMPAÑÍA DE SEGURIDAD NACIONAL COMSENAL LTDA</v>
      </c>
      <c r="CA12" s="298"/>
      <c r="CB12" s="298"/>
      <c r="CC12" s="298" t="str">
        <f>RESUMEN!$D$40</f>
        <v>CUSTODIAR LIMITADA</v>
      </c>
      <c r="CD12" s="298"/>
      <c r="CE12" s="298"/>
      <c r="CF12" s="298" t="str">
        <f>RESUMEN!$D$41</f>
        <v>SEGURIDAD DIGITAL LTDA</v>
      </c>
      <c r="CG12" s="298"/>
      <c r="CH12" s="298"/>
      <c r="CI12" s="298" t="str">
        <f>RESUMEN!$D$42</f>
        <v>SEGURIDAD DE COLOMBIA LTDA</v>
      </c>
      <c r="CJ12" s="298"/>
      <c r="CK12" s="298"/>
      <c r="CL12" s="298" t="str">
        <f>RESUMEN!$D$43</f>
        <v>JM SECURITY ADVISORS LTDA</v>
      </c>
      <c r="CM12" s="298"/>
      <c r="CN12" s="298"/>
      <c r="CO12" s="298" t="str">
        <f>RESUMEN!$D$44</f>
        <v>LIRA SEGURIDAD LTDA</v>
      </c>
      <c r="CP12" s="298"/>
      <c r="CQ12" s="298"/>
      <c r="CR12" s="298" t="str">
        <f>RESUMEN!$D$45</f>
        <v>COMPAÑÍA DE VIGILANCIA Y SEGURIDAD PRIVADA ANUBIS LTDA</v>
      </c>
      <c r="CS12" s="298"/>
      <c r="CT12" s="298"/>
      <c r="CU12" s="298" t="str">
        <f>RESUMEN!$D$46</f>
        <v>WEST ARMY SECURITY LTDA</v>
      </c>
      <c r="CV12" s="298"/>
      <c r="CW12" s="298"/>
      <c r="CX12" s="298" t="str">
        <f>RESUMEN!$D$47</f>
        <v>GCSI GRUPO COLOMBIANO DE SEGURIDAD INTEGRAL ADVISEGAR LTDA SEGURIDAD PRIVADA</v>
      </c>
      <c r="CY12" s="298"/>
      <c r="CZ12" s="298"/>
      <c r="DA12" s="298" t="str">
        <f>RESUMEN!$D$48</f>
        <v>CUIDAR LIMITADA</v>
      </c>
      <c r="DB12" s="298"/>
      <c r="DC12" s="298"/>
      <c r="DD12" s="298" t="str">
        <f>RESUMEN!$D$49</f>
        <v>UNION TEMPORAL A360</v>
      </c>
      <c r="DE12" s="298"/>
      <c r="DF12" s="298"/>
      <c r="DG12" s="298" t="str">
        <f>RESUMEN!$D$50</f>
        <v>SEGURIDAD SELECTA LTDA</v>
      </c>
      <c r="DH12" s="298"/>
      <c r="DI12" s="298"/>
      <c r="DJ12" s="298" t="str">
        <f>RESUMEN!$D$51</f>
        <v>SEGURIDAD SCANNER LTDA</v>
      </c>
      <c r="DK12" s="298"/>
      <c r="DL12" s="298"/>
      <c r="DM12"/>
    </row>
    <row r="13" spans="1:117" ht="52.5" customHeight="1" thickBot="1" x14ac:dyDescent="0.25">
      <c r="A13" s="11"/>
      <c r="B13" s="229" t="s">
        <v>10</v>
      </c>
      <c r="C13" s="230" t="s">
        <v>116</v>
      </c>
      <c r="D13" s="231" t="s">
        <v>6</v>
      </c>
      <c r="E13" s="233" t="s">
        <v>117</v>
      </c>
      <c r="F13" s="265" t="s">
        <v>117</v>
      </c>
      <c r="G13" s="230" t="s">
        <v>1</v>
      </c>
      <c r="H13" s="232" t="s">
        <v>2</v>
      </c>
      <c r="I13" s="265" t="s">
        <v>117</v>
      </c>
      <c r="J13" s="230" t="s">
        <v>1</v>
      </c>
      <c r="K13" s="232" t="s">
        <v>2</v>
      </c>
      <c r="L13" s="265" t="s">
        <v>117</v>
      </c>
      <c r="M13" s="230" t="s">
        <v>1</v>
      </c>
      <c r="N13" s="232" t="s">
        <v>2</v>
      </c>
      <c r="O13" s="265" t="s">
        <v>117</v>
      </c>
      <c r="P13" s="230" t="s">
        <v>1</v>
      </c>
      <c r="Q13" s="232" t="s">
        <v>2</v>
      </c>
      <c r="R13" s="265" t="s">
        <v>117</v>
      </c>
      <c r="S13" s="230" t="s">
        <v>1</v>
      </c>
      <c r="T13" s="232" t="s">
        <v>2</v>
      </c>
      <c r="U13" s="265" t="s">
        <v>117</v>
      </c>
      <c r="V13" s="230" t="s">
        <v>1</v>
      </c>
      <c r="W13" s="232" t="s">
        <v>2</v>
      </c>
      <c r="X13" s="265" t="s">
        <v>117</v>
      </c>
      <c r="Y13" s="230" t="s">
        <v>1</v>
      </c>
      <c r="Z13" s="232" t="s">
        <v>2</v>
      </c>
      <c r="AA13" s="265" t="s">
        <v>117</v>
      </c>
      <c r="AB13" s="230" t="s">
        <v>1</v>
      </c>
      <c r="AC13" s="232" t="s">
        <v>2</v>
      </c>
      <c r="AD13" s="265" t="s">
        <v>117</v>
      </c>
      <c r="AE13" s="230" t="s">
        <v>1</v>
      </c>
      <c r="AF13" s="232" t="s">
        <v>2</v>
      </c>
      <c r="AG13" s="265" t="s">
        <v>117</v>
      </c>
      <c r="AH13" s="230" t="s">
        <v>1</v>
      </c>
      <c r="AI13" s="232" t="s">
        <v>2</v>
      </c>
      <c r="AJ13" s="265" t="s">
        <v>117</v>
      </c>
      <c r="AK13" s="230" t="s">
        <v>1</v>
      </c>
      <c r="AL13" s="232" t="s">
        <v>2</v>
      </c>
      <c r="AM13" s="265" t="s">
        <v>117</v>
      </c>
      <c r="AN13" s="230" t="s">
        <v>1</v>
      </c>
      <c r="AO13" s="232" t="s">
        <v>2</v>
      </c>
      <c r="AP13" s="265" t="s">
        <v>117</v>
      </c>
      <c r="AQ13" s="230" t="s">
        <v>1</v>
      </c>
      <c r="AR13" s="232" t="s">
        <v>2</v>
      </c>
      <c r="AS13" s="265" t="s">
        <v>117</v>
      </c>
      <c r="AT13" s="230" t="s">
        <v>1</v>
      </c>
      <c r="AU13" s="232" t="s">
        <v>2</v>
      </c>
      <c r="AV13" s="265" t="s">
        <v>117</v>
      </c>
      <c r="AW13" s="230" t="s">
        <v>1</v>
      </c>
      <c r="AX13" s="232" t="s">
        <v>2</v>
      </c>
      <c r="AY13" s="265" t="s">
        <v>117</v>
      </c>
      <c r="AZ13" s="230" t="s">
        <v>1</v>
      </c>
      <c r="BA13" s="232" t="s">
        <v>2</v>
      </c>
      <c r="BB13" s="265" t="s">
        <v>117</v>
      </c>
      <c r="BC13" s="230" t="s">
        <v>1</v>
      </c>
      <c r="BD13" s="232" t="s">
        <v>2</v>
      </c>
      <c r="BE13" s="265" t="s">
        <v>117</v>
      </c>
      <c r="BF13" s="230" t="s">
        <v>1</v>
      </c>
      <c r="BG13" s="232" t="s">
        <v>2</v>
      </c>
      <c r="BH13" s="265" t="s">
        <v>117</v>
      </c>
      <c r="BI13" s="230" t="s">
        <v>1</v>
      </c>
      <c r="BJ13" s="232" t="s">
        <v>2</v>
      </c>
      <c r="BK13" s="265" t="s">
        <v>117</v>
      </c>
      <c r="BL13" s="230" t="s">
        <v>1</v>
      </c>
      <c r="BM13" s="232" t="s">
        <v>2</v>
      </c>
      <c r="BN13" s="265" t="s">
        <v>117</v>
      </c>
      <c r="BO13" s="230" t="s">
        <v>1</v>
      </c>
      <c r="BP13" s="232" t="s">
        <v>2</v>
      </c>
      <c r="BQ13" s="265" t="s">
        <v>117</v>
      </c>
      <c r="BR13" s="230" t="s">
        <v>1</v>
      </c>
      <c r="BS13" s="232" t="s">
        <v>2</v>
      </c>
      <c r="BT13" s="265" t="s">
        <v>117</v>
      </c>
      <c r="BU13" s="230" t="s">
        <v>1</v>
      </c>
      <c r="BV13" s="232" t="s">
        <v>2</v>
      </c>
      <c r="BW13" s="265" t="s">
        <v>117</v>
      </c>
      <c r="BX13" s="230" t="s">
        <v>1</v>
      </c>
      <c r="BY13" s="232" t="s">
        <v>2</v>
      </c>
      <c r="BZ13" s="265" t="s">
        <v>117</v>
      </c>
      <c r="CA13" s="230" t="s">
        <v>1</v>
      </c>
      <c r="CB13" s="232" t="s">
        <v>2</v>
      </c>
      <c r="CC13" s="265" t="s">
        <v>117</v>
      </c>
      <c r="CD13" s="230" t="s">
        <v>1</v>
      </c>
      <c r="CE13" s="232" t="s">
        <v>2</v>
      </c>
      <c r="CF13" s="265" t="s">
        <v>117</v>
      </c>
      <c r="CG13" s="230" t="s">
        <v>1</v>
      </c>
      <c r="CH13" s="232" t="s">
        <v>2</v>
      </c>
      <c r="CI13" s="265" t="s">
        <v>117</v>
      </c>
      <c r="CJ13" s="230" t="s">
        <v>1</v>
      </c>
      <c r="CK13" s="232" t="s">
        <v>2</v>
      </c>
      <c r="CL13" s="265" t="s">
        <v>117</v>
      </c>
      <c r="CM13" s="230" t="s">
        <v>1</v>
      </c>
      <c r="CN13" s="232" t="s">
        <v>2</v>
      </c>
      <c r="CO13" s="265" t="s">
        <v>117</v>
      </c>
      <c r="CP13" s="230" t="s">
        <v>1</v>
      </c>
      <c r="CQ13" s="232" t="s">
        <v>2</v>
      </c>
      <c r="CR13" s="265" t="s">
        <v>117</v>
      </c>
      <c r="CS13" s="230" t="s">
        <v>1</v>
      </c>
      <c r="CT13" s="232" t="s">
        <v>2</v>
      </c>
      <c r="CU13" s="265" t="s">
        <v>117</v>
      </c>
      <c r="CV13" s="230" t="s">
        <v>1</v>
      </c>
      <c r="CW13" s="232" t="s">
        <v>2</v>
      </c>
      <c r="CX13" s="265" t="s">
        <v>117</v>
      </c>
      <c r="CY13" s="230" t="s">
        <v>1</v>
      </c>
      <c r="CZ13" s="232" t="s">
        <v>2</v>
      </c>
      <c r="DA13" s="265" t="s">
        <v>117</v>
      </c>
      <c r="DB13" s="230" t="s">
        <v>1</v>
      </c>
      <c r="DC13" s="232" t="s">
        <v>2</v>
      </c>
      <c r="DD13" s="265" t="s">
        <v>117</v>
      </c>
      <c r="DE13" s="230" t="s">
        <v>1</v>
      </c>
      <c r="DF13" s="232" t="s">
        <v>2</v>
      </c>
      <c r="DG13" s="265" t="s">
        <v>117</v>
      </c>
      <c r="DH13" s="230" t="s">
        <v>1</v>
      </c>
      <c r="DI13" s="232" t="s">
        <v>2</v>
      </c>
      <c r="DJ13" s="265" t="s">
        <v>117</v>
      </c>
      <c r="DK13" s="230" t="s">
        <v>1</v>
      </c>
      <c r="DL13" s="232" t="s">
        <v>2</v>
      </c>
    </row>
    <row r="14" spans="1:117" ht="42" customHeight="1" x14ac:dyDescent="0.2">
      <c r="A14" s="11"/>
      <c r="B14" s="184">
        <v>1</v>
      </c>
      <c r="C14" s="185" t="s">
        <v>118</v>
      </c>
      <c r="D14" s="264">
        <v>2</v>
      </c>
      <c r="E14" s="186">
        <v>4106962</v>
      </c>
      <c r="F14" s="220">
        <v>3974480</v>
      </c>
      <c r="G14" s="187">
        <f>ROUND(F14,0)</f>
        <v>3974480</v>
      </c>
      <c r="H14" s="188" t="str">
        <f>+IF(F14&gt;0,IF(F14&gt;$E14,"NO VÁLIDA","VÁLIDA"),"NO VÁLIDA")</f>
        <v>VÁLIDA</v>
      </c>
      <c r="I14" s="220">
        <v>3974480</v>
      </c>
      <c r="J14" s="187">
        <f t="shared" ref="J14:AN16" si="0">ROUND(I14,0)</f>
        <v>3974480</v>
      </c>
      <c r="K14" s="188" t="str">
        <f t="shared" ref="K14:K16" si="1">+IF(I14&gt;0,IF(I14&gt;$E14,"NO VÁLIDA","VÁLIDA"),"NO VÁLIDA")</f>
        <v>VÁLIDA</v>
      </c>
      <c r="L14" s="220">
        <v>3974480</v>
      </c>
      <c r="M14" s="187">
        <f t="shared" ref="M14" si="2">ROUND(L14,0)</f>
        <v>3974480</v>
      </c>
      <c r="N14" s="188" t="str">
        <f t="shared" ref="N14:N16" si="3">+IF(L14&gt;0,IF(L14&gt;$E14,"NO VÁLIDA","VÁLIDA"),"NO VÁLIDA")</f>
        <v>VÁLIDA</v>
      </c>
      <c r="O14" s="220">
        <v>4024480</v>
      </c>
      <c r="P14" s="187">
        <f t="shared" ref="P14" si="4">ROUND(O14,0)</f>
        <v>4024480</v>
      </c>
      <c r="Q14" s="188" t="str">
        <f t="shared" ref="Q14:Q16" si="5">+IF(O14&gt;0,IF(O14&gt;$E14,"NO VÁLIDA","VÁLIDA"),"NO VÁLIDA")</f>
        <v>VÁLIDA</v>
      </c>
      <c r="R14" s="220">
        <v>3974481</v>
      </c>
      <c r="S14" s="187">
        <f t="shared" ref="S14" si="6">ROUND(R14,0)</f>
        <v>3974481</v>
      </c>
      <c r="T14" s="188" t="str">
        <f t="shared" ref="T14:T16" si="7">+IF(R14&gt;0,IF(R14&gt;$E14,"NO VÁLIDA","VÁLIDA"),"NO VÁLIDA")</f>
        <v>VÁLIDA</v>
      </c>
      <c r="U14" s="220">
        <v>3974481</v>
      </c>
      <c r="V14" s="187">
        <f t="shared" ref="V14" si="8">ROUND(U14,0)</f>
        <v>3974481</v>
      </c>
      <c r="W14" s="188" t="str">
        <f t="shared" ref="W14:W16" si="9">+IF(U14&gt;0,IF(U14&gt;$E14,"NO VÁLIDA","VÁLIDA"),"NO VÁLIDA")</f>
        <v>VÁLIDA</v>
      </c>
      <c r="X14" s="220">
        <v>3974481</v>
      </c>
      <c r="Y14" s="187">
        <f t="shared" ref="Y14" si="10">ROUND(X14,0)</f>
        <v>3974481</v>
      </c>
      <c r="Z14" s="188" t="str">
        <f t="shared" ref="Z14:Z16" si="11">+IF(X14&gt;0,IF(X14&gt;$E14,"NO VÁLIDA","VÁLIDA"),"NO VÁLIDA")</f>
        <v>VÁLIDA</v>
      </c>
      <c r="AA14" s="220">
        <v>3974480</v>
      </c>
      <c r="AB14" s="187">
        <f t="shared" ref="AB14" si="12">ROUND(AA14,0)</f>
        <v>3974480</v>
      </c>
      <c r="AC14" s="188" t="str">
        <f t="shared" ref="AC14:AC16" si="13">+IF(AA14&gt;0,IF(AA14&gt;$E14,"NO VÁLIDA","VÁLIDA"),"NO VÁLIDA")</f>
        <v>VÁLIDA</v>
      </c>
      <c r="AD14" s="220">
        <v>4082307</v>
      </c>
      <c r="AE14" s="187">
        <f t="shared" ref="AE14" si="14">ROUND(AD14,0)</f>
        <v>4082307</v>
      </c>
      <c r="AF14" s="188" t="str">
        <f t="shared" ref="AF14:AF16" si="15">+IF(AD14&gt;0,IF(AD14&gt;$E14,"NO VÁLIDA","VÁLIDA"),"NO VÁLIDA")</f>
        <v>VÁLIDA</v>
      </c>
      <c r="AG14" s="220">
        <v>4050000</v>
      </c>
      <c r="AH14" s="187">
        <f t="shared" ref="AH14" si="16">ROUND(AG14,0)</f>
        <v>4050000</v>
      </c>
      <c r="AI14" s="188" t="str">
        <f t="shared" ref="AI14:AI16" si="17">+IF(AG14&gt;0,IF(AG14&gt;$E14,"NO VÁLIDA","VÁLIDA"),"NO VÁLIDA")</f>
        <v>VÁLIDA</v>
      </c>
      <c r="AJ14" s="220">
        <v>3974480</v>
      </c>
      <c r="AK14" s="187">
        <f t="shared" ref="AK14" si="18">ROUND(AJ14,0)</f>
        <v>3974480</v>
      </c>
      <c r="AL14" s="188" t="str">
        <f t="shared" ref="AL14:AL16" si="19">+IF(AJ14&gt;0,IF(AJ14&gt;$E14,"NO VÁLIDA","VÁLIDA"),"NO VÁLIDA")</f>
        <v>VÁLIDA</v>
      </c>
      <c r="AM14" s="220">
        <v>4106036</v>
      </c>
      <c r="AN14" s="187">
        <f t="shared" ref="AN14" si="20">ROUND(AM14,0)</f>
        <v>4106036</v>
      </c>
      <c r="AO14" s="188" t="str">
        <f t="shared" ref="AO14:AO16" si="21">+IF(AM14&gt;0,IF(AM14&gt;$E14,"NO VÁLIDA","VÁLIDA"),"NO VÁLIDA")</f>
        <v>VÁLIDA</v>
      </c>
      <c r="AP14" s="220">
        <v>3974480</v>
      </c>
      <c r="AQ14" s="187">
        <f t="shared" ref="AQ14:BU16" si="22">ROUND(AP14,0)</f>
        <v>3974480</v>
      </c>
      <c r="AR14" s="188" t="str">
        <f t="shared" ref="AR14:AR16" si="23">+IF(AP14&gt;0,IF(AP14&gt;$E14,"NO VÁLIDA","VÁLIDA"),"NO VÁLIDA")</f>
        <v>VÁLIDA</v>
      </c>
      <c r="AS14" s="220">
        <v>4106962</v>
      </c>
      <c r="AT14" s="187">
        <f t="shared" ref="AT14" si="24">ROUND(AS14,0)</f>
        <v>4106962</v>
      </c>
      <c r="AU14" s="188" t="str">
        <f t="shared" ref="AU14:AU16" si="25">+IF(AS14&gt;0,IF(AS14&gt;$E14,"NO VÁLIDA","VÁLIDA"),"NO VÁLIDA")</f>
        <v>VÁLIDA</v>
      </c>
      <c r="AV14" s="220">
        <v>3974480</v>
      </c>
      <c r="AW14" s="187">
        <f t="shared" ref="AW14" si="26">ROUND(AV14,0)</f>
        <v>3974480</v>
      </c>
      <c r="AX14" s="188" t="str">
        <f t="shared" ref="AX14:AX16" si="27">+IF(AV14&gt;0,IF(AV14&gt;$E14,"NO VÁLIDA","VÁLIDA"),"NO VÁLIDA")</f>
        <v>VÁLIDA</v>
      </c>
      <c r="AY14" s="220">
        <v>3974481</v>
      </c>
      <c r="AZ14" s="187">
        <f t="shared" ref="AZ14" si="28">ROUND(AY14,0)</f>
        <v>3974481</v>
      </c>
      <c r="BA14" s="188" t="str">
        <f t="shared" ref="BA14:BA16" si="29">+IF(AY14&gt;0,IF(AY14&gt;$E14,"NO VÁLIDA","VÁLIDA"),"NO VÁLIDA")</f>
        <v>VÁLIDA</v>
      </c>
      <c r="BB14" s="275">
        <v>3577033</v>
      </c>
      <c r="BC14" s="187">
        <f t="shared" ref="BC14" si="30">ROUND(BB14,0)</f>
        <v>3577033</v>
      </c>
      <c r="BD14" s="188" t="str">
        <f t="shared" ref="BD14:BD16" si="31">+IF(BB14&gt;0,IF(BB14&gt;$E14,"NO VÁLIDA","VÁLIDA"),"NO VÁLIDA")</f>
        <v>VÁLIDA</v>
      </c>
      <c r="BE14" s="220">
        <v>3976308</v>
      </c>
      <c r="BF14" s="187">
        <f t="shared" ref="BF14" si="32">ROUND(BE14,0)</f>
        <v>3976308</v>
      </c>
      <c r="BG14" s="188" t="str">
        <f t="shared" ref="BG14:BG16" si="33">+IF(BE14&gt;0,IF(BE14&gt;$E14,"NO VÁLIDA","VÁLIDA"),"NO VÁLIDA")</f>
        <v>VÁLIDA</v>
      </c>
      <c r="BH14" s="220">
        <v>3974480</v>
      </c>
      <c r="BI14" s="187">
        <f t="shared" ref="BI14" si="34">ROUND(BH14,0)</f>
        <v>3974480</v>
      </c>
      <c r="BJ14" s="188" t="str">
        <f t="shared" ref="BJ14:BJ16" si="35">+IF(BH14&gt;0,IF(BH14&gt;$E14,"NO VÁLIDA","VÁLIDA"),"NO VÁLIDA")</f>
        <v>VÁLIDA</v>
      </c>
      <c r="BK14" s="220">
        <v>3974480</v>
      </c>
      <c r="BL14" s="187">
        <f t="shared" ref="BL14" si="36">ROUND(BK14,0)</f>
        <v>3974480</v>
      </c>
      <c r="BM14" s="188" t="str">
        <f t="shared" ref="BM14:BM16" si="37">+IF(BK14&gt;0,IF(BK14&gt;$E14,"NO VÁLIDA","VÁLIDA"),"NO VÁLIDA")</f>
        <v>VÁLIDA</v>
      </c>
      <c r="BN14" s="220">
        <v>3974482</v>
      </c>
      <c r="BO14" s="187">
        <f t="shared" ref="BO14" si="38">ROUND(BN14,0)</f>
        <v>3974482</v>
      </c>
      <c r="BP14" s="188" t="str">
        <f t="shared" ref="BP14:BP16" si="39">+IF(BN14&gt;0,IF(BN14&gt;$E14,"NO VÁLIDA","VÁLIDA"),"NO VÁLIDA")</f>
        <v>VÁLIDA</v>
      </c>
      <c r="BQ14" s="220">
        <v>3974480</v>
      </c>
      <c r="BR14" s="187">
        <f t="shared" ref="BR14" si="40">ROUND(BQ14,0)</f>
        <v>3974480</v>
      </c>
      <c r="BS14" s="188" t="str">
        <f t="shared" ref="BS14:BS16" si="41">+IF(BQ14&gt;0,IF(BQ14&gt;$E14,"NO VÁLIDA","VÁLIDA"),"NO VÁLIDA")</f>
        <v>VÁLIDA</v>
      </c>
      <c r="BT14" s="220">
        <v>3974479</v>
      </c>
      <c r="BU14" s="187">
        <f t="shared" ref="BU14" si="42">ROUND(BT14,0)</f>
        <v>3974479</v>
      </c>
      <c r="BV14" s="188" t="str">
        <f t="shared" ref="BV14:BV16" si="43">+IF(BT14&gt;0,IF(BT14&gt;$E14,"NO VÁLIDA","VÁLIDA"),"NO VÁLIDA")</f>
        <v>VÁLIDA</v>
      </c>
      <c r="BW14" s="220">
        <v>3982610</v>
      </c>
      <c r="BX14" s="187">
        <f t="shared" ref="BX14:DK16" si="44">ROUND(BW14,0)</f>
        <v>3982610</v>
      </c>
      <c r="BY14" s="188" t="str">
        <f t="shared" ref="BY14:BY16" si="45">+IF(BW14&gt;0,IF(BW14&gt;$E14,"NO VÁLIDA","VÁLIDA"),"NO VÁLIDA")</f>
        <v>VÁLIDA</v>
      </c>
      <c r="BZ14" s="220">
        <v>3974481</v>
      </c>
      <c r="CA14" s="187">
        <f t="shared" ref="CA14" si="46">ROUND(BZ14,0)</f>
        <v>3974481</v>
      </c>
      <c r="CB14" s="188" t="str">
        <f t="shared" ref="CB14:CB16" si="47">+IF(BZ14&gt;0,IF(BZ14&gt;$E14,"NO VÁLIDA","VÁLIDA"),"NO VÁLIDA")</f>
        <v>VÁLIDA</v>
      </c>
      <c r="CC14" s="220">
        <v>3974480</v>
      </c>
      <c r="CD14" s="187">
        <f t="shared" ref="CD14" si="48">ROUND(CC14,0)</f>
        <v>3974480</v>
      </c>
      <c r="CE14" s="188" t="str">
        <f t="shared" ref="CE14:CE16" si="49">+IF(CC14&gt;0,IF(CC14&gt;$E14,"NO VÁLIDA","VÁLIDA"),"NO VÁLIDA")</f>
        <v>VÁLIDA</v>
      </c>
      <c r="CF14" s="220">
        <v>3974481</v>
      </c>
      <c r="CG14" s="187">
        <f t="shared" ref="CG14" si="50">ROUND(CF14,0)</f>
        <v>3974481</v>
      </c>
      <c r="CH14" s="188" t="str">
        <f t="shared" ref="CH14:CH16" si="51">+IF(CF14&gt;0,IF(CF14&gt;$E14,"NO VÁLIDA","VÁLIDA"),"NO VÁLIDA")</f>
        <v>VÁLIDA</v>
      </c>
      <c r="CI14" s="220">
        <v>3994355</v>
      </c>
      <c r="CJ14" s="187">
        <f t="shared" ref="CJ14" si="52">ROUND(CI14,0)</f>
        <v>3994355</v>
      </c>
      <c r="CK14" s="188" t="str">
        <f t="shared" ref="CK14:CK16" si="53">+IF(CI14&gt;0,IF(CI14&gt;$E14,"NO VÁLIDA","VÁLIDA"),"NO VÁLIDA")</f>
        <v>VÁLIDA</v>
      </c>
      <c r="CL14" s="220">
        <v>3974481</v>
      </c>
      <c r="CM14" s="187">
        <f t="shared" ref="CM14" si="54">ROUND(CL14,0)</f>
        <v>3974481</v>
      </c>
      <c r="CN14" s="188" t="str">
        <f t="shared" ref="CN14:CN16" si="55">+IF(CL14&gt;0,IF(CL14&gt;$E14,"NO VÁLIDA","VÁLIDA"),"NO VÁLIDA")</f>
        <v>VÁLIDA</v>
      </c>
      <c r="CO14" s="220">
        <v>4014226</v>
      </c>
      <c r="CP14" s="187">
        <f t="shared" ref="CP14" si="56">ROUND(CO14,0)</f>
        <v>4014226</v>
      </c>
      <c r="CQ14" s="188" t="str">
        <f t="shared" ref="CQ14:CQ16" si="57">+IF(CO14&gt;0,IF(CO14&gt;$E14,"NO VÁLIDA","VÁLIDA"),"NO VÁLIDA")</f>
        <v>VÁLIDA</v>
      </c>
      <c r="CR14" s="220">
        <v>3974480</v>
      </c>
      <c r="CS14" s="187">
        <f t="shared" ref="CS14" si="58">ROUND(CR14,0)</f>
        <v>3974480</v>
      </c>
      <c r="CT14" s="188" t="str">
        <f t="shared" ref="CT14:CT16" si="59">+IF(CR14&gt;0,IF(CR14&gt;$E14,"NO VÁLIDA","VÁLIDA"),"NO VÁLIDA")</f>
        <v>VÁLIDA</v>
      </c>
      <c r="CU14" s="220">
        <v>3984510</v>
      </c>
      <c r="CV14" s="187">
        <f t="shared" ref="CV14" si="60">ROUND(CU14,0)</f>
        <v>3984510</v>
      </c>
      <c r="CW14" s="188" t="str">
        <f t="shared" ref="CW14:CW16" si="61">+IF(CU14&gt;0,IF(CU14&gt;$E14,"NO VÁLIDA","VÁLIDA"),"NO VÁLIDA")</f>
        <v>VÁLIDA</v>
      </c>
      <c r="CX14" s="220">
        <v>3974481</v>
      </c>
      <c r="CY14" s="187">
        <f t="shared" ref="CY14" si="62">ROUND(CX14,0)</f>
        <v>3974481</v>
      </c>
      <c r="CZ14" s="188" t="str">
        <f t="shared" ref="CZ14:CZ16" si="63">+IF(CX14&gt;0,IF(CX14&gt;$E14,"NO VÁLIDA","VÁLIDA"),"NO VÁLIDA")</f>
        <v>VÁLIDA</v>
      </c>
      <c r="DA14" s="220">
        <v>3974480</v>
      </c>
      <c r="DB14" s="187">
        <f t="shared" ref="DB14" si="64">ROUND(DA14,0)</f>
        <v>3974480</v>
      </c>
      <c r="DC14" s="188" t="str">
        <f t="shared" ref="DC14:DC16" si="65">+IF(DA14&gt;0,IF(DA14&gt;$E14,"NO VÁLIDA","VÁLIDA"),"NO VÁLIDA")</f>
        <v>VÁLIDA</v>
      </c>
      <c r="DD14" s="220">
        <v>3994485</v>
      </c>
      <c r="DE14" s="187">
        <f t="shared" ref="DE14" si="66">ROUND(DD14,0)</f>
        <v>3994485</v>
      </c>
      <c r="DF14" s="188" t="str">
        <f t="shared" ref="DF14:DF16" si="67">+IF(DD14&gt;0,IF(DD14&gt;$E14,"NO VÁLIDA","VÁLIDA"),"NO VÁLIDA")</f>
        <v>VÁLIDA</v>
      </c>
      <c r="DG14" s="220">
        <v>4106234</v>
      </c>
      <c r="DH14" s="187">
        <f t="shared" ref="DH14" si="68">ROUND(DG14,0)</f>
        <v>4106234</v>
      </c>
      <c r="DI14" s="188" t="str">
        <f t="shared" ref="DI14:DI16" si="69">+IF(DG14&gt;0,IF(DG14&gt;$E14,"NO VÁLIDA","VÁLIDA"),"NO VÁLIDA")</f>
        <v>VÁLIDA</v>
      </c>
      <c r="DJ14" s="220">
        <v>4106962</v>
      </c>
      <c r="DK14" s="187">
        <f t="shared" ref="DK14" si="70">ROUND(DJ14,0)</f>
        <v>4106962</v>
      </c>
      <c r="DL14" s="188" t="str">
        <f t="shared" ref="DL14:DL16" si="71">+IF(DJ14&gt;0,IF(DJ14&gt;$E14,"NO VÁLIDA","VÁLIDA"),"NO VÁLIDA")</f>
        <v>VÁLIDA</v>
      </c>
    </row>
    <row r="15" spans="1:117" ht="42" customHeight="1" x14ac:dyDescent="0.2">
      <c r="A15" s="11"/>
      <c r="B15" s="184">
        <v>2</v>
      </c>
      <c r="C15" s="185" t="s">
        <v>119</v>
      </c>
      <c r="D15" s="264">
        <v>4</v>
      </c>
      <c r="E15" s="186">
        <v>26794068</v>
      </c>
      <c r="F15" s="220">
        <v>26629686</v>
      </c>
      <c r="G15" s="187">
        <f t="shared" ref="G15:G16" si="72">ROUND(F15,0)</f>
        <v>26629686</v>
      </c>
      <c r="H15" s="188" t="str">
        <f t="shared" ref="H15:H16" si="73">+IF(F15&gt;0,IF(F15&gt;$E15,"NO VÁLIDA","VÁLIDA"),"NO VÁLIDA")</f>
        <v>VÁLIDA</v>
      </c>
      <c r="I15" s="220">
        <v>26629688</v>
      </c>
      <c r="J15" s="187">
        <f t="shared" si="0"/>
        <v>26629688</v>
      </c>
      <c r="K15" s="188" t="str">
        <f t="shared" si="1"/>
        <v>VÁLIDA</v>
      </c>
      <c r="L15" s="220">
        <v>26629684</v>
      </c>
      <c r="M15" s="187">
        <f t="shared" si="0"/>
        <v>26629684</v>
      </c>
      <c r="N15" s="188" t="str">
        <f t="shared" si="3"/>
        <v>VÁLIDA</v>
      </c>
      <c r="O15" s="220">
        <v>26779686</v>
      </c>
      <c r="P15" s="187">
        <f t="shared" si="0"/>
        <v>26779686</v>
      </c>
      <c r="Q15" s="188" t="str">
        <f t="shared" si="5"/>
        <v>VÁLIDA</v>
      </c>
      <c r="R15" s="220">
        <v>26629686</v>
      </c>
      <c r="S15" s="187">
        <f t="shared" si="0"/>
        <v>26629686</v>
      </c>
      <c r="T15" s="188" t="str">
        <f t="shared" si="7"/>
        <v>VÁLIDA</v>
      </c>
      <c r="U15" s="220">
        <v>26629686</v>
      </c>
      <c r="V15" s="187">
        <f t="shared" si="0"/>
        <v>26629686</v>
      </c>
      <c r="W15" s="188" t="str">
        <f t="shared" si="9"/>
        <v>VÁLIDA</v>
      </c>
      <c r="X15" s="220">
        <v>26629686</v>
      </c>
      <c r="Y15" s="187">
        <f t="shared" si="0"/>
        <v>26629686</v>
      </c>
      <c r="Z15" s="188" t="str">
        <f t="shared" si="11"/>
        <v>VÁLIDA</v>
      </c>
      <c r="AA15" s="220">
        <v>26629684</v>
      </c>
      <c r="AB15" s="187">
        <f t="shared" si="0"/>
        <v>26629684</v>
      </c>
      <c r="AC15" s="188" t="str">
        <f t="shared" si="13"/>
        <v>VÁLIDA</v>
      </c>
      <c r="AD15" s="220">
        <v>26633221</v>
      </c>
      <c r="AE15" s="187">
        <f t="shared" si="0"/>
        <v>26633221</v>
      </c>
      <c r="AF15" s="188" t="str">
        <f t="shared" si="15"/>
        <v>VÁLIDA</v>
      </c>
      <c r="AG15" s="220">
        <v>26800000</v>
      </c>
      <c r="AH15" s="187">
        <f t="shared" si="0"/>
        <v>26800000</v>
      </c>
      <c r="AI15" s="188" t="str">
        <f t="shared" si="17"/>
        <v>NO VÁLIDA</v>
      </c>
      <c r="AJ15" s="220">
        <v>26629688</v>
      </c>
      <c r="AK15" s="187">
        <f t="shared" si="0"/>
        <v>26629688</v>
      </c>
      <c r="AL15" s="188" t="str">
        <f t="shared" si="19"/>
        <v>VÁLIDA</v>
      </c>
      <c r="AM15" s="220">
        <v>26739134</v>
      </c>
      <c r="AN15" s="187">
        <f t="shared" si="0"/>
        <v>26739134</v>
      </c>
      <c r="AO15" s="188" t="str">
        <f t="shared" si="21"/>
        <v>VÁLIDA</v>
      </c>
      <c r="AP15" s="220">
        <v>26629685</v>
      </c>
      <c r="AQ15" s="187">
        <f t="shared" si="22"/>
        <v>26629685</v>
      </c>
      <c r="AR15" s="188" t="str">
        <f t="shared" si="23"/>
        <v>VÁLIDA</v>
      </c>
      <c r="AS15" s="220">
        <v>26794068</v>
      </c>
      <c r="AT15" s="187">
        <f t="shared" si="22"/>
        <v>26794068</v>
      </c>
      <c r="AU15" s="188" t="str">
        <f t="shared" si="25"/>
        <v>VÁLIDA</v>
      </c>
      <c r="AV15" s="220">
        <v>26629686</v>
      </c>
      <c r="AW15" s="187">
        <f t="shared" si="22"/>
        <v>26629686</v>
      </c>
      <c r="AX15" s="188" t="str">
        <f t="shared" si="27"/>
        <v>VÁLIDA</v>
      </c>
      <c r="AY15" s="220">
        <v>26629686</v>
      </c>
      <c r="AZ15" s="187">
        <f t="shared" si="22"/>
        <v>26629686</v>
      </c>
      <c r="BA15" s="188" t="str">
        <f t="shared" si="29"/>
        <v>VÁLIDA</v>
      </c>
      <c r="BB15" s="220">
        <v>23966718</v>
      </c>
      <c r="BC15" s="187">
        <f t="shared" si="22"/>
        <v>23966718</v>
      </c>
      <c r="BD15" s="188" t="str">
        <f t="shared" si="31"/>
        <v>VÁLIDA</v>
      </c>
      <c r="BE15" s="220">
        <v>26641938</v>
      </c>
      <c r="BF15" s="187">
        <f t="shared" si="22"/>
        <v>26641938</v>
      </c>
      <c r="BG15" s="188" t="str">
        <f t="shared" si="33"/>
        <v>VÁLIDA</v>
      </c>
      <c r="BH15" s="220">
        <v>26629688</v>
      </c>
      <c r="BI15" s="187">
        <f t="shared" si="22"/>
        <v>26629688</v>
      </c>
      <c r="BJ15" s="188" t="str">
        <f t="shared" si="35"/>
        <v>VÁLIDA</v>
      </c>
      <c r="BK15" s="220">
        <v>26629688</v>
      </c>
      <c r="BL15" s="187">
        <f t="shared" si="22"/>
        <v>26629688</v>
      </c>
      <c r="BM15" s="188" t="str">
        <f t="shared" si="37"/>
        <v>VÁLIDA</v>
      </c>
      <c r="BN15" s="220">
        <v>26629688</v>
      </c>
      <c r="BO15" s="187">
        <f t="shared" si="22"/>
        <v>26629688</v>
      </c>
      <c r="BP15" s="188" t="str">
        <f t="shared" si="39"/>
        <v>VÁLIDA</v>
      </c>
      <c r="BQ15" s="220">
        <v>26629684</v>
      </c>
      <c r="BR15" s="187">
        <f t="shared" si="22"/>
        <v>26629684</v>
      </c>
      <c r="BS15" s="188" t="str">
        <f t="shared" si="41"/>
        <v>VÁLIDA</v>
      </c>
      <c r="BT15" s="220">
        <v>26629686</v>
      </c>
      <c r="BU15" s="187">
        <f t="shared" si="22"/>
        <v>26629686</v>
      </c>
      <c r="BV15" s="188" t="str">
        <f t="shared" si="43"/>
        <v>VÁLIDA</v>
      </c>
      <c r="BW15" s="220">
        <v>26684156</v>
      </c>
      <c r="BX15" s="187">
        <f t="shared" si="44"/>
        <v>26684156</v>
      </c>
      <c r="BY15" s="188" t="str">
        <f t="shared" si="45"/>
        <v>VÁLIDA</v>
      </c>
      <c r="BZ15" s="220">
        <v>26629686</v>
      </c>
      <c r="CA15" s="187">
        <f t="shared" si="44"/>
        <v>26629686</v>
      </c>
      <c r="CB15" s="188" t="str">
        <f t="shared" si="47"/>
        <v>VÁLIDA</v>
      </c>
      <c r="CC15" s="220">
        <v>26629688</v>
      </c>
      <c r="CD15" s="187">
        <f t="shared" si="44"/>
        <v>26629688</v>
      </c>
      <c r="CE15" s="188" t="str">
        <f t="shared" si="49"/>
        <v>VÁLIDA</v>
      </c>
      <c r="CF15" s="220">
        <v>26629686</v>
      </c>
      <c r="CG15" s="187">
        <f t="shared" si="44"/>
        <v>26629686</v>
      </c>
      <c r="CH15" s="188" t="str">
        <f t="shared" si="51"/>
        <v>VÁLIDA</v>
      </c>
      <c r="CI15" s="220">
        <v>26762846</v>
      </c>
      <c r="CJ15" s="187">
        <f t="shared" si="44"/>
        <v>26762846</v>
      </c>
      <c r="CK15" s="188" t="str">
        <f t="shared" si="53"/>
        <v>VÁLIDA</v>
      </c>
      <c r="CL15" s="220">
        <v>26629686</v>
      </c>
      <c r="CM15" s="187">
        <f t="shared" si="44"/>
        <v>26629686</v>
      </c>
      <c r="CN15" s="188" t="str">
        <f t="shared" si="55"/>
        <v>VÁLIDA</v>
      </c>
      <c r="CO15" s="220">
        <v>26789461</v>
      </c>
      <c r="CP15" s="187">
        <f t="shared" si="44"/>
        <v>26789461</v>
      </c>
      <c r="CQ15" s="188" t="str">
        <f t="shared" si="57"/>
        <v>VÁLIDA</v>
      </c>
      <c r="CR15" s="220">
        <v>26629684</v>
      </c>
      <c r="CS15" s="187">
        <f t="shared" si="44"/>
        <v>26629684</v>
      </c>
      <c r="CT15" s="188" t="str">
        <f t="shared" si="59"/>
        <v>VÁLIDA</v>
      </c>
      <c r="CU15" s="220">
        <v>26642130</v>
      </c>
      <c r="CV15" s="187">
        <f t="shared" si="44"/>
        <v>26642130</v>
      </c>
      <c r="CW15" s="188" t="str">
        <f t="shared" si="61"/>
        <v>VÁLIDA</v>
      </c>
      <c r="CX15" s="220">
        <v>26629686</v>
      </c>
      <c r="CY15" s="187">
        <f t="shared" si="44"/>
        <v>26629686</v>
      </c>
      <c r="CZ15" s="188" t="str">
        <f t="shared" si="63"/>
        <v>VÁLIDA</v>
      </c>
      <c r="DA15" s="220">
        <v>26629688</v>
      </c>
      <c r="DB15" s="187">
        <f t="shared" si="44"/>
        <v>26629688</v>
      </c>
      <c r="DC15" s="188" t="str">
        <f t="shared" si="65"/>
        <v>VÁLIDA</v>
      </c>
      <c r="DD15" s="220">
        <v>26669690</v>
      </c>
      <c r="DE15" s="187">
        <f t="shared" si="44"/>
        <v>26669690</v>
      </c>
      <c r="DF15" s="188" t="str">
        <f t="shared" si="67"/>
        <v>VÁLIDA</v>
      </c>
      <c r="DG15" s="220">
        <v>26792145</v>
      </c>
      <c r="DH15" s="187">
        <f t="shared" si="44"/>
        <v>26792145</v>
      </c>
      <c r="DI15" s="188" t="str">
        <f t="shared" si="69"/>
        <v>VÁLIDA</v>
      </c>
      <c r="DJ15" s="220">
        <v>26794068</v>
      </c>
      <c r="DK15" s="187">
        <f t="shared" si="44"/>
        <v>26794068</v>
      </c>
      <c r="DL15" s="188" t="str">
        <f t="shared" si="71"/>
        <v>VÁLIDA</v>
      </c>
    </row>
    <row r="16" spans="1:117" ht="42" customHeight="1" thickBot="1" x14ac:dyDescent="0.25">
      <c r="A16" s="11"/>
      <c r="B16" s="184">
        <v>3</v>
      </c>
      <c r="C16" s="185" t="s">
        <v>120</v>
      </c>
      <c r="D16" s="264">
        <v>1</v>
      </c>
      <c r="E16" s="186">
        <v>2053481</v>
      </c>
      <c r="F16" s="220">
        <v>1987240</v>
      </c>
      <c r="G16" s="187">
        <f t="shared" si="72"/>
        <v>1987240</v>
      </c>
      <c r="H16" s="188" t="str">
        <f t="shared" si="73"/>
        <v>VÁLIDA</v>
      </c>
      <c r="I16" s="220">
        <v>1987240</v>
      </c>
      <c r="J16" s="187">
        <f t="shared" si="0"/>
        <v>1987240</v>
      </c>
      <c r="K16" s="188" t="str">
        <f t="shared" si="1"/>
        <v>VÁLIDA</v>
      </c>
      <c r="L16" s="220">
        <v>1987240</v>
      </c>
      <c r="M16" s="187">
        <f t="shared" si="0"/>
        <v>1987240</v>
      </c>
      <c r="N16" s="188" t="str">
        <f t="shared" si="3"/>
        <v>VÁLIDA</v>
      </c>
      <c r="O16" s="220">
        <v>2037240</v>
      </c>
      <c r="P16" s="187">
        <f t="shared" si="0"/>
        <v>2037240</v>
      </c>
      <c r="Q16" s="188" t="str">
        <f t="shared" si="5"/>
        <v>VÁLIDA</v>
      </c>
      <c r="R16" s="220">
        <v>2185964</v>
      </c>
      <c r="S16" s="187">
        <f t="shared" si="0"/>
        <v>2185964</v>
      </c>
      <c r="T16" s="188" t="str">
        <f t="shared" si="7"/>
        <v>NO VÁLIDA</v>
      </c>
      <c r="U16" s="220">
        <v>1987240</v>
      </c>
      <c r="V16" s="187">
        <f t="shared" si="0"/>
        <v>1987240</v>
      </c>
      <c r="W16" s="188" t="str">
        <f t="shared" si="9"/>
        <v>VÁLIDA</v>
      </c>
      <c r="X16" s="220">
        <v>1987240</v>
      </c>
      <c r="Y16" s="187">
        <f t="shared" si="0"/>
        <v>1987240</v>
      </c>
      <c r="Z16" s="188" t="str">
        <f t="shared" si="11"/>
        <v>VÁLIDA</v>
      </c>
      <c r="AA16" s="220">
        <v>1987240</v>
      </c>
      <c r="AB16" s="187">
        <f t="shared" si="0"/>
        <v>1987240</v>
      </c>
      <c r="AC16" s="188" t="str">
        <f t="shared" si="13"/>
        <v>VÁLIDA</v>
      </c>
      <c r="AD16" s="220">
        <v>2041154</v>
      </c>
      <c r="AE16" s="187">
        <f t="shared" si="0"/>
        <v>2041154</v>
      </c>
      <c r="AF16" s="188" t="str">
        <f t="shared" si="15"/>
        <v>VÁLIDA</v>
      </c>
      <c r="AG16" s="220">
        <v>2025000</v>
      </c>
      <c r="AH16" s="187">
        <f t="shared" si="0"/>
        <v>2025000</v>
      </c>
      <c r="AI16" s="188" t="str">
        <f t="shared" si="17"/>
        <v>VÁLIDA</v>
      </c>
      <c r="AJ16" s="220">
        <v>1987240</v>
      </c>
      <c r="AK16" s="187">
        <f t="shared" si="0"/>
        <v>1987240</v>
      </c>
      <c r="AL16" s="188" t="str">
        <f t="shared" si="19"/>
        <v>VÁLIDA</v>
      </c>
      <c r="AM16" s="220">
        <v>2053018</v>
      </c>
      <c r="AN16" s="187">
        <f t="shared" si="0"/>
        <v>2053018</v>
      </c>
      <c r="AO16" s="188" t="str">
        <f t="shared" si="21"/>
        <v>VÁLIDA</v>
      </c>
      <c r="AP16" s="220">
        <v>1987240</v>
      </c>
      <c r="AQ16" s="187">
        <f t="shared" si="22"/>
        <v>1987240</v>
      </c>
      <c r="AR16" s="188" t="str">
        <f t="shared" si="23"/>
        <v>VÁLIDA</v>
      </c>
      <c r="AS16" s="220">
        <v>2053481</v>
      </c>
      <c r="AT16" s="187">
        <f t="shared" si="22"/>
        <v>2053481</v>
      </c>
      <c r="AU16" s="188" t="str">
        <f t="shared" si="25"/>
        <v>VÁLIDA</v>
      </c>
      <c r="AV16" s="220">
        <v>1987240</v>
      </c>
      <c r="AW16" s="187">
        <f t="shared" si="22"/>
        <v>1987240</v>
      </c>
      <c r="AX16" s="188" t="str">
        <f t="shared" si="27"/>
        <v>VÁLIDA</v>
      </c>
      <c r="AY16" s="220">
        <v>1987240</v>
      </c>
      <c r="AZ16" s="187">
        <f t="shared" si="22"/>
        <v>1987240</v>
      </c>
      <c r="BA16" s="188" t="str">
        <f t="shared" si="29"/>
        <v>VÁLIDA</v>
      </c>
      <c r="BB16" s="220">
        <v>1967368</v>
      </c>
      <c r="BC16" s="187">
        <f t="shared" si="22"/>
        <v>1967368</v>
      </c>
      <c r="BD16" s="188" t="str">
        <f t="shared" si="31"/>
        <v>VÁLIDA</v>
      </c>
      <c r="BE16" s="220">
        <v>1988154</v>
      </c>
      <c r="BF16" s="187">
        <f t="shared" si="22"/>
        <v>1988154</v>
      </c>
      <c r="BG16" s="188" t="str">
        <f t="shared" si="33"/>
        <v>VÁLIDA</v>
      </c>
      <c r="BH16" s="220">
        <v>1987240</v>
      </c>
      <c r="BI16" s="187">
        <f t="shared" si="22"/>
        <v>1987240</v>
      </c>
      <c r="BJ16" s="188" t="str">
        <f t="shared" si="35"/>
        <v>VÁLIDA</v>
      </c>
      <c r="BK16" s="220">
        <v>1987240</v>
      </c>
      <c r="BL16" s="187">
        <f t="shared" si="22"/>
        <v>1987240</v>
      </c>
      <c r="BM16" s="188" t="str">
        <f t="shared" si="37"/>
        <v>VÁLIDA</v>
      </c>
      <c r="BN16" s="220">
        <v>1987241</v>
      </c>
      <c r="BO16" s="187">
        <f t="shared" si="22"/>
        <v>1987241</v>
      </c>
      <c r="BP16" s="188" t="str">
        <f t="shared" si="39"/>
        <v>VÁLIDA</v>
      </c>
      <c r="BQ16" s="220">
        <v>1987240</v>
      </c>
      <c r="BR16" s="187">
        <f t="shared" si="22"/>
        <v>1987240</v>
      </c>
      <c r="BS16" s="188" t="str">
        <f t="shared" si="41"/>
        <v>VÁLIDA</v>
      </c>
      <c r="BT16" s="220">
        <v>2185964</v>
      </c>
      <c r="BU16" s="187">
        <f t="shared" si="22"/>
        <v>2185964</v>
      </c>
      <c r="BV16" s="188" t="str">
        <f t="shared" si="43"/>
        <v>NO VÁLIDA</v>
      </c>
      <c r="BW16" s="220">
        <v>1991305</v>
      </c>
      <c r="BX16" s="187">
        <f t="shared" si="44"/>
        <v>1991305</v>
      </c>
      <c r="BY16" s="188" t="str">
        <f t="shared" si="45"/>
        <v>VÁLIDA</v>
      </c>
      <c r="BZ16" s="220">
        <v>1987240</v>
      </c>
      <c r="CA16" s="187">
        <f t="shared" si="44"/>
        <v>1987240</v>
      </c>
      <c r="CB16" s="188" t="str">
        <f t="shared" si="47"/>
        <v>VÁLIDA</v>
      </c>
      <c r="CC16" s="220">
        <v>1987240</v>
      </c>
      <c r="CD16" s="187">
        <f t="shared" si="44"/>
        <v>1987240</v>
      </c>
      <c r="CE16" s="188" t="str">
        <f t="shared" si="49"/>
        <v>VÁLIDA</v>
      </c>
      <c r="CF16" s="220">
        <v>2185964</v>
      </c>
      <c r="CG16" s="187">
        <f t="shared" si="44"/>
        <v>2185964</v>
      </c>
      <c r="CH16" s="188" t="str">
        <f t="shared" si="51"/>
        <v>NO VÁLIDA</v>
      </c>
      <c r="CI16" s="220">
        <v>1997178</v>
      </c>
      <c r="CJ16" s="187">
        <f t="shared" si="44"/>
        <v>1997178</v>
      </c>
      <c r="CK16" s="188" t="str">
        <f t="shared" si="53"/>
        <v>VÁLIDA</v>
      </c>
      <c r="CL16" s="220">
        <v>1987240</v>
      </c>
      <c r="CM16" s="187">
        <f t="shared" si="44"/>
        <v>1987240</v>
      </c>
      <c r="CN16" s="188" t="str">
        <f t="shared" si="55"/>
        <v>VÁLIDA</v>
      </c>
      <c r="CO16" s="220">
        <v>2007113</v>
      </c>
      <c r="CP16" s="187">
        <f t="shared" si="44"/>
        <v>2007113</v>
      </c>
      <c r="CQ16" s="188" t="str">
        <f t="shared" si="57"/>
        <v>VÁLIDA</v>
      </c>
      <c r="CR16" s="220">
        <v>1987240</v>
      </c>
      <c r="CS16" s="187">
        <f t="shared" si="44"/>
        <v>1987240</v>
      </c>
      <c r="CT16" s="188" t="str">
        <f t="shared" si="59"/>
        <v>VÁLIDA</v>
      </c>
      <c r="CU16" s="220">
        <v>1992255</v>
      </c>
      <c r="CV16" s="187">
        <f t="shared" si="44"/>
        <v>1992255</v>
      </c>
      <c r="CW16" s="188" t="str">
        <f t="shared" si="61"/>
        <v>VÁLIDA</v>
      </c>
      <c r="CX16" s="220">
        <v>1987240</v>
      </c>
      <c r="CY16" s="187">
        <f t="shared" si="44"/>
        <v>1987240</v>
      </c>
      <c r="CZ16" s="188" t="str">
        <f t="shared" si="63"/>
        <v>VÁLIDA</v>
      </c>
      <c r="DA16" s="220">
        <v>1987240</v>
      </c>
      <c r="DB16" s="187">
        <f t="shared" si="44"/>
        <v>1987240</v>
      </c>
      <c r="DC16" s="188" t="str">
        <f t="shared" si="65"/>
        <v>VÁLIDA</v>
      </c>
      <c r="DD16" s="220">
        <v>1997243</v>
      </c>
      <c r="DE16" s="187">
        <f t="shared" si="44"/>
        <v>1997243</v>
      </c>
      <c r="DF16" s="188" t="str">
        <f t="shared" si="67"/>
        <v>VÁLIDA</v>
      </c>
      <c r="DG16" s="220">
        <v>2053117</v>
      </c>
      <c r="DH16" s="187">
        <f t="shared" si="44"/>
        <v>2053117</v>
      </c>
      <c r="DI16" s="188" t="str">
        <f t="shared" si="69"/>
        <v>VÁLIDA</v>
      </c>
      <c r="DJ16" s="220">
        <v>2053481</v>
      </c>
      <c r="DK16" s="187">
        <f t="shared" si="44"/>
        <v>2053481</v>
      </c>
      <c r="DL16" s="188" t="str">
        <f t="shared" si="71"/>
        <v>VÁLIDA</v>
      </c>
    </row>
    <row r="17" spans="1:117" s="258" customFormat="1" ht="32.25" customHeight="1" thickBot="1" x14ac:dyDescent="0.25">
      <c r="A17" s="252"/>
      <c r="B17" s="189"/>
      <c r="C17" s="190"/>
      <c r="D17" s="191" t="s">
        <v>39</v>
      </c>
      <c r="E17" s="253">
        <f>ROUND(SUM(E14:E16),0)</f>
        <v>32954511</v>
      </c>
      <c r="F17" s="254"/>
      <c r="G17" s="255">
        <f>ROUND(SUM(G14:G16),0)</f>
        <v>32591406</v>
      </c>
      <c r="H17" s="256"/>
      <c r="I17" s="254"/>
      <c r="J17" s="255">
        <f t="shared" ref="J17" si="74">ROUND(SUM(J14:J16),0)</f>
        <v>32591408</v>
      </c>
      <c r="K17" s="256"/>
      <c r="L17" s="254"/>
      <c r="M17" s="255">
        <f t="shared" ref="M17" si="75">ROUND(SUM(M14:M16),0)</f>
        <v>32591404</v>
      </c>
      <c r="N17" s="256"/>
      <c r="O17" s="254"/>
      <c r="P17" s="255">
        <f t="shared" ref="P17" si="76">ROUND(SUM(P14:P16),0)</f>
        <v>32841406</v>
      </c>
      <c r="Q17" s="256"/>
      <c r="R17" s="254"/>
      <c r="S17" s="255">
        <f t="shared" ref="S17" si="77">ROUND(SUM(S14:S16),0)</f>
        <v>32790131</v>
      </c>
      <c r="T17" s="256"/>
      <c r="U17" s="254"/>
      <c r="V17" s="255">
        <f t="shared" ref="V17" si="78">ROUND(SUM(V14:V16),0)</f>
        <v>32591407</v>
      </c>
      <c r="W17" s="256"/>
      <c r="X17" s="254"/>
      <c r="Y17" s="255">
        <f t="shared" ref="Y17" si="79">ROUND(SUM(Y14:Y16),0)</f>
        <v>32591407</v>
      </c>
      <c r="Z17" s="256"/>
      <c r="AA17" s="254"/>
      <c r="AB17" s="255">
        <f t="shared" ref="AB17" si="80">ROUND(SUM(AB14:AB16),0)</f>
        <v>32591404</v>
      </c>
      <c r="AC17" s="256"/>
      <c r="AD17" s="254"/>
      <c r="AE17" s="255">
        <f t="shared" ref="AE17" si="81">ROUND(SUM(AE14:AE16),0)</f>
        <v>32756682</v>
      </c>
      <c r="AF17" s="256"/>
      <c r="AG17" s="254"/>
      <c r="AH17" s="255">
        <f t="shared" ref="AH17" si="82">ROUND(SUM(AH14:AH16),0)</f>
        <v>32875000</v>
      </c>
      <c r="AI17" s="256"/>
      <c r="AJ17" s="254"/>
      <c r="AK17" s="255">
        <f t="shared" ref="AK17" si="83">ROUND(SUM(AK14:AK16),0)</f>
        <v>32591408</v>
      </c>
      <c r="AL17" s="256"/>
      <c r="AM17" s="254"/>
      <c r="AN17" s="255">
        <f t="shared" ref="AN17" si="84">ROUND(SUM(AN14:AN16),0)</f>
        <v>32898188</v>
      </c>
      <c r="AO17" s="256"/>
      <c r="AP17" s="254"/>
      <c r="AQ17" s="255">
        <f t="shared" ref="AQ17" si="85">ROUND(SUM(AQ14:AQ16),0)</f>
        <v>32591405</v>
      </c>
      <c r="AR17" s="256"/>
      <c r="AS17" s="254"/>
      <c r="AT17" s="255">
        <f t="shared" ref="AT17" si="86">ROUND(SUM(AT14:AT16),0)</f>
        <v>32954511</v>
      </c>
      <c r="AU17" s="256"/>
      <c r="AV17" s="254"/>
      <c r="AW17" s="255">
        <f t="shared" ref="AW17" si="87">ROUND(SUM(AW14:AW16),0)</f>
        <v>32591406</v>
      </c>
      <c r="AX17" s="256"/>
      <c r="AY17" s="254"/>
      <c r="AZ17" s="255">
        <f t="shared" ref="AZ17" si="88">ROUND(SUM(AZ14:AZ16),0)</f>
        <v>32591407</v>
      </c>
      <c r="BA17" s="256"/>
      <c r="BB17" s="254"/>
      <c r="BC17" s="255">
        <f t="shared" ref="BC17" si="89">ROUND(SUM(BC14:BC16),0)</f>
        <v>29511119</v>
      </c>
      <c r="BD17" s="256"/>
      <c r="BE17" s="254"/>
      <c r="BF17" s="255">
        <f t="shared" ref="BF17" si="90">ROUND(SUM(BF14:BF16),0)</f>
        <v>32606400</v>
      </c>
      <c r="BG17" s="256"/>
      <c r="BH17" s="254"/>
      <c r="BI17" s="255">
        <f t="shared" ref="BI17" si="91">ROUND(SUM(BI14:BI16),0)</f>
        <v>32591408</v>
      </c>
      <c r="BJ17" s="256"/>
      <c r="BK17" s="254"/>
      <c r="BL17" s="255">
        <f t="shared" ref="BL17" si="92">ROUND(SUM(BL14:BL16),0)</f>
        <v>32591408</v>
      </c>
      <c r="BM17" s="256"/>
      <c r="BN17" s="254"/>
      <c r="BO17" s="255">
        <f t="shared" ref="BO17" si="93">ROUND(SUM(BO14:BO16),0)</f>
        <v>32591411</v>
      </c>
      <c r="BP17" s="256"/>
      <c r="BQ17" s="254"/>
      <c r="BR17" s="255">
        <f t="shared" ref="BR17" si="94">ROUND(SUM(BR14:BR16),0)</f>
        <v>32591404</v>
      </c>
      <c r="BS17" s="256"/>
      <c r="BT17" s="254"/>
      <c r="BU17" s="255">
        <f t="shared" ref="BU17" si="95">ROUND(SUM(BU14:BU16),0)</f>
        <v>32790129</v>
      </c>
      <c r="BV17" s="256"/>
      <c r="BW17" s="254"/>
      <c r="BX17" s="255">
        <f t="shared" ref="BX17" si="96">ROUND(SUM(BX14:BX16),0)</f>
        <v>32658071</v>
      </c>
      <c r="BY17" s="256"/>
      <c r="BZ17" s="254"/>
      <c r="CA17" s="255">
        <f t="shared" ref="CA17" si="97">ROUND(SUM(CA14:CA16),0)</f>
        <v>32591407</v>
      </c>
      <c r="CB17" s="256"/>
      <c r="CC17" s="254"/>
      <c r="CD17" s="255">
        <f t="shared" ref="CD17" si="98">ROUND(SUM(CD14:CD16),0)</f>
        <v>32591408</v>
      </c>
      <c r="CE17" s="256"/>
      <c r="CF17" s="254"/>
      <c r="CG17" s="255">
        <f t="shared" ref="CG17" si="99">ROUND(SUM(CG14:CG16),0)</f>
        <v>32790131</v>
      </c>
      <c r="CH17" s="256"/>
      <c r="CI17" s="254"/>
      <c r="CJ17" s="255">
        <f t="shared" ref="CJ17" si="100">ROUND(SUM(CJ14:CJ16),0)</f>
        <v>32754379</v>
      </c>
      <c r="CK17" s="256"/>
      <c r="CL17" s="254"/>
      <c r="CM17" s="255">
        <f t="shared" ref="CM17" si="101">ROUND(SUM(CM14:CM16),0)</f>
        <v>32591407</v>
      </c>
      <c r="CN17" s="256"/>
      <c r="CO17" s="254"/>
      <c r="CP17" s="255">
        <f t="shared" ref="CP17" si="102">ROUND(SUM(CP14:CP16),0)</f>
        <v>32810800</v>
      </c>
      <c r="CQ17" s="256"/>
      <c r="CR17" s="254"/>
      <c r="CS17" s="255">
        <f t="shared" ref="CS17" si="103">ROUND(SUM(CS14:CS16),0)</f>
        <v>32591404</v>
      </c>
      <c r="CT17" s="256"/>
      <c r="CU17" s="254"/>
      <c r="CV17" s="255">
        <f t="shared" ref="CV17" si="104">ROUND(SUM(CV14:CV16),0)</f>
        <v>32618895</v>
      </c>
      <c r="CW17" s="256"/>
      <c r="CX17" s="254"/>
      <c r="CY17" s="255">
        <f t="shared" ref="CY17" si="105">ROUND(SUM(CY14:CY16),0)</f>
        <v>32591407</v>
      </c>
      <c r="CZ17" s="256"/>
      <c r="DA17" s="254"/>
      <c r="DB17" s="255">
        <f t="shared" ref="DB17" si="106">ROUND(SUM(DB14:DB16),0)</f>
        <v>32591408</v>
      </c>
      <c r="DC17" s="256"/>
      <c r="DD17" s="254"/>
      <c r="DE17" s="255">
        <f t="shared" ref="DE17" si="107">ROUND(SUM(DE14:DE16),0)</f>
        <v>32661418</v>
      </c>
      <c r="DF17" s="256"/>
      <c r="DG17" s="254"/>
      <c r="DH17" s="255">
        <f t="shared" ref="DH17" si="108">ROUND(SUM(DH14:DH16),0)</f>
        <v>32951496</v>
      </c>
      <c r="DI17" s="256"/>
      <c r="DJ17" s="254"/>
      <c r="DK17" s="255">
        <f t="shared" ref="DK17" si="109">ROUND(SUM(DK14:DK16),0)</f>
        <v>32954511</v>
      </c>
      <c r="DL17" s="256"/>
      <c r="DM17" s="257"/>
    </row>
    <row r="18" spans="1:117" s="36" customFormat="1" ht="32.25" customHeight="1" thickBot="1" x14ac:dyDescent="0.25">
      <c r="A18" s="35"/>
      <c r="B18" s="259" t="s">
        <v>121</v>
      </c>
      <c r="C18" s="79"/>
      <c r="D18" s="80"/>
      <c r="E18" s="78">
        <f>ROUND(E17,0)</f>
        <v>32954511</v>
      </c>
      <c r="F18" s="192"/>
      <c r="G18" s="193">
        <f>IF(F10="ADMISIBLE",IF(AND(H18="VÁLIDA",G17&lt;=$E$18,F20=""),G17,"DESCARTADO"),F10)</f>
        <v>32591406</v>
      </c>
      <c r="H18" s="188" t="str">
        <f>IF(COUNTIF(H14:H16,"NO VÁLIDA")&gt;0,"NO VÁLIDA","VÁLIDA")</f>
        <v>VÁLIDA</v>
      </c>
      <c r="I18" s="192"/>
      <c r="J18" s="193">
        <f t="shared" ref="J18" si="110">IF(I10="ADMISIBLE",IF(AND(K18="VÁLIDA",J17&lt;=$E$18,I20=""),J17,"DESCARTADO"),I10)</f>
        <v>32591408</v>
      </c>
      <c r="K18" s="188" t="str">
        <f t="shared" ref="K18" si="111">IF(COUNTIF(K14:K16,"NO VÁLIDA")&gt;0,"NO VÁLIDA","VÁLIDA")</f>
        <v>VÁLIDA</v>
      </c>
      <c r="L18" s="192"/>
      <c r="M18" s="193">
        <f t="shared" ref="M18" si="112">IF(L10="ADMISIBLE",IF(AND(N18="VÁLIDA",M17&lt;=$E$18,L20=""),M17,"DESCARTADO"),L10)</f>
        <v>32591404</v>
      </c>
      <c r="N18" s="188" t="str">
        <f t="shared" ref="N18" si="113">IF(COUNTIF(N14:N16,"NO VÁLIDA")&gt;0,"NO VÁLIDA","VÁLIDA")</f>
        <v>VÁLIDA</v>
      </c>
      <c r="O18" s="192"/>
      <c r="P18" s="193">
        <f t="shared" ref="P18" si="114">IF(O10="ADMISIBLE",IF(AND(Q18="VÁLIDA",P17&lt;=$E$18,O20=""),P17,"DESCARTADO"),O10)</f>
        <v>32841406</v>
      </c>
      <c r="Q18" s="188" t="str">
        <f t="shared" ref="Q18" si="115">IF(COUNTIF(Q14:Q16,"NO VÁLIDA")&gt;0,"NO VÁLIDA","VÁLIDA")</f>
        <v>VÁLIDA</v>
      </c>
      <c r="R18" s="192"/>
      <c r="S18" s="193" t="str">
        <f t="shared" ref="S18" si="116">IF(R10="ADMISIBLE",IF(AND(T18="VÁLIDA",S17&lt;=$E$18,R20=""),S17,"DESCARTADO"),R10)</f>
        <v>DESCARTADO</v>
      </c>
      <c r="T18" s="188" t="str">
        <f t="shared" ref="T18" si="117">IF(COUNTIF(T14:T16,"NO VÁLIDA")&gt;0,"NO VÁLIDA","VÁLIDA")</f>
        <v>NO VÁLIDA</v>
      </c>
      <c r="U18" s="192"/>
      <c r="V18" s="193">
        <f t="shared" ref="V18" si="118">IF(U10="ADMISIBLE",IF(AND(W18="VÁLIDA",V17&lt;=$E$18,U20=""),V17,"DESCARTADO"),U10)</f>
        <v>32591407</v>
      </c>
      <c r="W18" s="188" t="str">
        <f t="shared" ref="W18" si="119">IF(COUNTIF(W14:W16,"NO VÁLIDA")&gt;0,"NO VÁLIDA","VÁLIDA")</f>
        <v>VÁLIDA</v>
      </c>
      <c r="X18" s="192"/>
      <c r="Y18" s="193">
        <f t="shared" ref="Y18" si="120">IF(X10="ADMISIBLE",IF(AND(Z18="VÁLIDA",Y17&lt;=$E$18,X20=""),Y17,"DESCARTADO"),X10)</f>
        <v>32591407</v>
      </c>
      <c r="Z18" s="188" t="str">
        <f t="shared" ref="Z18" si="121">IF(COUNTIF(Z14:Z16,"NO VÁLIDA")&gt;0,"NO VÁLIDA","VÁLIDA")</f>
        <v>VÁLIDA</v>
      </c>
      <c r="AA18" s="192"/>
      <c r="AB18" s="193">
        <f t="shared" ref="AB18" si="122">IF(AA10="ADMISIBLE",IF(AND(AC18="VÁLIDA",AB17&lt;=$E$18,AA20=""),AB17,"DESCARTADO"),AA10)</f>
        <v>32591404</v>
      </c>
      <c r="AC18" s="188" t="str">
        <f t="shared" ref="AC18" si="123">IF(COUNTIF(AC14:AC16,"NO VÁLIDA")&gt;0,"NO VÁLIDA","VÁLIDA")</f>
        <v>VÁLIDA</v>
      </c>
      <c r="AD18" s="192"/>
      <c r="AE18" s="193">
        <f t="shared" ref="AE18" si="124">IF(AD10="ADMISIBLE",IF(AND(AF18="VÁLIDA",AE17&lt;=$E$18,AD20=""),AE17,"DESCARTADO"),AD10)</f>
        <v>32756682</v>
      </c>
      <c r="AF18" s="188" t="str">
        <f t="shared" ref="AF18" si="125">IF(COUNTIF(AF14:AF16,"NO VÁLIDA")&gt;0,"NO VÁLIDA","VÁLIDA")</f>
        <v>VÁLIDA</v>
      </c>
      <c r="AG18" s="192"/>
      <c r="AH18" s="193" t="str">
        <f t="shared" ref="AH18" si="126">IF(AG10="ADMISIBLE",IF(AND(AI18="VÁLIDA",AH17&lt;=$E$18,AG20=""),AH17,"DESCARTADO"),AG10)</f>
        <v>DESCARTADO</v>
      </c>
      <c r="AI18" s="188" t="str">
        <f t="shared" ref="AI18" si="127">IF(COUNTIF(AI14:AI16,"NO VÁLIDA")&gt;0,"NO VÁLIDA","VÁLIDA")</f>
        <v>NO VÁLIDA</v>
      </c>
      <c r="AJ18" s="192"/>
      <c r="AK18" s="193">
        <f t="shared" ref="AK18" si="128">IF(AJ10="ADMISIBLE",IF(AND(AL18="VÁLIDA",AK17&lt;=$E$18,AJ20=""),AK17,"DESCARTADO"),AJ10)</f>
        <v>32591408</v>
      </c>
      <c r="AL18" s="188" t="str">
        <f t="shared" ref="AL18" si="129">IF(COUNTIF(AL14:AL16,"NO VÁLIDA")&gt;0,"NO VÁLIDA","VÁLIDA")</f>
        <v>VÁLIDA</v>
      </c>
      <c r="AM18" s="192"/>
      <c r="AN18" s="193">
        <f t="shared" ref="AN18" si="130">IF(AM10="ADMISIBLE",IF(AND(AO18="VÁLIDA",AN17&lt;=$E$18,AM20=""),AN17,"DESCARTADO"),AM10)</f>
        <v>32898188</v>
      </c>
      <c r="AO18" s="188" t="str">
        <f t="shared" ref="AO18" si="131">IF(COUNTIF(AO14:AO16,"NO VÁLIDA")&gt;0,"NO VÁLIDA","VÁLIDA")</f>
        <v>VÁLIDA</v>
      </c>
      <c r="AP18" s="192"/>
      <c r="AQ18" s="193">
        <f t="shared" ref="AQ18" si="132">IF(AP10="ADMISIBLE",IF(AND(AR18="VÁLIDA",AQ17&lt;=$E$18,AP20=""),AQ17,"DESCARTADO"),AP10)</f>
        <v>32591405</v>
      </c>
      <c r="AR18" s="188" t="str">
        <f t="shared" ref="AR18" si="133">IF(COUNTIF(AR14:AR16,"NO VÁLIDA")&gt;0,"NO VÁLIDA","VÁLIDA")</f>
        <v>VÁLIDA</v>
      </c>
      <c r="AS18" s="192"/>
      <c r="AT18" s="193">
        <f t="shared" ref="AT18" si="134">IF(AS10="ADMISIBLE",IF(AND(AU18="VÁLIDA",AT17&lt;=$E$18,AS20=""),AT17,"DESCARTADO"),AS10)</f>
        <v>32954511</v>
      </c>
      <c r="AU18" s="188" t="str">
        <f t="shared" ref="AU18" si="135">IF(COUNTIF(AU14:AU16,"NO VÁLIDA")&gt;0,"NO VÁLIDA","VÁLIDA")</f>
        <v>VÁLIDA</v>
      </c>
      <c r="AV18" s="192"/>
      <c r="AW18" s="193">
        <f t="shared" ref="AW18" si="136">IF(AV10="ADMISIBLE",IF(AND(AX18="VÁLIDA",AW17&lt;=$E$18,AV20=""),AW17,"DESCARTADO"),AV10)</f>
        <v>32591406</v>
      </c>
      <c r="AX18" s="188" t="str">
        <f t="shared" ref="AX18" si="137">IF(COUNTIF(AX14:AX16,"NO VÁLIDA")&gt;0,"NO VÁLIDA","VÁLIDA")</f>
        <v>VÁLIDA</v>
      </c>
      <c r="AY18" s="192"/>
      <c r="AZ18" s="193">
        <f t="shared" ref="AZ18" si="138">IF(AY10="ADMISIBLE",IF(AND(BA18="VÁLIDA",AZ17&lt;=$E$18,AY20=""),AZ17,"DESCARTADO"),AY10)</f>
        <v>32591407</v>
      </c>
      <c r="BA18" s="188" t="str">
        <f t="shared" ref="BA18" si="139">IF(COUNTIF(BA14:BA16,"NO VÁLIDA")&gt;0,"NO VÁLIDA","VÁLIDA")</f>
        <v>VÁLIDA</v>
      </c>
      <c r="BB18" s="192"/>
      <c r="BC18" s="193" t="str">
        <f t="shared" ref="BC18" si="140">IF(BB10="ADMISIBLE",IF(AND(BD18="VÁLIDA",BC17&lt;=$E$18,BB20=""),BC17,"DESCARTADO"),BB10)</f>
        <v>DESCARTADO</v>
      </c>
      <c r="BD18" s="188" t="str">
        <f t="shared" ref="BD18" si="141">IF(COUNTIF(BD14:BD16,"NO VÁLIDA")&gt;0,"NO VÁLIDA","VÁLIDA")</f>
        <v>VÁLIDA</v>
      </c>
      <c r="BE18" s="192"/>
      <c r="BF18" s="193">
        <f t="shared" ref="BF18" si="142">IF(BE10="ADMISIBLE",IF(AND(BG18="VÁLIDA",BF17&lt;=$E$18,BE20=""),BF17,"DESCARTADO"),BE10)</f>
        <v>32606400</v>
      </c>
      <c r="BG18" s="188" t="str">
        <f t="shared" ref="BG18" si="143">IF(COUNTIF(BG14:BG16,"NO VÁLIDA")&gt;0,"NO VÁLIDA","VÁLIDA")</f>
        <v>VÁLIDA</v>
      </c>
      <c r="BH18" s="192"/>
      <c r="BI18" s="193">
        <f t="shared" ref="BI18" si="144">IF(BH10="ADMISIBLE",IF(AND(BJ18="VÁLIDA",BI17&lt;=$E$18,BH20=""),BI17,"DESCARTADO"),BH10)</f>
        <v>32591408</v>
      </c>
      <c r="BJ18" s="188" t="str">
        <f t="shared" ref="BJ18" si="145">IF(COUNTIF(BJ14:BJ16,"NO VÁLIDA")&gt;0,"NO VÁLIDA","VÁLIDA")</f>
        <v>VÁLIDA</v>
      </c>
      <c r="BK18" s="192"/>
      <c r="BL18" s="193">
        <f t="shared" ref="BL18" si="146">IF(BK10="ADMISIBLE",IF(AND(BM18="VÁLIDA",BL17&lt;=$E$18,BK20=""),BL17,"DESCARTADO"),BK10)</f>
        <v>32591408</v>
      </c>
      <c r="BM18" s="188" t="str">
        <f t="shared" ref="BM18" si="147">IF(COUNTIF(BM14:BM16,"NO VÁLIDA")&gt;0,"NO VÁLIDA","VÁLIDA")</f>
        <v>VÁLIDA</v>
      </c>
      <c r="BN18" s="192"/>
      <c r="BO18" s="193">
        <f t="shared" ref="BO18" si="148">IF(BN10="ADMISIBLE",IF(AND(BP18="VÁLIDA",BO17&lt;=$E$18,BN20=""),BO17,"DESCARTADO"),BN10)</f>
        <v>32591411</v>
      </c>
      <c r="BP18" s="188" t="str">
        <f t="shared" ref="BP18" si="149">IF(COUNTIF(BP14:BP16,"NO VÁLIDA")&gt;0,"NO VÁLIDA","VÁLIDA")</f>
        <v>VÁLIDA</v>
      </c>
      <c r="BQ18" s="192"/>
      <c r="BR18" s="193">
        <f t="shared" ref="BR18" si="150">IF(BQ10="ADMISIBLE",IF(AND(BS18="VÁLIDA",BR17&lt;=$E$18,BQ20=""),BR17,"DESCARTADO"),BQ10)</f>
        <v>32591404</v>
      </c>
      <c r="BS18" s="188" t="str">
        <f t="shared" ref="BS18" si="151">IF(COUNTIF(BS14:BS16,"NO VÁLIDA")&gt;0,"NO VÁLIDA","VÁLIDA")</f>
        <v>VÁLIDA</v>
      </c>
      <c r="BT18" s="192"/>
      <c r="BU18" s="193" t="str">
        <f t="shared" ref="BU18" si="152">IF(BT10="ADMISIBLE",IF(AND(BV18="VÁLIDA",BU17&lt;=$E$18,BT20=""),BU17,"DESCARTADO"),BT10)</f>
        <v>DESCARTADO</v>
      </c>
      <c r="BV18" s="188" t="str">
        <f t="shared" ref="BV18" si="153">IF(COUNTIF(BV14:BV16,"NO VÁLIDA")&gt;0,"NO VÁLIDA","VÁLIDA")</f>
        <v>NO VÁLIDA</v>
      </c>
      <c r="BW18" s="192"/>
      <c r="BX18" s="193">
        <f t="shared" ref="BX18" si="154">IF(BW10="ADMISIBLE",IF(AND(BY18="VÁLIDA",BX17&lt;=$E$18,BW20=""),BX17,"DESCARTADO"),BW10)</f>
        <v>32658071</v>
      </c>
      <c r="BY18" s="188" t="str">
        <f t="shared" ref="BY18" si="155">IF(COUNTIF(BY14:BY16,"NO VÁLIDA")&gt;0,"NO VÁLIDA","VÁLIDA")</f>
        <v>VÁLIDA</v>
      </c>
      <c r="BZ18" s="192"/>
      <c r="CA18" s="193">
        <f t="shared" ref="CA18" si="156">IF(BZ10="ADMISIBLE",IF(AND(CB18="VÁLIDA",CA17&lt;=$E$18,BZ20=""),CA17,"DESCARTADO"),BZ10)</f>
        <v>32591407</v>
      </c>
      <c r="CB18" s="188" t="str">
        <f t="shared" ref="CB18" si="157">IF(COUNTIF(CB14:CB16,"NO VÁLIDA")&gt;0,"NO VÁLIDA","VÁLIDA")</f>
        <v>VÁLIDA</v>
      </c>
      <c r="CC18" s="192"/>
      <c r="CD18" s="193">
        <f t="shared" ref="CD18" si="158">IF(CC10="ADMISIBLE",IF(AND(CE18="VÁLIDA",CD17&lt;=$E$18,CC20=""),CD17,"DESCARTADO"),CC10)</f>
        <v>32591408</v>
      </c>
      <c r="CE18" s="188" t="str">
        <f t="shared" ref="CE18" si="159">IF(COUNTIF(CE14:CE16,"NO VÁLIDA")&gt;0,"NO VÁLIDA","VÁLIDA")</f>
        <v>VÁLIDA</v>
      </c>
      <c r="CF18" s="192"/>
      <c r="CG18" s="193" t="str">
        <f t="shared" ref="CG18" si="160">IF(CF10="ADMISIBLE",IF(AND(CH18="VÁLIDA",CG17&lt;=$E$18,CF20=""),CG17,"DESCARTADO"),CF10)</f>
        <v>DESCARTADO</v>
      </c>
      <c r="CH18" s="188" t="str">
        <f t="shared" ref="CH18" si="161">IF(COUNTIF(CH14:CH16,"NO VÁLIDA")&gt;0,"NO VÁLIDA","VÁLIDA")</f>
        <v>NO VÁLIDA</v>
      </c>
      <c r="CI18" s="192"/>
      <c r="CJ18" s="193">
        <f t="shared" ref="CJ18" si="162">IF(CI10="ADMISIBLE",IF(AND(CK18="VÁLIDA",CJ17&lt;=$E$18,CI20=""),CJ17,"DESCARTADO"),CI10)</f>
        <v>32754379</v>
      </c>
      <c r="CK18" s="188" t="str">
        <f t="shared" ref="CK18" si="163">IF(COUNTIF(CK14:CK16,"NO VÁLIDA")&gt;0,"NO VÁLIDA","VÁLIDA")</f>
        <v>VÁLIDA</v>
      </c>
      <c r="CL18" s="192"/>
      <c r="CM18" s="193">
        <f t="shared" ref="CM18" si="164">IF(CL10="ADMISIBLE",IF(AND(CN18="VÁLIDA",CM17&lt;=$E$18,CL20=""),CM17,"DESCARTADO"),CL10)</f>
        <v>32591407</v>
      </c>
      <c r="CN18" s="188" t="str">
        <f t="shared" ref="CN18" si="165">IF(COUNTIF(CN14:CN16,"NO VÁLIDA")&gt;0,"NO VÁLIDA","VÁLIDA")</f>
        <v>VÁLIDA</v>
      </c>
      <c r="CO18" s="192"/>
      <c r="CP18" s="193">
        <f t="shared" ref="CP18" si="166">IF(CO10="ADMISIBLE",IF(AND(CQ18="VÁLIDA",CP17&lt;=$E$18,CO20=""),CP17,"DESCARTADO"),CO10)</f>
        <v>32810800</v>
      </c>
      <c r="CQ18" s="188" t="str">
        <f t="shared" ref="CQ18" si="167">IF(COUNTIF(CQ14:CQ16,"NO VÁLIDA")&gt;0,"NO VÁLIDA","VÁLIDA")</f>
        <v>VÁLIDA</v>
      </c>
      <c r="CR18" s="192"/>
      <c r="CS18" s="193">
        <f t="shared" ref="CS18" si="168">IF(CR10="ADMISIBLE",IF(AND(CT18="VÁLIDA",CS17&lt;=$E$18,CR20=""),CS17,"DESCARTADO"),CR10)</f>
        <v>32591404</v>
      </c>
      <c r="CT18" s="188" t="str">
        <f t="shared" ref="CT18" si="169">IF(COUNTIF(CT14:CT16,"NO VÁLIDA")&gt;0,"NO VÁLIDA","VÁLIDA")</f>
        <v>VÁLIDA</v>
      </c>
      <c r="CU18" s="192"/>
      <c r="CV18" s="193">
        <f t="shared" ref="CV18" si="170">IF(CU10="ADMISIBLE",IF(AND(CW18="VÁLIDA",CV17&lt;=$E$18,CU20=""),CV17,"DESCARTADO"),CU10)</f>
        <v>32618895</v>
      </c>
      <c r="CW18" s="188" t="str">
        <f t="shared" ref="CW18" si="171">IF(COUNTIF(CW14:CW16,"NO VÁLIDA")&gt;0,"NO VÁLIDA","VÁLIDA")</f>
        <v>VÁLIDA</v>
      </c>
      <c r="CX18" s="192"/>
      <c r="CY18" s="193">
        <f t="shared" ref="CY18" si="172">IF(CX10="ADMISIBLE",IF(AND(CZ18="VÁLIDA",CY17&lt;=$E$18,CX20=""),CY17,"DESCARTADO"),CX10)</f>
        <v>32591407</v>
      </c>
      <c r="CZ18" s="188" t="str">
        <f t="shared" ref="CZ18" si="173">IF(COUNTIF(CZ14:CZ16,"NO VÁLIDA")&gt;0,"NO VÁLIDA","VÁLIDA")</f>
        <v>VÁLIDA</v>
      </c>
      <c r="DA18" s="192"/>
      <c r="DB18" s="193">
        <f t="shared" ref="DB18" si="174">IF(DA10="ADMISIBLE",IF(AND(DC18="VÁLIDA",DB17&lt;=$E$18,DA20=""),DB17,"DESCARTADO"),DA10)</f>
        <v>32591408</v>
      </c>
      <c r="DC18" s="188" t="str">
        <f t="shared" ref="DC18" si="175">IF(COUNTIF(DC14:DC16,"NO VÁLIDA")&gt;0,"NO VÁLIDA","VÁLIDA")</f>
        <v>VÁLIDA</v>
      </c>
      <c r="DD18" s="192"/>
      <c r="DE18" s="193">
        <f t="shared" ref="DE18" si="176">IF(DD10="ADMISIBLE",IF(AND(DF18="VÁLIDA",DE17&lt;=$E$18,DD20=""),DE17,"DESCARTADO"),DD10)</f>
        <v>32661418</v>
      </c>
      <c r="DF18" s="188" t="str">
        <f t="shared" ref="DF18" si="177">IF(COUNTIF(DF14:DF16,"NO VÁLIDA")&gt;0,"NO VÁLIDA","VÁLIDA")</f>
        <v>VÁLIDA</v>
      </c>
      <c r="DG18" s="192"/>
      <c r="DH18" s="193">
        <f t="shared" ref="DH18" si="178">IF(DG10="ADMISIBLE",IF(AND(DI18="VÁLIDA",DH17&lt;=$E$18,DG20=""),DH17,"DESCARTADO"),DG10)</f>
        <v>32951496</v>
      </c>
      <c r="DI18" s="188" t="str">
        <f t="shared" ref="DI18" si="179">IF(COUNTIF(DI14:DI16,"NO VÁLIDA")&gt;0,"NO VÁLIDA","VÁLIDA")</f>
        <v>VÁLIDA</v>
      </c>
      <c r="DJ18" s="192"/>
      <c r="DK18" s="193">
        <f t="shared" ref="DK18" si="180">IF(DJ10="ADMISIBLE",IF(AND(DL18="VÁLIDA",DK17&lt;=$E$18,DJ20=""),DK17,"DESCARTADO"),DJ10)</f>
        <v>32954511</v>
      </c>
      <c r="DL18" s="188" t="str">
        <f t="shared" ref="DL18" si="181">IF(COUNTIF(DL14:DL16,"NO VÁLIDA")&gt;0,"NO VÁLIDA","VÁLIDA")</f>
        <v>VÁLIDA</v>
      </c>
      <c r="DM18"/>
    </row>
    <row r="19" spans="1:117" s="9" customFormat="1" ht="19.5" thickTop="1" thickBot="1" x14ac:dyDescent="0.3">
      <c r="A19" s="21"/>
      <c r="B19" s="13"/>
      <c r="C19" s="22"/>
      <c r="D19" s="22"/>
      <c r="E19" s="26"/>
      <c r="F19" s="302">
        <f>F11</f>
        <v>1</v>
      </c>
      <c r="G19" s="303"/>
      <c r="H19" s="304"/>
      <c r="I19" s="302">
        <f>I11</f>
        <v>2</v>
      </c>
      <c r="J19" s="303"/>
      <c r="K19" s="304"/>
      <c r="L19" s="302">
        <f>L11</f>
        <v>3</v>
      </c>
      <c r="M19" s="303"/>
      <c r="N19" s="304"/>
      <c r="O19" s="302">
        <f>O11</f>
        <v>4</v>
      </c>
      <c r="P19" s="303"/>
      <c r="Q19" s="304"/>
      <c r="R19" s="302">
        <f>R11</f>
        <v>5</v>
      </c>
      <c r="S19" s="303"/>
      <c r="T19" s="304"/>
      <c r="U19" s="302">
        <f t="shared" ref="U19" si="182">U11</f>
        <v>6</v>
      </c>
      <c r="V19" s="303"/>
      <c r="W19" s="304"/>
      <c r="X19" s="302">
        <f t="shared" ref="X19" si="183">X11</f>
        <v>7</v>
      </c>
      <c r="Y19" s="303"/>
      <c r="Z19" s="304"/>
      <c r="AA19" s="302">
        <f t="shared" ref="AA19" si="184">AA11</f>
        <v>8</v>
      </c>
      <c r="AB19" s="303"/>
      <c r="AC19" s="304"/>
      <c r="AD19" s="302">
        <f>AD11</f>
        <v>9</v>
      </c>
      <c r="AE19" s="303"/>
      <c r="AF19" s="304"/>
      <c r="AG19" s="302">
        <f>AG11</f>
        <v>10</v>
      </c>
      <c r="AH19" s="303"/>
      <c r="AI19" s="304"/>
      <c r="AJ19" s="302">
        <f>AJ11</f>
        <v>11</v>
      </c>
      <c r="AK19" s="303"/>
      <c r="AL19" s="304"/>
      <c r="AM19" s="302">
        <f>AM11</f>
        <v>12</v>
      </c>
      <c r="AN19" s="303"/>
      <c r="AO19" s="304"/>
      <c r="AP19" s="302">
        <f t="shared" ref="AP19" si="185">AP11</f>
        <v>13</v>
      </c>
      <c r="AQ19" s="303"/>
      <c r="AR19" s="304"/>
      <c r="AS19" s="302">
        <f t="shared" ref="AS19" si="186">AS11</f>
        <v>14</v>
      </c>
      <c r="AT19" s="303"/>
      <c r="AU19" s="304"/>
      <c r="AV19" s="302">
        <f t="shared" ref="AV19" si="187">AV11</f>
        <v>15</v>
      </c>
      <c r="AW19" s="303"/>
      <c r="AX19" s="304"/>
      <c r="AY19" s="302">
        <f t="shared" ref="AY19" si="188">AY11</f>
        <v>16</v>
      </c>
      <c r="AZ19" s="303"/>
      <c r="BA19" s="304"/>
      <c r="BB19" s="302">
        <f t="shared" ref="BB19" si="189">BB11</f>
        <v>17</v>
      </c>
      <c r="BC19" s="303"/>
      <c r="BD19" s="304"/>
      <c r="BE19" s="302">
        <f t="shared" ref="BE19" si="190">BE11</f>
        <v>18</v>
      </c>
      <c r="BF19" s="303"/>
      <c r="BG19" s="304"/>
      <c r="BH19" s="302">
        <f t="shared" ref="BH19" si="191">BH11</f>
        <v>19</v>
      </c>
      <c r="BI19" s="303"/>
      <c r="BJ19" s="304"/>
      <c r="BK19" s="302">
        <f t="shared" ref="BK19" si="192">BK11</f>
        <v>20</v>
      </c>
      <c r="BL19" s="303"/>
      <c r="BM19" s="304"/>
      <c r="BN19" s="302">
        <f t="shared" ref="BN19" si="193">BN11</f>
        <v>21</v>
      </c>
      <c r="BO19" s="303"/>
      <c r="BP19" s="304"/>
      <c r="BQ19" s="302">
        <f t="shared" ref="BQ19" si="194">BQ11</f>
        <v>22</v>
      </c>
      <c r="BR19" s="303"/>
      <c r="BS19" s="304"/>
      <c r="BT19" s="302">
        <f t="shared" ref="BT19" si="195">BT11</f>
        <v>23</v>
      </c>
      <c r="BU19" s="303"/>
      <c r="BV19" s="304"/>
      <c r="BW19" s="302">
        <f t="shared" ref="BW19" si="196">BW11</f>
        <v>24</v>
      </c>
      <c r="BX19" s="303"/>
      <c r="BY19" s="304"/>
      <c r="BZ19" s="302">
        <f t="shared" ref="BZ19" si="197">BZ11</f>
        <v>25</v>
      </c>
      <c r="CA19" s="303"/>
      <c r="CB19" s="304"/>
      <c r="CC19" s="302">
        <f t="shared" ref="CC19" si="198">CC11</f>
        <v>26</v>
      </c>
      <c r="CD19" s="303"/>
      <c r="CE19" s="304"/>
      <c r="CF19" s="302">
        <f t="shared" ref="CF19" si="199">CF11</f>
        <v>27</v>
      </c>
      <c r="CG19" s="303"/>
      <c r="CH19" s="304"/>
      <c r="CI19" s="302">
        <f t="shared" ref="CI19" si="200">CI11</f>
        <v>28</v>
      </c>
      <c r="CJ19" s="303"/>
      <c r="CK19" s="304"/>
      <c r="CL19" s="302">
        <f t="shared" ref="CL19" si="201">CL11</f>
        <v>29</v>
      </c>
      <c r="CM19" s="303"/>
      <c r="CN19" s="304"/>
      <c r="CO19" s="302">
        <f t="shared" ref="CO19" si="202">CO11</f>
        <v>30</v>
      </c>
      <c r="CP19" s="303"/>
      <c r="CQ19" s="304"/>
      <c r="CR19" s="302">
        <f t="shared" ref="CR19" si="203">CR11</f>
        <v>31</v>
      </c>
      <c r="CS19" s="303"/>
      <c r="CT19" s="304"/>
      <c r="CU19" s="302">
        <f t="shared" ref="CU19" si="204">CU11</f>
        <v>32</v>
      </c>
      <c r="CV19" s="303"/>
      <c r="CW19" s="304"/>
      <c r="CX19" s="302">
        <f t="shared" ref="CX19" si="205">CX11</f>
        <v>33</v>
      </c>
      <c r="CY19" s="303"/>
      <c r="CZ19" s="304"/>
      <c r="DA19" s="302">
        <f t="shared" ref="DA19" si="206">DA11</f>
        <v>34</v>
      </c>
      <c r="DB19" s="303"/>
      <c r="DC19" s="304"/>
      <c r="DD19" s="302">
        <f t="shared" ref="DD19" si="207">DD11</f>
        <v>35</v>
      </c>
      <c r="DE19" s="303"/>
      <c r="DF19" s="304"/>
      <c r="DG19" s="302">
        <f t="shared" ref="DG19" si="208">DG11</f>
        <v>36</v>
      </c>
      <c r="DH19" s="303"/>
      <c r="DI19" s="304"/>
      <c r="DJ19" s="302">
        <f t="shared" ref="DJ19" si="209">DJ11</f>
        <v>37</v>
      </c>
      <c r="DK19" s="303"/>
      <c r="DL19" s="304"/>
      <c r="DM19"/>
    </row>
    <row r="20" spans="1:117" ht="21.75" customHeight="1" thickTop="1" x14ac:dyDescent="0.2">
      <c r="A20" s="11"/>
      <c r="C20" s="11"/>
      <c r="D20" s="11"/>
      <c r="E20" s="314" t="s">
        <v>38</v>
      </c>
      <c r="F20" s="305"/>
      <c r="G20" s="306"/>
      <c r="H20" s="307"/>
      <c r="I20" s="305"/>
      <c r="J20" s="306"/>
      <c r="K20" s="307"/>
      <c r="L20" s="305"/>
      <c r="M20" s="306"/>
      <c r="N20" s="307"/>
      <c r="O20" s="305"/>
      <c r="P20" s="306"/>
      <c r="Q20" s="307"/>
      <c r="R20" s="305" t="s">
        <v>158</v>
      </c>
      <c r="S20" s="306"/>
      <c r="T20" s="307"/>
      <c r="U20" s="305"/>
      <c r="V20" s="306"/>
      <c r="W20" s="307"/>
      <c r="X20" s="305"/>
      <c r="Y20" s="306"/>
      <c r="Z20" s="307"/>
      <c r="AA20" s="305"/>
      <c r="AB20" s="306"/>
      <c r="AC20" s="307"/>
      <c r="AD20" s="305"/>
      <c r="AE20" s="306"/>
      <c r="AF20" s="307"/>
      <c r="AG20" s="305" t="s">
        <v>160</v>
      </c>
      <c r="AH20" s="306"/>
      <c r="AI20" s="307"/>
      <c r="AJ20" s="305"/>
      <c r="AK20" s="306"/>
      <c r="AL20" s="307"/>
      <c r="AM20" s="305"/>
      <c r="AN20" s="306"/>
      <c r="AO20" s="307"/>
      <c r="AP20" s="305"/>
      <c r="AQ20" s="306"/>
      <c r="AR20" s="307"/>
      <c r="AS20" s="305"/>
      <c r="AT20" s="306"/>
      <c r="AU20" s="307"/>
      <c r="AV20" s="305"/>
      <c r="AW20" s="306"/>
      <c r="AX20" s="307"/>
      <c r="AY20" s="305"/>
      <c r="AZ20" s="306"/>
      <c r="BA20" s="307"/>
      <c r="BB20" s="305" t="s">
        <v>172</v>
      </c>
      <c r="BC20" s="306"/>
      <c r="BD20" s="307"/>
      <c r="BE20" s="305"/>
      <c r="BF20" s="306"/>
      <c r="BG20" s="307"/>
      <c r="BH20" s="305"/>
      <c r="BI20" s="306"/>
      <c r="BJ20" s="307"/>
      <c r="BK20" s="305"/>
      <c r="BL20" s="306"/>
      <c r="BM20" s="307"/>
      <c r="BN20" s="305"/>
      <c r="BO20" s="306"/>
      <c r="BP20" s="307"/>
      <c r="BQ20" s="305"/>
      <c r="BR20" s="306"/>
      <c r="BS20" s="307"/>
      <c r="BT20" s="305" t="s">
        <v>158</v>
      </c>
      <c r="BU20" s="306"/>
      <c r="BV20" s="307"/>
      <c r="BW20" s="305"/>
      <c r="BX20" s="306"/>
      <c r="BY20" s="307"/>
      <c r="BZ20" s="305"/>
      <c r="CA20" s="306"/>
      <c r="CB20" s="307"/>
      <c r="CC20" s="305"/>
      <c r="CD20" s="306"/>
      <c r="CE20" s="307"/>
      <c r="CF20" s="305" t="s">
        <v>158</v>
      </c>
      <c r="CG20" s="306"/>
      <c r="CH20" s="307"/>
      <c r="CI20" s="305"/>
      <c r="CJ20" s="306"/>
      <c r="CK20" s="307"/>
      <c r="CL20" s="305"/>
      <c r="CM20" s="306"/>
      <c r="CN20" s="307"/>
      <c r="CO20" s="305"/>
      <c r="CP20" s="306"/>
      <c r="CQ20" s="307"/>
      <c r="CR20" s="305"/>
      <c r="CS20" s="306"/>
      <c r="CT20" s="307"/>
      <c r="CU20" s="305"/>
      <c r="CV20" s="306"/>
      <c r="CW20" s="307"/>
      <c r="CX20" s="305"/>
      <c r="CY20" s="306"/>
      <c r="CZ20" s="307"/>
      <c r="DA20" s="305"/>
      <c r="DB20" s="306"/>
      <c r="DC20" s="307"/>
      <c r="DD20" s="305"/>
      <c r="DE20" s="306"/>
      <c r="DF20" s="307"/>
      <c r="DG20" s="305"/>
      <c r="DH20" s="306"/>
      <c r="DI20" s="307"/>
      <c r="DJ20" s="305"/>
      <c r="DK20" s="306"/>
      <c r="DL20" s="307"/>
    </row>
    <row r="21" spans="1:117" ht="27" customHeight="1" x14ac:dyDescent="0.2">
      <c r="E21" s="315"/>
      <c r="F21" s="308"/>
      <c r="G21" s="309"/>
      <c r="H21" s="310"/>
      <c r="I21" s="308"/>
      <c r="J21" s="309"/>
      <c r="K21" s="310"/>
      <c r="L21" s="308"/>
      <c r="M21" s="309"/>
      <c r="N21" s="310"/>
      <c r="O21" s="308"/>
      <c r="P21" s="309"/>
      <c r="Q21" s="310"/>
      <c r="R21" s="308"/>
      <c r="S21" s="309"/>
      <c r="T21" s="310"/>
      <c r="U21" s="308"/>
      <c r="V21" s="309"/>
      <c r="W21" s="310"/>
      <c r="X21" s="308"/>
      <c r="Y21" s="309"/>
      <c r="Z21" s="310"/>
      <c r="AA21" s="308"/>
      <c r="AB21" s="309"/>
      <c r="AC21" s="310"/>
      <c r="AD21" s="308"/>
      <c r="AE21" s="309"/>
      <c r="AF21" s="310"/>
      <c r="AG21" s="308"/>
      <c r="AH21" s="309"/>
      <c r="AI21" s="310"/>
      <c r="AJ21" s="308"/>
      <c r="AK21" s="309"/>
      <c r="AL21" s="310"/>
      <c r="AM21" s="308"/>
      <c r="AN21" s="309"/>
      <c r="AO21" s="310"/>
      <c r="AP21" s="308"/>
      <c r="AQ21" s="309"/>
      <c r="AR21" s="310"/>
      <c r="AS21" s="308"/>
      <c r="AT21" s="309"/>
      <c r="AU21" s="310"/>
      <c r="AV21" s="308"/>
      <c r="AW21" s="309"/>
      <c r="AX21" s="310"/>
      <c r="AY21" s="308"/>
      <c r="AZ21" s="309"/>
      <c r="BA21" s="310"/>
      <c r="BB21" s="308"/>
      <c r="BC21" s="309"/>
      <c r="BD21" s="310"/>
      <c r="BE21" s="308"/>
      <c r="BF21" s="309"/>
      <c r="BG21" s="310"/>
      <c r="BH21" s="308"/>
      <c r="BI21" s="309"/>
      <c r="BJ21" s="310"/>
      <c r="BK21" s="308"/>
      <c r="BL21" s="309"/>
      <c r="BM21" s="310"/>
      <c r="BN21" s="308"/>
      <c r="BO21" s="309"/>
      <c r="BP21" s="310"/>
      <c r="BQ21" s="308"/>
      <c r="BR21" s="309"/>
      <c r="BS21" s="310"/>
      <c r="BT21" s="308"/>
      <c r="BU21" s="309"/>
      <c r="BV21" s="310"/>
      <c r="BW21" s="308"/>
      <c r="BX21" s="309"/>
      <c r="BY21" s="310"/>
      <c r="BZ21" s="308"/>
      <c r="CA21" s="309"/>
      <c r="CB21" s="310"/>
      <c r="CC21" s="308"/>
      <c r="CD21" s="309"/>
      <c r="CE21" s="310"/>
      <c r="CF21" s="308"/>
      <c r="CG21" s="309"/>
      <c r="CH21" s="310"/>
      <c r="CI21" s="308"/>
      <c r="CJ21" s="309"/>
      <c r="CK21" s="310"/>
      <c r="CL21" s="308"/>
      <c r="CM21" s="309"/>
      <c r="CN21" s="310"/>
      <c r="CO21" s="308"/>
      <c r="CP21" s="309"/>
      <c r="CQ21" s="310"/>
      <c r="CR21" s="308"/>
      <c r="CS21" s="309"/>
      <c r="CT21" s="310"/>
      <c r="CU21" s="308"/>
      <c r="CV21" s="309"/>
      <c r="CW21" s="310"/>
      <c r="CX21" s="308"/>
      <c r="CY21" s="309"/>
      <c r="CZ21" s="310"/>
      <c r="DA21" s="308"/>
      <c r="DB21" s="309"/>
      <c r="DC21" s="310"/>
      <c r="DD21" s="308"/>
      <c r="DE21" s="309"/>
      <c r="DF21" s="310"/>
      <c r="DG21" s="308"/>
      <c r="DH21" s="309"/>
      <c r="DI21" s="310"/>
      <c r="DJ21" s="308"/>
      <c r="DK21" s="309"/>
      <c r="DL21" s="310"/>
    </row>
    <row r="22" spans="1:117" ht="25.5" customHeight="1" x14ac:dyDescent="0.2">
      <c r="E22" s="315"/>
      <c r="F22" s="308"/>
      <c r="G22" s="309"/>
      <c r="H22" s="310"/>
      <c r="I22" s="308"/>
      <c r="J22" s="309"/>
      <c r="K22" s="310"/>
      <c r="L22" s="308"/>
      <c r="M22" s="309"/>
      <c r="N22" s="310"/>
      <c r="O22" s="308"/>
      <c r="P22" s="309"/>
      <c r="Q22" s="310"/>
      <c r="R22" s="308"/>
      <c r="S22" s="309"/>
      <c r="T22" s="310"/>
      <c r="U22" s="308"/>
      <c r="V22" s="309"/>
      <c r="W22" s="310"/>
      <c r="X22" s="308"/>
      <c r="Y22" s="309"/>
      <c r="Z22" s="310"/>
      <c r="AA22" s="308"/>
      <c r="AB22" s="309"/>
      <c r="AC22" s="310"/>
      <c r="AD22" s="308"/>
      <c r="AE22" s="309"/>
      <c r="AF22" s="310"/>
      <c r="AG22" s="308"/>
      <c r="AH22" s="309"/>
      <c r="AI22" s="310"/>
      <c r="AJ22" s="308"/>
      <c r="AK22" s="309"/>
      <c r="AL22" s="310"/>
      <c r="AM22" s="308"/>
      <c r="AN22" s="309"/>
      <c r="AO22" s="310"/>
      <c r="AP22" s="308"/>
      <c r="AQ22" s="309"/>
      <c r="AR22" s="310"/>
      <c r="AS22" s="308"/>
      <c r="AT22" s="309"/>
      <c r="AU22" s="310"/>
      <c r="AV22" s="308"/>
      <c r="AW22" s="309"/>
      <c r="AX22" s="310"/>
      <c r="AY22" s="308"/>
      <c r="AZ22" s="309"/>
      <c r="BA22" s="310"/>
      <c r="BB22" s="308"/>
      <c r="BC22" s="309"/>
      <c r="BD22" s="310"/>
      <c r="BE22" s="308"/>
      <c r="BF22" s="309"/>
      <c r="BG22" s="310"/>
      <c r="BH22" s="308"/>
      <c r="BI22" s="309"/>
      <c r="BJ22" s="310"/>
      <c r="BK22" s="308"/>
      <c r="BL22" s="309"/>
      <c r="BM22" s="310"/>
      <c r="BN22" s="308"/>
      <c r="BO22" s="309"/>
      <c r="BP22" s="310"/>
      <c r="BQ22" s="308"/>
      <c r="BR22" s="309"/>
      <c r="BS22" s="310"/>
      <c r="BT22" s="308"/>
      <c r="BU22" s="309"/>
      <c r="BV22" s="310"/>
      <c r="BW22" s="308"/>
      <c r="BX22" s="309"/>
      <c r="BY22" s="310"/>
      <c r="BZ22" s="308"/>
      <c r="CA22" s="309"/>
      <c r="CB22" s="310"/>
      <c r="CC22" s="308"/>
      <c r="CD22" s="309"/>
      <c r="CE22" s="310"/>
      <c r="CF22" s="308"/>
      <c r="CG22" s="309"/>
      <c r="CH22" s="310"/>
      <c r="CI22" s="308"/>
      <c r="CJ22" s="309"/>
      <c r="CK22" s="310"/>
      <c r="CL22" s="308"/>
      <c r="CM22" s="309"/>
      <c r="CN22" s="310"/>
      <c r="CO22" s="308"/>
      <c r="CP22" s="309"/>
      <c r="CQ22" s="310"/>
      <c r="CR22" s="308"/>
      <c r="CS22" s="309"/>
      <c r="CT22" s="310"/>
      <c r="CU22" s="308"/>
      <c r="CV22" s="309"/>
      <c r="CW22" s="310"/>
      <c r="CX22" s="308"/>
      <c r="CY22" s="309"/>
      <c r="CZ22" s="310"/>
      <c r="DA22" s="308"/>
      <c r="DB22" s="309"/>
      <c r="DC22" s="310"/>
      <c r="DD22" s="308"/>
      <c r="DE22" s="309"/>
      <c r="DF22" s="310"/>
      <c r="DG22" s="308"/>
      <c r="DH22" s="309"/>
      <c r="DI22" s="310"/>
      <c r="DJ22" s="308"/>
      <c r="DK22" s="309"/>
      <c r="DL22" s="310"/>
    </row>
    <row r="23" spans="1:117" ht="18.75" customHeight="1" thickBot="1" x14ac:dyDescent="0.25">
      <c r="E23" s="316"/>
      <c r="F23" s="311"/>
      <c r="G23" s="312"/>
      <c r="H23" s="313"/>
      <c r="I23" s="311"/>
      <c r="J23" s="312"/>
      <c r="K23" s="313"/>
      <c r="L23" s="311"/>
      <c r="M23" s="312"/>
      <c r="N23" s="313"/>
      <c r="O23" s="311"/>
      <c r="P23" s="312"/>
      <c r="Q23" s="313"/>
      <c r="R23" s="311"/>
      <c r="S23" s="312"/>
      <c r="T23" s="313"/>
      <c r="U23" s="311"/>
      <c r="V23" s="312"/>
      <c r="W23" s="313"/>
      <c r="X23" s="311"/>
      <c r="Y23" s="312"/>
      <c r="Z23" s="313"/>
      <c r="AA23" s="311"/>
      <c r="AB23" s="312"/>
      <c r="AC23" s="313"/>
      <c r="AD23" s="311"/>
      <c r="AE23" s="312"/>
      <c r="AF23" s="313"/>
      <c r="AG23" s="311"/>
      <c r="AH23" s="312"/>
      <c r="AI23" s="313"/>
      <c r="AJ23" s="311"/>
      <c r="AK23" s="312"/>
      <c r="AL23" s="313"/>
      <c r="AM23" s="311"/>
      <c r="AN23" s="312"/>
      <c r="AO23" s="313"/>
      <c r="AP23" s="311"/>
      <c r="AQ23" s="312"/>
      <c r="AR23" s="313"/>
      <c r="AS23" s="311"/>
      <c r="AT23" s="312"/>
      <c r="AU23" s="313"/>
      <c r="AV23" s="311"/>
      <c r="AW23" s="312"/>
      <c r="AX23" s="313"/>
      <c r="AY23" s="311"/>
      <c r="AZ23" s="312"/>
      <c r="BA23" s="313"/>
      <c r="BB23" s="311"/>
      <c r="BC23" s="312"/>
      <c r="BD23" s="313"/>
      <c r="BE23" s="311"/>
      <c r="BF23" s="312"/>
      <c r="BG23" s="313"/>
      <c r="BH23" s="311"/>
      <c r="BI23" s="312"/>
      <c r="BJ23" s="313"/>
      <c r="BK23" s="311"/>
      <c r="BL23" s="312"/>
      <c r="BM23" s="313"/>
      <c r="BN23" s="311"/>
      <c r="BO23" s="312"/>
      <c r="BP23" s="313"/>
      <c r="BQ23" s="311"/>
      <c r="BR23" s="312"/>
      <c r="BS23" s="313"/>
      <c r="BT23" s="311"/>
      <c r="BU23" s="312"/>
      <c r="BV23" s="313"/>
      <c r="BW23" s="311"/>
      <c r="BX23" s="312"/>
      <c r="BY23" s="313"/>
      <c r="BZ23" s="311"/>
      <c r="CA23" s="312"/>
      <c r="CB23" s="313"/>
      <c r="CC23" s="311"/>
      <c r="CD23" s="312"/>
      <c r="CE23" s="313"/>
      <c r="CF23" s="311"/>
      <c r="CG23" s="312"/>
      <c r="CH23" s="313"/>
      <c r="CI23" s="311"/>
      <c r="CJ23" s="312"/>
      <c r="CK23" s="313"/>
      <c r="CL23" s="311"/>
      <c r="CM23" s="312"/>
      <c r="CN23" s="313"/>
      <c r="CO23" s="311"/>
      <c r="CP23" s="312"/>
      <c r="CQ23" s="313"/>
      <c r="CR23" s="311"/>
      <c r="CS23" s="312"/>
      <c r="CT23" s="313"/>
      <c r="CU23" s="311"/>
      <c r="CV23" s="312"/>
      <c r="CW23" s="313"/>
      <c r="CX23" s="311"/>
      <c r="CY23" s="312"/>
      <c r="CZ23" s="313"/>
      <c r="DA23" s="311"/>
      <c r="DB23" s="312"/>
      <c r="DC23" s="313"/>
      <c r="DD23" s="311"/>
      <c r="DE23" s="312"/>
      <c r="DF23" s="313"/>
      <c r="DG23" s="311"/>
      <c r="DH23" s="312"/>
      <c r="DI23" s="313"/>
      <c r="DJ23" s="311"/>
      <c r="DK23" s="312"/>
      <c r="DL23" s="313"/>
    </row>
    <row r="24" spans="1:117" ht="18.75" customHeight="1" thickTop="1" x14ac:dyDescent="0.2">
      <c r="B24" s="2"/>
      <c r="E24" s="314" t="s">
        <v>84</v>
      </c>
      <c r="F24" s="305"/>
      <c r="G24" s="306"/>
      <c r="H24" s="307"/>
      <c r="I24" s="305"/>
      <c r="J24" s="306"/>
      <c r="K24" s="307"/>
      <c r="L24" s="305"/>
      <c r="M24" s="306"/>
      <c r="N24" s="307"/>
      <c r="O24" s="305"/>
      <c r="P24" s="306"/>
      <c r="Q24" s="307"/>
      <c r="R24" s="305" t="s">
        <v>162</v>
      </c>
      <c r="S24" s="306"/>
      <c r="T24" s="307"/>
      <c r="U24" s="305"/>
      <c r="V24" s="306"/>
      <c r="W24" s="307"/>
      <c r="X24" s="319"/>
      <c r="Y24" s="320"/>
      <c r="Z24" s="321"/>
      <c r="AA24" s="305"/>
      <c r="AB24" s="306"/>
      <c r="AC24" s="307"/>
      <c r="AD24" s="305"/>
      <c r="AE24" s="306"/>
      <c r="AF24" s="307"/>
      <c r="AG24" s="305"/>
      <c r="AH24" s="306"/>
      <c r="AI24" s="307"/>
      <c r="AJ24" s="319"/>
      <c r="AK24" s="320"/>
      <c r="AL24" s="321"/>
      <c r="AM24" s="305"/>
      <c r="AN24" s="306"/>
      <c r="AO24" s="307"/>
      <c r="AP24" s="305"/>
      <c r="AQ24" s="306"/>
      <c r="AR24" s="307"/>
      <c r="AS24" s="305"/>
      <c r="AT24" s="306"/>
      <c r="AU24" s="307"/>
      <c r="AV24" s="305"/>
      <c r="AW24" s="306"/>
      <c r="AX24" s="307"/>
      <c r="AY24" s="305"/>
      <c r="AZ24" s="306"/>
      <c r="BA24" s="307"/>
      <c r="BB24" s="305" t="s">
        <v>162</v>
      </c>
      <c r="BC24" s="306"/>
      <c r="BD24" s="307"/>
      <c r="BE24" s="305" t="s">
        <v>161</v>
      </c>
      <c r="BF24" s="306"/>
      <c r="BG24" s="307"/>
      <c r="BH24" s="305"/>
      <c r="BI24" s="306"/>
      <c r="BJ24" s="307"/>
      <c r="BK24" s="305"/>
      <c r="BL24" s="306"/>
      <c r="BM24" s="307"/>
      <c r="BN24" s="305" t="s">
        <v>162</v>
      </c>
      <c r="BO24" s="306"/>
      <c r="BP24" s="307"/>
      <c r="BQ24" s="305"/>
      <c r="BR24" s="306"/>
      <c r="BS24" s="307"/>
      <c r="BT24" s="305"/>
      <c r="BU24" s="306"/>
      <c r="BV24" s="307"/>
      <c r="BW24" s="319"/>
      <c r="BX24" s="320"/>
      <c r="BY24" s="321"/>
      <c r="BZ24" s="305" t="s">
        <v>163</v>
      </c>
      <c r="CA24" s="306"/>
      <c r="CB24" s="307"/>
      <c r="CC24" s="305"/>
      <c r="CD24" s="306"/>
      <c r="CE24" s="307"/>
      <c r="CF24" s="305" t="s">
        <v>162</v>
      </c>
      <c r="CG24" s="306"/>
      <c r="CH24" s="307"/>
      <c r="CI24" s="305"/>
      <c r="CJ24" s="306"/>
      <c r="CK24" s="307"/>
      <c r="CL24" s="305"/>
      <c r="CM24" s="306"/>
      <c r="CN24" s="307"/>
      <c r="CO24" s="305" t="s">
        <v>162</v>
      </c>
      <c r="CP24" s="306"/>
      <c r="CQ24" s="307"/>
      <c r="CR24" s="305"/>
      <c r="CS24" s="306"/>
      <c r="CT24" s="307"/>
      <c r="CU24" s="305" t="s">
        <v>162</v>
      </c>
      <c r="CV24" s="306"/>
      <c r="CW24" s="307"/>
      <c r="CX24" s="305"/>
      <c r="CY24" s="306"/>
      <c r="CZ24" s="307"/>
      <c r="DA24" s="305"/>
      <c r="DB24" s="306"/>
      <c r="DC24" s="307"/>
      <c r="DD24" s="305"/>
      <c r="DE24" s="306"/>
      <c r="DF24" s="307"/>
      <c r="DG24" s="305"/>
      <c r="DH24" s="306"/>
      <c r="DI24" s="307"/>
      <c r="DJ24" s="305" t="s">
        <v>164</v>
      </c>
      <c r="DK24" s="306"/>
      <c r="DL24" s="307"/>
    </row>
    <row r="25" spans="1:117" ht="18.75" customHeight="1" x14ac:dyDescent="0.2">
      <c r="E25" s="315"/>
      <c r="F25" s="308"/>
      <c r="G25" s="309"/>
      <c r="H25" s="310"/>
      <c r="I25" s="308"/>
      <c r="J25" s="309"/>
      <c r="K25" s="310"/>
      <c r="L25" s="308"/>
      <c r="M25" s="309"/>
      <c r="N25" s="310"/>
      <c r="O25" s="308"/>
      <c r="P25" s="309"/>
      <c r="Q25" s="310"/>
      <c r="R25" s="308"/>
      <c r="S25" s="309"/>
      <c r="T25" s="310"/>
      <c r="U25" s="308"/>
      <c r="V25" s="309"/>
      <c r="W25" s="310"/>
      <c r="X25" s="322"/>
      <c r="Y25" s="323"/>
      <c r="Z25" s="324"/>
      <c r="AA25" s="308"/>
      <c r="AB25" s="309"/>
      <c r="AC25" s="310"/>
      <c r="AD25" s="308"/>
      <c r="AE25" s="309"/>
      <c r="AF25" s="310"/>
      <c r="AG25" s="308"/>
      <c r="AH25" s="309"/>
      <c r="AI25" s="310"/>
      <c r="AJ25" s="322"/>
      <c r="AK25" s="323"/>
      <c r="AL25" s="324"/>
      <c r="AM25" s="308"/>
      <c r="AN25" s="309"/>
      <c r="AO25" s="310"/>
      <c r="AP25" s="308"/>
      <c r="AQ25" s="309"/>
      <c r="AR25" s="310"/>
      <c r="AS25" s="308"/>
      <c r="AT25" s="309"/>
      <c r="AU25" s="310"/>
      <c r="AV25" s="308"/>
      <c r="AW25" s="309"/>
      <c r="AX25" s="310"/>
      <c r="AY25" s="308"/>
      <c r="AZ25" s="309"/>
      <c r="BA25" s="310"/>
      <c r="BB25" s="308"/>
      <c r="BC25" s="309"/>
      <c r="BD25" s="310"/>
      <c r="BE25" s="308"/>
      <c r="BF25" s="309"/>
      <c r="BG25" s="310"/>
      <c r="BH25" s="308"/>
      <c r="BI25" s="309"/>
      <c r="BJ25" s="310"/>
      <c r="BK25" s="308"/>
      <c r="BL25" s="309"/>
      <c r="BM25" s="310"/>
      <c r="BN25" s="308"/>
      <c r="BO25" s="309"/>
      <c r="BP25" s="310"/>
      <c r="BQ25" s="308"/>
      <c r="BR25" s="309"/>
      <c r="BS25" s="310"/>
      <c r="BT25" s="308"/>
      <c r="BU25" s="309"/>
      <c r="BV25" s="310"/>
      <c r="BW25" s="322"/>
      <c r="BX25" s="323"/>
      <c r="BY25" s="324"/>
      <c r="BZ25" s="308"/>
      <c r="CA25" s="309"/>
      <c r="CB25" s="310"/>
      <c r="CC25" s="308"/>
      <c r="CD25" s="309"/>
      <c r="CE25" s="310"/>
      <c r="CF25" s="308"/>
      <c r="CG25" s="309"/>
      <c r="CH25" s="310"/>
      <c r="CI25" s="308"/>
      <c r="CJ25" s="309"/>
      <c r="CK25" s="310"/>
      <c r="CL25" s="308"/>
      <c r="CM25" s="309"/>
      <c r="CN25" s="310"/>
      <c r="CO25" s="308"/>
      <c r="CP25" s="309"/>
      <c r="CQ25" s="310"/>
      <c r="CR25" s="308"/>
      <c r="CS25" s="309"/>
      <c r="CT25" s="310"/>
      <c r="CU25" s="308"/>
      <c r="CV25" s="309"/>
      <c r="CW25" s="310"/>
      <c r="CX25" s="308"/>
      <c r="CY25" s="309"/>
      <c r="CZ25" s="310"/>
      <c r="DA25" s="308"/>
      <c r="DB25" s="309"/>
      <c r="DC25" s="310"/>
      <c r="DD25" s="308"/>
      <c r="DE25" s="309"/>
      <c r="DF25" s="310"/>
      <c r="DG25" s="308"/>
      <c r="DH25" s="309"/>
      <c r="DI25" s="310"/>
      <c r="DJ25" s="308"/>
      <c r="DK25" s="309"/>
      <c r="DL25" s="310"/>
    </row>
    <row r="26" spans="1:117" ht="18.75" customHeight="1" x14ac:dyDescent="0.2">
      <c r="E26" s="315"/>
      <c r="F26" s="308"/>
      <c r="G26" s="309"/>
      <c r="H26" s="310"/>
      <c r="I26" s="308"/>
      <c r="J26" s="309"/>
      <c r="K26" s="310"/>
      <c r="L26" s="308"/>
      <c r="M26" s="309"/>
      <c r="N26" s="310"/>
      <c r="O26" s="308"/>
      <c r="P26" s="309"/>
      <c r="Q26" s="310"/>
      <c r="R26" s="308"/>
      <c r="S26" s="309"/>
      <c r="T26" s="310"/>
      <c r="U26" s="308"/>
      <c r="V26" s="309"/>
      <c r="W26" s="310"/>
      <c r="X26" s="322"/>
      <c r="Y26" s="323"/>
      <c r="Z26" s="324"/>
      <c r="AA26" s="308"/>
      <c r="AB26" s="309"/>
      <c r="AC26" s="310"/>
      <c r="AD26" s="308"/>
      <c r="AE26" s="309"/>
      <c r="AF26" s="310"/>
      <c r="AG26" s="308"/>
      <c r="AH26" s="309"/>
      <c r="AI26" s="310"/>
      <c r="AJ26" s="322"/>
      <c r="AK26" s="323"/>
      <c r="AL26" s="324"/>
      <c r="AM26" s="308"/>
      <c r="AN26" s="309"/>
      <c r="AO26" s="310"/>
      <c r="AP26" s="308"/>
      <c r="AQ26" s="309"/>
      <c r="AR26" s="310"/>
      <c r="AS26" s="308"/>
      <c r="AT26" s="309"/>
      <c r="AU26" s="310"/>
      <c r="AV26" s="308"/>
      <c r="AW26" s="309"/>
      <c r="AX26" s="310"/>
      <c r="AY26" s="308"/>
      <c r="AZ26" s="309"/>
      <c r="BA26" s="310"/>
      <c r="BB26" s="308"/>
      <c r="BC26" s="309"/>
      <c r="BD26" s="310"/>
      <c r="BE26" s="308"/>
      <c r="BF26" s="309"/>
      <c r="BG26" s="310"/>
      <c r="BH26" s="308"/>
      <c r="BI26" s="309"/>
      <c r="BJ26" s="310"/>
      <c r="BK26" s="308"/>
      <c r="BL26" s="309"/>
      <c r="BM26" s="310"/>
      <c r="BN26" s="308"/>
      <c r="BO26" s="309"/>
      <c r="BP26" s="310"/>
      <c r="BQ26" s="308"/>
      <c r="BR26" s="309"/>
      <c r="BS26" s="310"/>
      <c r="BT26" s="308"/>
      <c r="BU26" s="309"/>
      <c r="BV26" s="310"/>
      <c r="BW26" s="322"/>
      <c r="BX26" s="323"/>
      <c r="BY26" s="324"/>
      <c r="BZ26" s="308"/>
      <c r="CA26" s="309"/>
      <c r="CB26" s="310"/>
      <c r="CC26" s="308"/>
      <c r="CD26" s="309"/>
      <c r="CE26" s="310"/>
      <c r="CF26" s="308"/>
      <c r="CG26" s="309"/>
      <c r="CH26" s="310"/>
      <c r="CI26" s="308"/>
      <c r="CJ26" s="309"/>
      <c r="CK26" s="310"/>
      <c r="CL26" s="308"/>
      <c r="CM26" s="309"/>
      <c r="CN26" s="310"/>
      <c r="CO26" s="308"/>
      <c r="CP26" s="309"/>
      <c r="CQ26" s="310"/>
      <c r="CR26" s="308"/>
      <c r="CS26" s="309"/>
      <c r="CT26" s="310"/>
      <c r="CU26" s="308"/>
      <c r="CV26" s="309"/>
      <c r="CW26" s="310"/>
      <c r="CX26" s="308"/>
      <c r="CY26" s="309"/>
      <c r="CZ26" s="310"/>
      <c r="DA26" s="308"/>
      <c r="DB26" s="309"/>
      <c r="DC26" s="310"/>
      <c r="DD26" s="308"/>
      <c r="DE26" s="309"/>
      <c r="DF26" s="310"/>
      <c r="DG26" s="308"/>
      <c r="DH26" s="309"/>
      <c r="DI26" s="310"/>
      <c r="DJ26" s="308"/>
      <c r="DK26" s="309"/>
      <c r="DL26" s="310"/>
    </row>
    <row r="27" spans="1:117" ht="18.75" customHeight="1" thickBot="1" x14ac:dyDescent="0.25">
      <c r="B27" s="2"/>
      <c r="E27" s="316"/>
      <c r="F27" s="311"/>
      <c r="G27" s="312"/>
      <c r="H27" s="313"/>
      <c r="I27" s="311"/>
      <c r="J27" s="312"/>
      <c r="K27" s="313"/>
      <c r="L27" s="311"/>
      <c r="M27" s="312"/>
      <c r="N27" s="313"/>
      <c r="O27" s="311"/>
      <c r="P27" s="312"/>
      <c r="Q27" s="313"/>
      <c r="R27" s="311"/>
      <c r="S27" s="312"/>
      <c r="T27" s="313"/>
      <c r="U27" s="311"/>
      <c r="V27" s="312"/>
      <c r="W27" s="313"/>
      <c r="X27" s="325"/>
      <c r="Y27" s="326"/>
      <c r="Z27" s="327"/>
      <c r="AA27" s="311"/>
      <c r="AB27" s="312"/>
      <c r="AC27" s="313"/>
      <c r="AD27" s="311"/>
      <c r="AE27" s="312"/>
      <c r="AF27" s="313"/>
      <c r="AG27" s="311"/>
      <c r="AH27" s="312"/>
      <c r="AI27" s="313"/>
      <c r="AJ27" s="325"/>
      <c r="AK27" s="326"/>
      <c r="AL27" s="327"/>
      <c r="AM27" s="311"/>
      <c r="AN27" s="312"/>
      <c r="AO27" s="313"/>
      <c r="AP27" s="311"/>
      <c r="AQ27" s="312"/>
      <c r="AR27" s="313"/>
      <c r="AS27" s="311"/>
      <c r="AT27" s="312"/>
      <c r="AU27" s="313"/>
      <c r="AV27" s="311"/>
      <c r="AW27" s="312"/>
      <c r="AX27" s="313"/>
      <c r="AY27" s="311"/>
      <c r="AZ27" s="312"/>
      <c r="BA27" s="313"/>
      <c r="BB27" s="311"/>
      <c r="BC27" s="312"/>
      <c r="BD27" s="313"/>
      <c r="BE27" s="311"/>
      <c r="BF27" s="312"/>
      <c r="BG27" s="313"/>
      <c r="BH27" s="311"/>
      <c r="BI27" s="312"/>
      <c r="BJ27" s="313"/>
      <c r="BK27" s="311"/>
      <c r="BL27" s="312"/>
      <c r="BM27" s="313"/>
      <c r="BN27" s="311"/>
      <c r="BO27" s="312"/>
      <c r="BP27" s="313"/>
      <c r="BQ27" s="311"/>
      <c r="BR27" s="312"/>
      <c r="BS27" s="313"/>
      <c r="BT27" s="311"/>
      <c r="BU27" s="312"/>
      <c r="BV27" s="313"/>
      <c r="BW27" s="325"/>
      <c r="BX27" s="326"/>
      <c r="BY27" s="327"/>
      <c r="BZ27" s="311"/>
      <c r="CA27" s="312"/>
      <c r="CB27" s="313"/>
      <c r="CC27" s="311"/>
      <c r="CD27" s="312"/>
      <c r="CE27" s="313"/>
      <c r="CF27" s="311"/>
      <c r="CG27" s="312"/>
      <c r="CH27" s="313"/>
      <c r="CI27" s="311"/>
      <c r="CJ27" s="312"/>
      <c r="CK27" s="313"/>
      <c r="CL27" s="311"/>
      <c r="CM27" s="312"/>
      <c r="CN27" s="313"/>
      <c r="CO27" s="311"/>
      <c r="CP27" s="312"/>
      <c r="CQ27" s="313"/>
      <c r="CR27" s="311"/>
      <c r="CS27" s="312"/>
      <c r="CT27" s="313"/>
      <c r="CU27" s="311"/>
      <c r="CV27" s="312"/>
      <c r="CW27" s="313"/>
      <c r="CX27" s="311"/>
      <c r="CY27" s="312"/>
      <c r="CZ27" s="313"/>
      <c r="DA27" s="311"/>
      <c r="DB27" s="312"/>
      <c r="DC27" s="313"/>
      <c r="DD27" s="311"/>
      <c r="DE27" s="312"/>
      <c r="DF27" s="313"/>
      <c r="DG27" s="311"/>
      <c r="DH27" s="312"/>
      <c r="DI27" s="313"/>
      <c r="DJ27" s="311"/>
      <c r="DK27" s="312"/>
      <c r="DL27" s="313"/>
    </row>
    <row r="28" spans="1:117" s="208" customFormat="1" ht="13.5" thickTop="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row>
    <row r="29" spans="1:117" x14ac:dyDescent="0.2">
      <c r="I29" s="12"/>
      <c r="J29" s="12"/>
      <c r="K29" s="15"/>
      <c r="L29" s="12"/>
      <c r="M29" s="12"/>
      <c r="N29" s="15"/>
      <c r="O29" s="12"/>
      <c r="P29" s="12"/>
      <c r="Q29" s="15"/>
      <c r="R29" s="12"/>
      <c r="S29" s="12"/>
      <c r="T29" s="15"/>
      <c r="U29" s="12"/>
      <c r="V29" s="12"/>
      <c r="W29" s="15"/>
      <c r="X29" s="12"/>
      <c r="Y29" s="12"/>
      <c r="Z29" s="15"/>
      <c r="AA29" s="12"/>
      <c r="AB29" s="12"/>
      <c r="AC29" s="15"/>
      <c r="AD29" s="12"/>
      <c r="AE29" s="12"/>
      <c r="AF29" s="15"/>
      <c r="AG29" s="12"/>
      <c r="AH29" s="12"/>
      <c r="AI29" s="15"/>
      <c r="AJ29" s="12"/>
      <c r="AK29" s="12"/>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row>
    <row r="30" spans="1:117" x14ac:dyDescent="0.2">
      <c r="I30" s="12"/>
      <c r="J30" s="12"/>
      <c r="K30" s="15"/>
      <c r="L30" s="12"/>
      <c r="M30" s="12"/>
      <c r="N30" s="15"/>
      <c r="O30" s="12"/>
      <c r="P30" s="12"/>
      <c r="Q30" s="15"/>
      <c r="R30" s="12"/>
      <c r="S30" s="12"/>
      <c r="T30" s="15"/>
      <c r="U30" s="12"/>
      <c r="V30" s="12"/>
      <c r="W30" s="15"/>
      <c r="X30" s="12"/>
      <c r="Y30" s="12"/>
      <c r="Z30" s="15"/>
      <c r="AA30" s="12"/>
      <c r="AB30" s="12"/>
      <c r="AC30" s="15"/>
      <c r="AD30" s="12"/>
      <c r="AE30" s="12"/>
      <c r="AF30" s="15"/>
      <c r="AG30" s="12"/>
      <c r="AH30" s="12"/>
      <c r="AI30" s="15"/>
      <c r="AJ30" s="12"/>
      <c r="AK30" s="12"/>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row>
    <row r="31" spans="1:117" x14ac:dyDescent="0.2">
      <c r="G31" s="228"/>
      <c r="I31" s="12"/>
      <c r="J31" s="12"/>
      <c r="K31" s="15"/>
      <c r="L31" s="12"/>
      <c r="M31" s="12"/>
      <c r="N31" s="15"/>
      <c r="O31" s="12"/>
      <c r="P31" s="12"/>
      <c r="Q31" s="15"/>
      <c r="R31" s="12"/>
      <c r="S31" s="12"/>
      <c r="T31" s="15"/>
      <c r="U31" s="12"/>
      <c r="V31" s="12"/>
      <c r="W31" s="15"/>
      <c r="X31" s="12"/>
      <c r="Y31" s="12"/>
      <c r="Z31" s="15"/>
      <c r="AA31" s="12"/>
      <c r="AB31" s="12"/>
      <c r="AC31" s="15"/>
      <c r="AD31" s="12"/>
      <c r="AE31" s="12"/>
      <c r="AF31" s="15"/>
      <c r="AG31" s="12"/>
      <c r="AH31" s="12"/>
      <c r="AI31" s="15"/>
      <c r="AJ31" s="12"/>
      <c r="AK31" s="12"/>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row>
    <row r="32" spans="1:117" x14ac:dyDescent="0.2">
      <c r="I32" s="12"/>
      <c r="J32" s="12"/>
      <c r="K32" s="15"/>
      <c r="L32" s="12"/>
      <c r="M32" s="12"/>
      <c r="N32" s="15"/>
      <c r="O32" s="12"/>
      <c r="P32" s="12"/>
      <c r="Q32" s="15"/>
      <c r="R32" s="12"/>
      <c r="S32" s="12"/>
      <c r="T32" s="15"/>
      <c r="U32" s="12"/>
      <c r="V32" s="12"/>
      <c r="W32" s="15"/>
      <c r="X32" s="12"/>
      <c r="Y32" s="12"/>
      <c r="Z32" s="15"/>
      <c r="AA32" s="12"/>
      <c r="AB32" s="12"/>
      <c r="AC32" s="15"/>
      <c r="AD32" s="12"/>
      <c r="AE32" s="12"/>
      <c r="AF32" s="15"/>
      <c r="AG32" s="12"/>
      <c r="AH32" s="12"/>
      <c r="AI32" s="15"/>
      <c r="AJ32" s="12"/>
      <c r="AK32" s="12"/>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row>
    <row r="33" spans="9:116" x14ac:dyDescent="0.2">
      <c r="I33" s="12"/>
      <c r="J33" s="12"/>
      <c r="K33" s="15"/>
      <c r="L33" s="12"/>
      <c r="M33" s="12"/>
      <c r="N33" s="15"/>
      <c r="O33" s="12"/>
      <c r="P33" s="12"/>
      <c r="Q33" s="15"/>
      <c r="R33" s="12"/>
      <c r="S33" s="12"/>
      <c r="T33" s="15"/>
      <c r="U33" s="12"/>
      <c r="V33" s="12"/>
      <c r="W33" s="15"/>
      <c r="X33" s="12"/>
      <c r="Y33" s="12"/>
      <c r="Z33" s="15"/>
      <c r="AA33" s="12"/>
      <c r="AB33" s="12"/>
      <c r="AC33" s="15"/>
      <c r="AD33" s="12"/>
      <c r="AE33" s="12"/>
      <c r="AF33" s="15"/>
      <c r="AG33" s="12"/>
      <c r="AH33" s="12"/>
      <c r="AI33" s="15"/>
      <c r="AJ33" s="12"/>
      <c r="AK33" s="12"/>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row>
    <row r="34" spans="9:116" x14ac:dyDescent="0.2">
      <c r="I34" s="12"/>
      <c r="J34" s="12"/>
      <c r="K34" s="15"/>
      <c r="L34" s="12"/>
      <c r="M34" s="12"/>
      <c r="N34" s="15"/>
      <c r="O34" s="12"/>
      <c r="P34" s="12"/>
      <c r="Q34" s="15"/>
      <c r="R34" s="12"/>
      <c r="S34" s="12"/>
      <c r="T34" s="15"/>
      <c r="U34" s="12"/>
      <c r="V34" s="12"/>
      <c r="W34" s="15"/>
      <c r="X34" s="12"/>
      <c r="Y34" s="12"/>
      <c r="Z34" s="15"/>
      <c r="AA34" s="12"/>
      <c r="AB34" s="12"/>
      <c r="AC34" s="15"/>
      <c r="AD34" s="12"/>
      <c r="AE34" s="12"/>
      <c r="AF34" s="15"/>
      <c r="AG34" s="12"/>
      <c r="AH34" s="12"/>
      <c r="AI34" s="15"/>
      <c r="AJ34" s="12"/>
      <c r="AK34" s="12"/>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row>
    <row r="35" spans="9:116" x14ac:dyDescent="0.2">
      <c r="I35" s="12"/>
      <c r="J35" s="12"/>
      <c r="K35" s="15"/>
      <c r="L35" s="12"/>
      <c r="M35" s="12"/>
      <c r="N35" s="15"/>
      <c r="O35" s="12"/>
      <c r="P35" s="12"/>
      <c r="Q35" s="15"/>
      <c r="R35" s="12"/>
      <c r="S35" s="12"/>
      <c r="T35" s="15"/>
      <c r="U35" s="12"/>
      <c r="V35" s="12"/>
      <c r="W35" s="15"/>
      <c r="X35" s="12"/>
      <c r="Y35" s="12"/>
      <c r="Z35" s="15"/>
      <c r="AA35" s="12"/>
      <c r="AB35" s="12"/>
      <c r="AC35" s="15"/>
      <c r="AD35" s="12"/>
      <c r="AE35" s="12"/>
      <c r="AF35" s="15"/>
      <c r="AG35" s="12"/>
      <c r="AH35" s="12"/>
      <c r="AI35" s="15"/>
      <c r="AJ35" s="12"/>
      <c r="AK35" s="12"/>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row>
    <row r="36" spans="9:116" x14ac:dyDescent="0.2">
      <c r="I36" s="12"/>
      <c r="J36" s="12"/>
      <c r="K36" s="15"/>
      <c r="L36" s="12"/>
      <c r="M36" s="12"/>
      <c r="N36" s="15"/>
      <c r="O36" s="12"/>
      <c r="P36" s="12"/>
      <c r="Q36" s="15"/>
      <c r="R36" s="12"/>
      <c r="S36" s="12"/>
      <c r="T36" s="15"/>
      <c r="U36" s="12"/>
      <c r="V36" s="12"/>
      <c r="W36" s="15"/>
      <c r="X36" s="12"/>
      <c r="Y36" s="12"/>
      <c r="Z36" s="15"/>
      <c r="AA36" s="12"/>
      <c r="AB36" s="12"/>
      <c r="AC36" s="15"/>
      <c r="AD36" s="12"/>
      <c r="AE36" s="12"/>
      <c r="AF36" s="15"/>
      <c r="AG36" s="12"/>
      <c r="AH36" s="12"/>
      <c r="AI36" s="15"/>
      <c r="AJ36" s="12"/>
      <c r="AK36" s="12"/>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row>
    <row r="37" spans="9:116" x14ac:dyDescent="0.2">
      <c r="I37" s="12"/>
      <c r="J37" s="12"/>
      <c r="K37" s="15"/>
      <c r="L37" s="12"/>
      <c r="M37" s="12"/>
      <c r="N37" s="15"/>
      <c r="O37" s="12"/>
      <c r="P37" s="12"/>
      <c r="Q37" s="15"/>
      <c r="R37" s="12"/>
      <c r="S37" s="12"/>
      <c r="T37" s="15"/>
      <c r="U37" s="12"/>
      <c r="V37" s="12"/>
      <c r="W37" s="15"/>
      <c r="X37" s="12"/>
      <c r="Y37" s="12"/>
      <c r="Z37" s="15"/>
      <c r="AA37" s="12"/>
      <c r="AB37" s="12"/>
      <c r="AC37" s="15"/>
      <c r="AD37" s="12"/>
      <c r="AE37" s="12"/>
      <c r="AF37" s="15"/>
      <c r="AG37" s="12"/>
      <c r="AH37" s="12"/>
      <c r="AI37" s="15"/>
      <c r="AJ37" s="12"/>
      <c r="AK37" s="12"/>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row>
    <row r="38" spans="9:116" x14ac:dyDescent="0.2">
      <c r="I38" s="12"/>
      <c r="J38" s="12"/>
      <c r="K38" s="15"/>
      <c r="L38" s="12"/>
      <c r="M38" s="12"/>
      <c r="N38" s="15"/>
      <c r="O38" s="12"/>
      <c r="P38" s="12"/>
      <c r="Q38" s="15"/>
      <c r="R38" s="12"/>
      <c r="S38" s="12"/>
      <c r="T38" s="15"/>
      <c r="U38" s="12"/>
      <c r="V38" s="12"/>
      <c r="W38" s="15"/>
      <c r="X38" s="12"/>
      <c r="Y38" s="12"/>
      <c r="Z38" s="15"/>
      <c r="AA38" s="12"/>
      <c r="AB38" s="12"/>
      <c r="AC38" s="15"/>
      <c r="AD38" s="12"/>
      <c r="AE38" s="12"/>
      <c r="AF38" s="15"/>
      <c r="AG38" s="12"/>
      <c r="AH38" s="12"/>
      <c r="AI38" s="15"/>
      <c r="AJ38" s="12"/>
      <c r="AK38" s="12"/>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row>
    <row r="39" spans="9:116" x14ac:dyDescent="0.2">
      <c r="I39" s="12"/>
      <c r="J39" s="12"/>
      <c r="K39" s="15"/>
      <c r="L39" s="12"/>
      <c r="M39" s="12"/>
      <c r="N39" s="15"/>
      <c r="O39" s="12"/>
      <c r="P39" s="12"/>
      <c r="Q39" s="15"/>
      <c r="R39" s="12"/>
      <c r="S39" s="12"/>
      <c r="T39" s="15"/>
      <c r="U39" s="12"/>
      <c r="V39" s="12"/>
      <c r="W39" s="15"/>
      <c r="X39" s="12"/>
      <c r="Y39" s="12"/>
      <c r="Z39" s="15"/>
      <c r="AA39" s="12"/>
      <c r="AB39" s="12"/>
      <c r="AC39" s="15"/>
      <c r="AD39" s="12"/>
      <c r="AE39" s="12"/>
      <c r="AF39" s="15"/>
      <c r="AG39" s="12"/>
      <c r="AH39" s="12"/>
      <c r="AI39" s="15"/>
      <c r="AJ39" s="12"/>
      <c r="AK39" s="12"/>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row>
    <row r="40" spans="9:116" x14ac:dyDescent="0.2">
      <c r="I40" s="12"/>
      <c r="J40" s="12"/>
      <c r="K40" s="15"/>
      <c r="L40" s="12"/>
      <c r="M40" s="12"/>
      <c r="N40" s="15"/>
      <c r="O40" s="12"/>
      <c r="P40" s="12"/>
      <c r="Q40" s="15"/>
      <c r="R40" s="12"/>
      <c r="S40" s="12"/>
      <c r="T40" s="15"/>
      <c r="U40" s="12"/>
      <c r="V40" s="12"/>
      <c r="W40" s="15"/>
      <c r="X40" s="12"/>
      <c r="Y40" s="12"/>
      <c r="Z40" s="15"/>
      <c r="AA40" s="12"/>
      <c r="AB40" s="12"/>
      <c r="AC40" s="15"/>
      <c r="AD40" s="12"/>
      <c r="AE40" s="12"/>
      <c r="AF40" s="15"/>
      <c r="AG40" s="12"/>
      <c r="AH40" s="12"/>
      <c r="AI40" s="15"/>
      <c r="AJ40" s="12"/>
      <c r="AK40" s="12"/>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row>
    <row r="41" spans="9:116" x14ac:dyDescent="0.2">
      <c r="I41" s="12"/>
      <c r="J41" s="12"/>
      <c r="K41" s="15"/>
      <c r="L41" s="12"/>
      <c r="M41" s="12"/>
      <c r="N41" s="15"/>
      <c r="O41" s="12"/>
      <c r="P41" s="12"/>
      <c r="Q41" s="15"/>
      <c r="R41" s="12"/>
      <c r="S41" s="12"/>
      <c r="T41" s="15"/>
      <c r="U41" s="12"/>
      <c r="V41" s="12"/>
      <c r="W41" s="15"/>
      <c r="X41" s="12"/>
      <c r="Y41" s="12"/>
      <c r="Z41" s="15"/>
      <c r="AA41" s="12"/>
      <c r="AB41" s="12"/>
      <c r="AC41" s="15"/>
      <c r="AD41" s="12"/>
      <c r="AE41" s="12"/>
      <c r="AF41" s="15"/>
      <c r="AG41" s="12"/>
      <c r="AH41" s="12"/>
      <c r="AI41" s="15"/>
      <c r="AJ41" s="12"/>
      <c r="AK41" s="12"/>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row>
    <row r="42" spans="9:116" x14ac:dyDescent="0.2">
      <c r="I42" s="12"/>
      <c r="J42" s="12"/>
      <c r="K42" s="15"/>
      <c r="L42" s="12"/>
      <c r="M42" s="12"/>
      <c r="N42" s="15"/>
      <c r="O42" s="12"/>
      <c r="P42" s="12"/>
      <c r="Q42" s="15"/>
      <c r="R42" s="12"/>
      <c r="S42" s="12"/>
      <c r="T42" s="15"/>
      <c r="U42" s="12"/>
      <c r="V42" s="12"/>
      <c r="W42" s="15"/>
      <c r="X42" s="12"/>
      <c r="Y42" s="12"/>
      <c r="Z42" s="15"/>
      <c r="AA42" s="12"/>
      <c r="AB42" s="12"/>
      <c r="AC42" s="15"/>
      <c r="AD42" s="12"/>
      <c r="AE42" s="12"/>
      <c r="AF42" s="15"/>
      <c r="AG42" s="12"/>
      <c r="AH42" s="12"/>
      <c r="AI42" s="15"/>
      <c r="AJ42" s="12"/>
      <c r="AK42" s="12"/>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row>
    <row r="43" spans="9:116" x14ac:dyDescent="0.2">
      <c r="I43" s="12"/>
      <c r="J43" s="12"/>
      <c r="K43" s="15"/>
      <c r="L43" s="12"/>
      <c r="M43" s="12"/>
      <c r="N43" s="15"/>
      <c r="O43" s="12"/>
      <c r="P43" s="12"/>
      <c r="Q43" s="15"/>
      <c r="R43" s="12"/>
      <c r="S43" s="12"/>
      <c r="T43" s="15"/>
      <c r="U43" s="12"/>
      <c r="V43" s="12"/>
      <c r="W43" s="15"/>
      <c r="X43" s="12"/>
      <c r="Y43" s="12"/>
      <c r="Z43" s="15"/>
      <c r="AA43" s="12"/>
      <c r="AB43" s="12"/>
      <c r="AC43" s="15"/>
      <c r="AD43" s="12"/>
      <c r="AE43" s="12"/>
      <c r="AF43" s="15"/>
      <c r="AG43" s="12"/>
      <c r="AH43" s="12"/>
      <c r="AI43" s="15"/>
      <c r="AJ43" s="12"/>
      <c r="AK43" s="12"/>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row>
    <row r="44" spans="9:116" x14ac:dyDescent="0.2">
      <c r="I44" s="12"/>
      <c r="J44" s="12"/>
      <c r="K44" s="15"/>
      <c r="L44" s="12"/>
      <c r="M44" s="12"/>
      <c r="N44" s="15"/>
      <c r="O44" s="12"/>
      <c r="P44" s="12"/>
      <c r="Q44" s="15"/>
      <c r="R44" s="12"/>
      <c r="S44" s="12"/>
      <c r="T44" s="15"/>
      <c r="U44" s="12"/>
      <c r="V44" s="12"/>
      <c r="W44" s="15"/>
      <c r="X44" s="12"/>
      <c r="Y44" s="12"/>
      <c r="Z44" s="15"/>
      <c r="AA44" s="12"/>
      <c r="AB44" s="12"/>
      <c r="AC44" s="15"/>
      <c r="AD44" s="12"/>
      <c r="AE44" s="12"/>
      <c r="AF44" s="15"/>
      <c r="AG44" s="12"/>
      <c r="AH44" s="12"/>
      <c r="AI44" s="15"/>
      <c r="AJ44" s="12"/>
      <c r="AK44" s="12"/>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row>
    <row r="45" spans="9:116" x14ac:dyDescent="0.2">
      <c r="I45" s="12"/>
      <c r="J45" s="12"/>
      <c r="K45" s="15"/>
      <c r="L45" s="12"/>
      <c r="M45" s="12"/>
      <c r="N45" s="15"/>
      <c r="O45" s="12"/>
      <c r="P45" s="12"/>
      <c r="Q45" s="15"/>
      <c r="R45" s="12"/>
      <c r="S45" s="12"/>
      <c r="T45" s="15"/>
      <c r="U45" s="12"/>
      <c r="V45" s="12"/>
      <c r="W45" s="15"/>
      <c r="X45" s="12"/>
      <c r="Y45" s="12"/>
      <c r="Z45" s="15"/>
      <c r="AA45" s="12"/>
      <c r="AB45" s="12"/>
      <c r="AC45" s="15"/>
      <c r="AD45" s="12"/>
      <c r="AE45" s="12"/>
      <c r="AF45" s="15"/>
      <c r="AG45" s="12"/>
      <c r="AH45" s="12"/>
      <c r="AI45" s="15"/>
      <c r="AJ45" s="12"/>
      <c r="AK45" s="12"/>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row>
    <row r="46" spans="9:116" x14ac:dyDescent="0.2">
      <c r="I46" s="12"/>
      <c r="J46" s="12"/>
      <c r="K46" s="15"/>
      <c r="L46" s="12"/>
      <c r="M46" s="12"/>
      <c r="N46" s="15"/>
      <c r="O46" s="12"/>
      <c r="P46" s="12"/>
      <c r="Q46" s="15"/>
      <c r="R46" s="12"/>
      <c r="S46" s="12"/>
      <c r="T46" s="15"/>
      <c r="U46" s="12"/>
      <c r="V46" s="12"/>
      <c r="W46" s="15"/>
      <c r="X46" s="12"/>
      <c r="Y46" s="12"/>
      <c r="Z46" s="15"/>
      <c r="AA46" s="12"/>
      <c r="AB46" s="12"/>
      <c r="AC46" s="15"/>
      <c r="AD46" s="12"/>
      <c r="AE46" s="12"/>
      <c r="AF46" s="15"/>
      <c r="AG46" s="12"/>
      <c r="AH46" s="12"/>
      <c r="AI46" s="15"/>
      <c r="AJ46" s="12"/>
      <c r="AK46" s="12"/>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row>
    <row r="47" spans="9:116" x14ac:dyDescent="0.2">
      <c r="I47" s="12"/>
      <c r="J47" s="12"/>
      <c r="K47" s="15"/>
      <c r="L47" s="12"/>
      <c r="M47" s="12"/>
      <c r="N47" s="15"/>
      <c r="O47" s="12"/>
      <c r="P47" s="12"/>
      <c r="Q47" s="15"/>
      <c r="R47" s="12"/>
      <c r="S47" s="12"/>
      <c r="T47" s="15"/>
      <c r="U47" s="12"/>
      <c r="V47" s="12"/>
      <c r="W47" s="15"/>
      <c r="X47" s="12"/>
      <c r="Y47" s="12"/>
      <c r="Z47" s="15"/>
      <c r="AA47" s="12"/>
      <c r="AB47" s="12"/>
      <c r="AC47" s="15"/>
      <c r="AD47" s="12"/>
      <c r="AE47" s="12"/>
      <c r="AF47" s="15"/>
      <c r="AG47" s="12"/>
      <c r="AH47" s="12"/>
      <c r="AI47" s="15"/>
      <c r="AJ47" s="12"/>
      <c r="AK47" s="12"/>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row>
    <row r="48" spans="9:116" x14ac:dyDescent="0.2">
      <c r="I48" s="12"/>
      <c r="J48" s="12"/>
      <c r="K48" s="15"/>
      <c r="L48" s="12"/>
      <c r="M48" s="12"/>
      <c r="N48" s="15"/>
      <c r="O48" s="12"/>
      <c r="P48" s="12"/>
      <c r="Q48" s="15"/>
      <c r="R48" s="12"/>
      <c r="S48" s="12"/>
      <c r="T48" s="15"/>
      <c r="U48" s="12"/>
      <c r="V48" s="12"/>
      <c r="W48" s="15"/>
      <c r="X48" s="12"/>
      <c r="Y48" s="12"/>
      <c r="Z48" s="15"/>
      <c r="AA48" s="12"/>
      <c r="AB48" s="12"/>
      <c r="AC48" s="15"/>
      <c r="AD48" s="12"/>
      <c r="AE48" s="12"/>
      <c r="AF48" s="15"/>
      <c r="AG48" s="12"/>
      <c r="AH48" s="12"/>
      <c r="AI48" s="15"/>
      <c r="AJ48" s="12"/>
      <c r="AK48" s="12"/>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row>
    <row r="49" spans="9:116" x14ac:dyDescent="0.2">
      <c r="I49" s="12"/>
      <c r="J49" s="12"/>
      <c r="K49" s="15"/>
      <c r="L49" s="12"/>
      <c r="M49" s="12"/>
      <c r="N49" s="15"/>
      <c r="O49" s="12"/>
      <c r="P49" s="12"/>
      <c r="Q49" s="15"/>
      <c r="R49" s="12"/>
      <c r="S49" s="12"/>
      <c r="T49" s="15"/>
      <c r="U49" s="12"/>
      <c r="V49" s="12"/>
      <c r="W49" s="15"/>
      <c r="X49" s="12"/>
      <c r="Y49" s="12"/>
      <c r="Z49" s="15"/>
      <c r="AA49" s="12"/>
      <c r="AB49" s="12"/>
      <c r="AC49" s="15"/>
      <c r="AD49" s="12"/>
      <c r="AE49" s="12"/>
      <c r="AF49" s="15"/>
      <c r="AG49" s="12"/>
      <c r="AH49" s="12"/>
      <c r="AI49" s="15"/>
      <c r="AJ49" s="12"/>
      <c r="AK49" s="12"/>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row>
    <row r="50" spans="9:116" x14ac:dyDescent="0.2">
      <c r="I50" s="12"/>
      <c r="J50" s="12"/>
      <c r="K50" s="15"/>
      <c r="L50" s="12"/>
      <c r="M50" s="12"/>
      <c r="N50" s="15"/>
      <c r="O50" s="12"/>
      <c r="P50" s="12"/>
      <c r="Q50" s="15"/>
      <c r="R50" s="12"/>
      <c r="S50" s="12"/>
      <c r="T50" s="15"/>
      <c r="U50" s="12"/>
      <c r="V50" s="12"/>
      <c r="W50" s="15"/>
      <c r="X50" s="12"/>
      <c r="Y50" s="12"/>
      <c r="Z50" s="15"/>
      <c r="AA50" s="12"/>
      <c r="AB50" s="12"/>
      <c r="AC50" s="15"/>
      <c r="AD50" s="12"/>
      <c r="AE50" s="12"/>
      <c r="AF50" s="15"/>
      <c r="AG50" s="12"/>
      <c r="AH50" s="12"/>
      <c r="AI50" s="15"/>
      <c r="AJ50" s="12"/>
      <c r="AK50" s="12"/>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row>
    <row r="51" spans="9:116" x14ac:dyDescent="0.2">
      <c r="I51" s="12"/>
      <c r="J51" s="12"/>
      <c r="K51" s="15"/>
      <c r="L51" s="12"/>
      <c r="M51" s="12"/>
      <c r="N51" s="15"/>
      <c r="O51" s="12"/>
      <c r="P51" s="12"/>
      <c r="Q51" s="15"/>
      <c r="R51" s="12"/>
      <c r="S51" s="12"/>
      <c r="T51" s="15"/>
      <c r="U51" s="12"/>
      <c r="V51" s="12"/>
      <c r="W51" s="15"/>
      <c r="X51" s="12"/>
      <c r="Y51" s="12"/>
      <c r="Z51" s="15"/>
      <c r="AA51" s="12"/>
      <c r="AB51" s="12"/>
      <c r="AC51" s="15"/>
      <c r="AD51" s="12"/>
      <c r="AE51" s="12"/>
      <c r="AF51" s="15"/>
      <c r="AG51" s="12"/>
      <c r="AH51" s="12"/>
      <c r="AI51" s="15"/>
      <c r="AJ51" s="12"/>
      <c r="AK51" s="12"/>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row>
    <row r="52" spans="9:116" x14ac:dyDescent="0.2">
      <c r="I52" s="12"/>
      <c r="J52" s="12"/>
      <c r="K52" s="15"/>
      <c r="L52" s="12"/>
      <c r="M52" s="12"/>
      <c r="N52" s="15"/>
      <c r="O52" s="12"/>
      <c r="P52" s="12"/>
      <c r="Q52" s="15"/>
      <c r="R52" s="12"/>
      <c r="S52" s="12"/>
      <c r="T52" s="15"/>
      <c r="U52" s="12"/>
      <c r="V52" s="12"/>
      <c r="W52" s="15"/>
      <c r="X52" s="12"/>
      <c r="Y52" s="12"/>
      <c r="Z52" s="15"/>
      <c r="AA52" s="12"/>
      <c r="AB52" s="12"/>
      <c r="AC52" s="15"/>
      <c r="AD52" s="12"/>
      <c r="AE52" s="12"/>
      <c r="AF52" s="15"/>
      <c r="AG52" s="12"/>
      <c r="AH52" s="12"/>
      <c r="AI52" s="15"/>
      <c r="AJ52" s="12"/>
      <c r="AK52" s="12"/>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row>
    <row r="53" spans="9:116" x14ac:dyDescent="0.2">
      <c r="I53" s="12"/>
      <c r="J53" s="12"/>
      <c r="K53" s="15"/>
      <c r="L53" s="12"/>
      <c r="M53" s="12"/>
      <c r="N53" s="15"/>
      <c r="O53" s="12"/>
      <c r="P53" s="12"/>
      <c r="Q53" s="15"/>
      <c r="R53" s="12"/>
      <c r="S53" s="12"/>
      <c r="T53" s="15"/>
      <c r="U53" s="12"/>
      <c r="V53" s="12"/>
      <c r="W53" s="15"/>
      <c r="X53" s="12"/>
      <c r="Y53" s="12"/>
      <c r="Z53" s="15"/>
      <c r="AA53" s="12"/>
      <c r="AB53" s="12"/>
      <c r="AC53" s="15"/>
      <c r="AD53" s="12"/>
      <c r="AE53" s="12"/>
      <c r="AF53" s="15"/>
      <c r="AG53" s="12"/>
      <c r="AH53" s="12"/>
      <c r="AI53" s="15"/>
      <c r="AJ53" s="12"/>
      <c r="AK53" s="12"/>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row>
    <row r="54" spans="9:116" x14ac:dyDescent="0.2">
      <c r="I54" s="12"/>
      <c r="J54" s="12"/>
      <c r="K54" s="15"/>
      <c r="L54" s="12"/>
      <c r="M54" s="12"/>
      <c r="N54" s="15"/>
      <c r="O54" s="12"/>
      <c r="P54" s="12"/>
      <c r="Q54" s="15"/>
      <c r="R54" s="12"/>
      <c r="S54" s="12"/>
      <c r="T54" s="15"/>
      <c r="U54" s="12"/>
      <c r="V54" s="12"/>
      <c r="W54" s="15"/>
      <c r="X54" s="12"/>
      <c r="Y54" s="12"/>
      <c r="Z54" s="15"/>
      <c r="AA54" s="12"/>
      <c r="AB54" s="12"/>
      <c r="AC54" s="15"/>
      <c r="AD54" s="12"/>
      <c r="AE54" s="12"/>
      <c r="AF54" s="15"/>
      <c r="AG54" s="12"/>
      <c r="AH54" s="12"/>
      <c r="AI54" s="15"/>
      <c r="AJ54" s="12"/>
      <c r="AK54" s="12"/>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row>
    <row r="55" spans="9:116" x14ac:dyDescent="0.2">
      <c r="I55" s="12"/>
      <c r="J55" s="12"/>
      <c r="K55" s="15"/>
      <c r="L55" s="12"/>
      <c r="M55" s="12"/>
      <c r="N55" s="15"/>
      <c r="O55" s="12"/>
      <c r="P55" s="12"/>
      <c r="Q55" s="15"/>
      <c r="R55" s="12"/>
      <c r="S55" s="12"/>
      <c r="T55" s="15"/>
      <c r="U55" s="12"/>
      <c r="V55" s="12"/>
      <c r="W55" s="15"/>
      <c r="X55" s="12"/>
      <c r="Y55" s="12"/>
      <c r="Z55" s="15"/>
      <c r="AA55" s="12"/>
      <c r="AB55" s="12"/>
      <c r="AC55" s="15"/>
      <c r="AD55" s="12"/>
      <c r="AE55" s="12"/>
      <c r="AF55" s="15"/>
      <c r="AG55" s="12"/>
      <c r="AH55" s="12"/>
      <c r="AI55" s="15"/>
      <c r="AJ55" s="12"/>
      <c r="AK55" s="12"/>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row>
    <row r="56" spans="9:116" x14ac:dyDescent="0.2">
      <c r="I56" s="12"/>
      <c r="J56" s="12"/>
      <c r="K56" s="15"/>
      <c r="L56" s="12"/>
      <c r="M56" s="12"/>
      <c r="N56" s="15"/>
      <c r="O56" s="12"/>
      <c r="P56" s="12"/>
      <c r="Q56" s="15"/>
      <c r="R56" s="12"/>
      <c r="S56" s="12"/>
      <c r="T56" s="15"/>
      <c r="U56" s="12"/>
      <c r="V56" s="12"/>
      <c r="W56" s="15"/>
      <c r="X56" s="12"/>
      <c r="Y56" s="12"/>
      <c r="Z56" s="15"/>
      <c r="AA56" s="12"/>
      <c r="AB56" s="12"/>
      <c r="AC56" s="15"/>
      <c r="AD56" s="12"/>
      <c r="AE56" s="12"/>
      <c r="AF56" s="15"/>
      <c r="AG56" s="12"/>
      <c r="AH56" s="12"/>
      <c r="AI56" s="15"/>
      <c r="AJ56" s="12"/>
      <c r="AK56" s="12"/>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row>
    <row r="57" spans="9:116" x14ac:dyDescent="0.2">
      <c r="I57" s="12"/>
      <c r="J57" s="12"/>
      <c r="K57" s="15"/>
      <c r="L57" s="12"/>
      <c r="M57" s="12"/>
      <c r="N57" s="15"/>
      <c r="O57" s="12"/>
      <c r="P57" s="12"/>
      <c r="Q57" s="15"/>
      <c r="R57" s="12"/>
      <c r="S57" s="12"/>
      <c r="T57" s="15"/>
      <c r="U57" s="12"/>
      <c r="V57" s="12"/>
      <c r="W57" s="15"/>
      <c r="X57" s="12"/>
      <c r="Y57" s="12"/>
      <c r="Z57" s="15"/>
      <c r="AA57" s="12"/>
      <c r="AB57" s="12"/>
      <c r="AC57" s="15"/>
      <c r="AD57" s="12"/>
      <c r="AE57" s="12"/>
      <c r="AF57" s="15"/>
      <c r="AG57" s="12"/>
      <c r="AH57" s="12"/>
      <c r="AI57" s="15"/>
      <c r="AJ57" s="12"/>
      <c r="AK57" s="12"/>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row>
    <row r="58" spans="9:116" x14ac:dyDescent="0.2">
      <c r="I58" s="12"/>
      <c r="J58" s="12"/>
      <c r="K58" s="15"/>
      <c r="L58" s="12"/>
      <c r="M58" s="12"/>
      <c r="N58" s="15"/>
      <c r="O58" s="12"/>
      <c r="P58" s="12"/>
      <c r="Q58" s="15"/>
      <c r="R58" s="12"/>
      <c r="S58" s="12"/>
      <c r="T58" s="15"/>
      <c r="U58" s="12"/>
      <c r="V58" s="12"/>
      <c r="W58" s="15"/>
      <c r="X58" s="12"/>
      <c r="Y58" s="12"/>
      <c r="Z58" s="15"/>
      <c r="AA58" s="12"/>
      <c r="AB58" s="12"/>
      <c r="AC58" s="15"/>
      <c r="AD58" s="12"/>
      <c r="AE58" s="12"/>
      <c r="AF58" s="15"/>
      <c r="AG58" s="12"/>
      <c r="AH58" s="12"/>
      <c r="AI58" s="15"/>
      <c r="AJ58" s="12"/>
      <c r="AK58" s="12"/>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row>
    <row r="59" spans="9:116" x14ac:dyDescent="0.2">
      <c r="I59" s="12"/>
      <c r="J59" s="12"/>
      <c r="K59" s="15"/>
      <c r="L59" s="12"/>
      <c r="M59" s="12"/>
      <c r="N59" s="15"/>
      <c r="O59" s="12"/>
      <c r="P59" s="12"/>
      <c r="Q59" s="15"/>
      <c r="R59" s="12"/>
      <c r="S59" s="12"/>
      <c r="T59" s="15"/>
      <c r="U59" s="12"/>
      <c r="V59" s="12"/>
      <c r="W59" s="15"/>
      <c r="X59" s="12"/>
      <c r="Y59" s="12"/>
      <c r="Z59" s="15"/>
      <c r="AA59" s="12"/>
      <c r="AB59" s="12"/>
      <c r="AC59" s="15"/>
      <c r="AD59" s="12"/>
      <c r="AE59" s="12"/>
      <c r="AF59" s="15"/>
      <c r="AG59" s="12"/>
      <c r="AH59" s="12"/>
      <c r="AI59" s="15"/>
      <c r="AJ59" s="12"/>
      <c r="AK59" s="12"/>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row>
    <row r="60" spans="9:116" x14ac:dyDescent="0.2">
      <c r="I60" s="12"/>
      <c r="J60" s="12"/>
      <c r="K60" s="15"/>
      <c r="L60" s="12"/>
      <c r="M60" s="12"/>
      <c r="N60" s="15"/>
      <c r="O60" s="12"/>
      <c r="P60" s="12"/>
      <c r="Q60" s="15"/>
      <c r="R60" s="12"/>
      <c r="S60" s="12"/>
      <c r="T60" s="15"/>
      <c r="U60" s="12"/>
      <c r="V60" s="12"/>
      <c r="W60" s="15"/>
      <c r="X60" s="12"/>
      <c r="Y60" s="12"/>
      <c r="Z60" s="15"/>
      <c r="AA60" s="12"/>
      <c r="AB60" s="12"/>
      <c r="AC60" s="15"/>
      <c r="AD60" s="12"/>
      <c r="AE60" s="12"/>
      <c r="AF60" s="15"/>
      <c r="AG60" s="12"/>
      <c r="AH60" s="12"/>
      <c r="AI60" s="15"/>
      <c r="AJ60" s="12"/>
      <c r="AK60" s="1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row>
    <row r="61" spans="9:116" x14ac:dyDescent="0.2">
      <c r="I61" s="12"/>
      <c r="J61" s="12"/>
      <c r="K61" s="15"/>
      <c r="L61" s="12"/>
      <c r="M61" s="12"/>
      <c r="N61" s="15"/>
      <c r="O61" s="12"/>
      <c r="P61" s="12"/>
      <c r="Q61" s="15"/>
      <c r="R61" s="12"/>
      <c r="S61" s="12"/>
      <c r="T61" s="15"/>
      <c r="U61" s="12"/>
      <c r="V61" s="12"/>
      <c r="W61" s="15"/>
      <c r="X61" s="12"/>
      <c r="Y61" s="12"/>
      <c r="Z61" s="15"/>
      <c r="AA61" s="12"/>
      <c r="AB61" s="12"/>
      <c r="AC61" s="15"/>
      <c r="AD61" s="12"/>
      <c r="AE61" s="12"/>
      <c r="AF61" s="15"/>
      <c r="AG61" s="12"/>
      <c r="AH61" s="12"/>
      <c r="AI61" s="15"/>
      <c r="AJ61" s="12"/>
      <c r="AK61" s="12"/>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row>
    <row r="62" spans="9:116" x14ac:dyDescent="0.2">
      <c r="I62" s="12"/>
      <c r="J62" s="12"/>
      <c r="K62" s="15"/>
      <c r="L62" s="12"/>
      <c r="M62" s="12"/>
      <c r="N62" s="15"/>
      <c r="O62" s="12"/>
      <c r="P62" s="12"/>
      <c r="Q62" s="15"/>
      <c r="R62" s="12"/>
      <c r="S62" s="12"/>
      <c r="T62" s="15"/>
      <c r="U62" s="12"/>
      <c r="V62" s="12"/>
      <c r="W62" s="15"/>
      <c r="X62" s="12"/>
      <c r="Y62" s="12"/>
      <c r="Z62" s="15"/>
      <c r="AA62" s="12"/>
      <c r="AB62" s="12"/>
      <c r="AC62" s="15"/>
      <c r="AD62" s="12"/>
      <c r="AE62" s="12"/>
      <c r="AF62" s="15"/>
      <c r="AG62" s="12"/>
      <c r="AH62" s="12"/>
      <c r="AI62" s="15"/>
      <c r="AJ62" s="12"/>
      <c r="AK62" s="1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row>
    <row r="63" spans="9:116" x14ac:dyDescent="0.2">
      <c r="I63" s="12"/>
      <c r="J63" s="12"/>
      <c r="K63" s="15"/>
      <c r="L63" s="12"/>
      <c r="M63" s="12"/>
      <c r="N63" s="15"/>
      <c r="O63" s="12"/>
      <c r="P63" s="12"/>
      <c r="Q63" s="15"/>
      <c r="R63" s="12"/>
      <c r="S63" s="12"/>
      <c r="T63" s="15"/>
      <c r="U63" s="12"/>
      <c r="V63" s="12"/>
      <c r="W63" s="15"/>
      <c r="X63" s="12"/>
      <c r="Y63" s="12"/>
      <c r="Z63" s="15"/>
      <c r="AA63" s="12"/>
      <c r="AB63" s="12"/>
      <c r="AC63" s="15"/>
      <c r="AD63" s="12"/>
      <c r="AE63" s="12"/>
      <c r="AF63" s="15"/>
      <c r="AG63" s="12"/>
      <c r="AH63" s="12"/>
      <c r="AI63" s="15"/>
      <c r="AJ63" s="12"/>
      <c r="AK63" s="1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row>
    <row r="64" spans="9:116" x14ac:dyDescent="0.2">
      <c r="I64" s="12"/>
      <c r="J64" s="12"/>
      <c r="K64" s="15"/>
      <c r="L64" s="12"/>
      <c r="M64" s="12"/>
      <c r="N64" s="15"/>
      <c r="O64" s="12"/>
      <c r="P64" s="12"/>
      <c r="Q64" s="15"/>
      <c r="R64" s="12"/>
      <c r="S64" s="12"/>
      <c r="T64" s="15"/>
      <c r="U64" s="12"/>
      <c r="V64" s="12"/>
      <c r="W64" s="15"/>
      <c r="X64" s="12"/>
      <c r="Y64" s="12"/>
      <c r="Z64" s="15"/>
      <c r="AA64" s="12"/>
      <c r="AB64" s="12"/>
      <c r="AC64" s="15"/>
      <c r="AD64" s="12"/>
      <c r="AE64" s="12"/>
      <c r="AF64" s="15"/>
      <c r="AG64" s="12"/>
      <c r="AH64" s="12"/>
      <c r="AI64" s="15"/>
      <c r="AJ64" s="12"/>
      <c r="AK64" s="1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row>
    <row r="65" spans="9:116" x14ac:dyDescent="0.2">
      <c r="I65" s="12"/>
      <c r="J65" s="12"/>
      <c r="K65" s="15"/>
      <c r="L65" s="12"/>
      <c r="M65" s="12"/>
      <c r="N65" s="15"/>
      <c r="O65" s="12"/>
      <c r="P65" s="12"/>
      <c r="Q65" s="15"/>
      <c r="R65" s="12"/>
      <c r="S65" s="12"/>
      <c r="T65" s="15"/>
      <c r="U65" s="12"/>
      <c r="V65" s="12"/>
      <c r="W65" s="15"/>
      <c r="X65" s="12"/>
      <c r="Y65" s="12"/>
      <c r="Z65" s="15"/>
      <c r="AA65" s="12"/>
      <c r="AB65" s="12"/>
      <c r="AC65" s="15"/>
      <c r="AD65" s="12"/>
      <c r="AE65" s="12"/>
      <c r="AF65" s="15"/>
      <c r="AG65" s="12"/>
      <c r="AH65" s="12"/>
      <c r="AI65" s="15"/>
      <c r="AJ65" s="12"/>
      <c r="AK65" s="1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row>
    <row r="66" spans="9:116" x14ac:dyDescent="0.2">
      <c r="I66" s="12"/>
      <c r="J66" s="12"/>
      <c r="K66" s="15"/>
      <c r="L66" s="12"/>
      <c r="M66" s="12"/>
      <c r="N66" s="15"/>
      <c r="O66" s="12"/>
      <c r="P66" s="12"/>
      <c r="Q66" s="15"/>
      <c r="R66" s="12"/>
      <c r="S66" s="12"/>
      <c r="T66" s="15"/>
      <c r="U66" s="12"/>
      <c r="V66" s="12"/>
      <c r="W66" s="15"/>
      <c r="X66" s="12"/>
      <c r="Y66" s="12"/>
      <c r="Z66" s="15"/>
      <c r="AA66" s="12"/>
      <c r="AB66" s="12"/>
      <c r="AC66" s="15"/>
      <c r="AD66" s="12"/>
      <c r="AE66" s="12"/>
      <c r="AF66" s="15"/>
      <c r="AG66" s="12"/>
      <c r="AH66" s="12"/>
      <c r="AI66" s="15"/>
      <c r="AJ66" s="12"/>
      <c r="AK66" s="12"/>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row>
    <row r="67" spans="9:116" x14ac:dyDescent="0.2">
      <c r="I67" s="12"/>
      <c r="J67" s="12"/>
      <c r="K67" s="15"/>
      <c r="L67" s="12"/>
      <c r="M67" s="12"/>
      <c r="N67" s="15"/>
      <c r="O67" s="12"/>
      <c r="P67" s="12"/>
      <c r="Q67" s="15"/>
      <c r="R67" s="12"/>
      <c r="S67" s="12"/>
      <c r="T67" s="15"/>
      <c r="U67" s="12"/>
      <c r="V67" s="12"/>
      <c r="W67" s="15"/>
      <c r="X67" s="12"/>
      <c r="Y67" s="12"/>
      <c r="Z67" s="15"/>
      <c r="AA67" s="12"/>
      <c r="AB67" s="12"/>
      <c r="AC67" s="15"/>
      <c r="AD67" s="12"/>
      <c r="AE67" s="12"/>
      <c r="AF67" s="15"/>
      <c r="AG67" s="12"/>
      <c r="AH67" s="12"/>
      <c r="AI67" s="15"/>
      <c r="AJ67" s="12"/>
      <c r="AK67" s="12"/>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row>
    <row r="68" spans="9:116" x14ac:dyDescent="0.2">
      <c r="I68" s="12"/>
      <c r="J68" s="12"/>
      <c r="K68" s="15"/>
      <c r="L68" s="12"/>
      <c r="M68" s="12"/>
      <c r="N68" s="15"/>
      <c r="O68" s="12"/>
      <c r="P68" s="12"/>
      <c r="Q68" s="15"/>
      <c r="R68" s="12"/>
      <c r="S68" s="12"/>
      <c r="T68" s="15"/>
      <c r="U68" s="12"/>
      <c r="V68" s="12"/>
      <c r="W68" s="15"/>
      <c r="X68" s="12"/>
      <c r="Y68" s="12"/>
      <c r="Z68" s="15"/>
      <c r="AA68" s="12"/>
      <c r="AB68" s="12"/>
      <c r="AC68" s="15"/>
      <c r="AD68" s="12"/>
      <c r="AE68" s="12"/>
      <c r="AF68" s="15"/>
      <c r="AG68" s="12"/>
      <c r="AH68" s="12"/>
      <c r="AI68" s="15"/>
      <c r="AJ68" s="12"/>
      <c r="AK68" s="12"/>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row>
    <row r="69" spans="9:116" x14ac:dyDescent="0.2">
      <c r="I69" s="12"/>
      <c r="J69" s="12"/>
      <c r="K69" s="15"/>
      <c r="L69" s="12"/>
      <c r="M69" s="12"/>
      <c r="N69" s="15"/>
      <c r="O69" s="12"/>
      <c r="P69" s="12"/>
      <c r="Q69" s="15"/>
      <c r="R69" s="12"/>
      <c r="S69" s="12"/>
      <c r="T69" s="15"/>
      <c r="U69" s="12"/>
      <c r="V69" s="12"/>
      <c r="W69" s="15"/>
      <c r="X69" s="12"/>
      <c r="Y69" s="12"/>
      <c r="Z69" s="15"/>
      <c r="AA69" s="12"/>
      <c r="AB69" s="12"/>
      <c r="AC69" s="15"/>
      <c r="AD69" s="12"/>
      <c r="AE69" s="12"/>
      <c r="AF69" s="15"/>
      <c r="AG69" s="12"/>
      <c r="AH69" s="12"/>
      <c r="AI69" s="15"/>
      <c r="AJ69" s="12"/>
      <c r="AK69" s="12"/>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row>
    <row r="70" spans="9:116" x14ac:dyDescent="0.2">
      <c r="I70" s="12"/>
      <c r="J70" s="12"/>
      <c r="K70" s="15"/>
      <c r="L70" s="12"/>
      <c r="M70" s="12"/>
      <c r="N70" s="15"/>
      <c r="O70" s="12"/>
      <c r="P70" s="12"/>
      <c r="Q70" s="15"/>
      <c r="R70" s="12"/>
      <c r="S70" s="12"/>
      <c r="T70" s="15"/>
      <c r="U70" s="12"/>
      <c r="V70" s="12"/>
      <c r="W70" s="15"/>
      <c r="X70" s="12"/>
      <c r="Y70" s="12"/>
      <c r="Z70" s="15"/>
      <c r="AA70" s="12"/>
      <c r="AB70" s="12"/>
      <c r="AC70" s="15"/>
      <c r="AD70" s="12"/>
      <c r="AE70" s="12"/>
      <c r="AF70" s="15"/>
      <c r="AG70" s="12"/>
      <c r="AH70" s="12"/>
      <c r="AI70" s="15"/>
      <c r="AJ70" s="12"/>
      <c r="AK70" s="12"/>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row>
    <row r="71" spans="9:116" x14ac:dyDescent="0.2">
      <c r="I71" s="12"/>
      <c r="J71" s="12"/>
      <c r="K71" s="15"/>
      <c r="L71" s="12"/>
      <c r="M71" s="12"/>
      <c r="N71" s="15"/>
      <c r="O71" s="12"/>
      <c r="P71" s="12"/>
      <c r="Q71" s="15"/>
      <c r="R71" s="12"/>
      <c r="S71" s="12"/>
      <c r="T71" s="15"/>
      <c r="U71" s="12"/>
      <c r="V71" s="12"/>
      <c r="W71" s="15"/>
      <c r="X71" s="12"/>
      <c r="Y71" s="12"/>
      <c r="Z71" s="15"/>
      <c r="AA71" s="12"/>
      <c r="AB71" s="12"/>
      <c r="AC71" s="15"/>
      <c r="AD71" s="12"/>
      <c r="AE71" s="12"/>
      <c r="AF71" s="15"/>
      <c r="AG71" s="12"/>
      <c r="AH71" s="12"/>
      <c r="AI71" s="15"/>
      <c r="AJ71" s="12"/>
      <c r="AK71" s="12"/>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row>
    <row r="72" spans="9:116" x14ac:dyDescent="0.2">
      <c r="I72" s="12"/>
      <c r="J72" s="12"/>
      <c r="K72" s="15"/>
      <c r="L72" s="12"/>
      <c r="M72" s="12"/>
      <c r="N72" s="15"/>
      <c r="O72" s="12"/>
      <c r="P72" s="12"/>
      <c r="Q72" s="15"/>
      <c r="R72" s="12"/>
      <c r="S72" s="12"/>
      <c r="T72" s="15"/>
      <c r="U72" s="12"/>
      <c r="V72" s="12"/>
      <c r="W72" s="15"/>
      <c r="X72" s="12"/>
      <c r="Y72" s="12"/>
      <c r="Z72" s="15"/>
      <c r="AA72" s="12"/>
      <c r="AB72" s="12"/>
      <c r="AC72" s="15"/>
      <c r="AD72" s="12"/>
      <c r="AE72" s="12"/>
      <c r="AF72" s="15"/>
      <c r="AG72" s="12"/>
      <c r="AH72" s="12"/>
      <c r="AI72" s="15"/>
      <c r="AJ72" s="12"/>
      <c r="AK72" s="12"/>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row>
    <row r="73" spans="9:116" x14ac:dyDescent="0.2">
      <c r="I73" s="12"/>
      <c r="J73" s="12"/>
      <c r="K73" s="15"/>
      <c r="L73" s="12"/>
      <c r="M73" s="12"/>
      <c r="N73" s="15"/>
      <c r="O73" s="12"/>
      <c r="P73" s="12"/>
      <c r="Q73" s="15"/>
      <c r="R73" s="12"/>
      <c r="S73" s="12"/>
      <c r="T73" s="15"/>
      <c r="U73" s="12"/>
      <c r="V73" s="12"/>
      <c r="W73" s="15"/>
      <c r="X73" s="12"/>
      <c r="Y73" s="12"/>
      <c r="Z73" s="15"/>
      <c r="AA73" s="12"/>
      <c r="AB73" s="12"/>
      <c r="AC73" s="15"/>
      <c r="AD73" s="12"/>
      <c r="AE73" s="12"/>
      <c r="AF73" s="15"/>
      <c r="AG73" s="12"/>
      <c r="AH73" s="12"/>
      <c r="AI73" s="15"/>
      <c r="AJ73" s="12"/>
      <c r="AK73" s="12"/>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row>
    <row r="74" spans="9:116" x14ac:dyDescent="0.2">
      <c r="I74" s="12"/>
      <c r="J74" s="12"/>
      <c r="K74" s="15"/>
      <c r="L74" s="12"/>
      <c r="M74" s="12"/>
      <c r="N74" s="15"/>
      <c r="O74" s="12"/>
      <c r="P74" s="12"/>
      <c r="Q74" s="15"/>
      <c r="R74" s="12"/>
      <c r="S74" s="12"/>
      <c r="T74" s="15"/>
      <c r="U74" s="12"/>
      <c r="V74" s="12"/>
      <c r="W74" s="15"/>
      <c r="X74" s="12"/>
      <c r="Y74" s="12"/>
      <c r="Z74" s="15"/>
      <c r="AA74" s="12"/>
      <c r="AB74" s="12"/>
      <c r="AC74" s="15"/>
      <c r="AD74" s="12"/>
      <c r="AE74" s="12"/>
      <c r="AF74" s="15"/>
      <c r="AG74" s="12"/>
      <c r="AH74" s="12"/>
      <c r="AI74" s="15"/>
      <c r="AJ74" s="12"/>
      <c r="AK74" s="12"/>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row>
    <row r="75" spans="9:116" x14ac:dyDescent="0.2">
      <c r="I75" s="12"/>
      <c r="J75" s="12"/>
      <c r="K75" s="15"/>
      <c r="L75" s="12"/>
      <c r="M75" s="12"/>
      <c r="N75" s="15"/>
      <c r="O75" s="12"/>
      <c r="P75" s="12"/>
      <c r="Q75" s="15"/>
      <c r="R75" s="12"/>
      <c r="S75" s="12"/>
      <c r="T75" s="15"/>
      <c r="U75" s="12"/>
      <c r="V75" s="12"/>
      <c r="W75" s="15"/>
      <c r="X75" s="12"/>
      <c r="Y75" s="12"/>
      <c r="Z75" s="15"/>
      <c r="AA75" s="12"/>
      <c r="AB75" s="12"/>
      <c r="AC75" s="15"/>
      <c r="AD75" s="12"/>
      <c r="AE75" s="12"/>
      <c r="AF75" s="15"/>
      <c r="AG75" s="12"/>
      <c r="AH75" s="12"/>
      <c r="AI75" s="15"/>
      <c r="AJ75" s="12"/>
      <c r="AK75" s="12"/>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row>
    <row r="76" spans="9:116" x14ac:dyDescent="0.2">
      <c r="I76" s="12"/>
      <c r="J76" s="12"/>
      <c r="K76" s="15"/>
      <c r="L76" s="12"/>
      <c r="M76" s="12"/>
      <c r="N76" s="15"/>
      <c r="O76" s="12"/>
      <c r="P76" s="12"/>
      <c r="Q76" s="15"/>
      <c r="R76" s="12"/>
      <c r="S76" s="12"/>
      <c r="T76" s="15"/>
      <c r="U76" s="12"/>
      <c r="V76" s="12"/>
      <c r="W76" s="15"/>
      <c r="X76" s="12"/>
      <c r="Y76" s="12"/>
      <c r="Z76" s="15"/>
      <c r="AA76" s="12"/>
      <c r="AB76" s="12"/>
      <c r="AC76" s="15"/>
      <c r="AD76" s="12"/>
      <c r="AE76" s="12"/>
      <c r="AF76" s="15"/>
      <c r="AG76" s="12"/>
      <c r="AH76" s="12"/>
      <c r="AI76" s="15"/>
      <c r="AJ76" s="12"/>
      <c r="AK76" s="12"/>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row>
    <row r="77" spans="9:116" x14ac:dyDescent="0.2">
      <c r="I77" s="12"/>
      <c r="J77" s="12"/>
      <c r="K77" s="15"/>
      <c r="L77" s="12"/>
      <c r="M77" s="12"/>
      <c r="N77" s="15"/>
      <c r="O77" s="12"/>
      <c r="P77" s="12"/>
      <c r="Q77" s="15"/>
      <c r="R77" s="12"/>
      <c r="S77" s="12"/>
      <c r="T77" s="15"/>
      <c r="U77" s="12"/>
      <c r="V77" s="12"/>
      <c r="W77" s="15"/>
      <c r="X77" s="12"/>
      <c r="Y77" s="12"/>
      <c r="Z77" s="15"/>
      <c r="AA77" s="12"/>
      <c r="AB77" s="12"/>
      <c r="AC77" s="15"/>
      <c r="AD77" s="12"/>
      <c r="AE77" s="12"/>
      <c r="AF77" s="15"/>
      <c r="AG77" s="12"/>
      <c r="AH77" s="12"/>
      <c r="AI77" s="15"/>
      <c r="AJ77" s="12"/>
      <c r="AK77" s="12"/>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row>
    <row r="78" spans="9:116" x14ac:dyDescent="0.2">
      <c r="I78" s="12"/>
      <c r="J78" s="12"/>
      <c r="K78" s="15"/>
      <c r="L78" s="12"/>
      <c r="M78" s="12"/>
      <c r="N78" s="15"/>
      <c r="O78" s="12"/>
      <c r="P78" s="12"/>
      <c r="Q78" s="15"/>
      <c r="R78" s="12"/>
      <c r="S78" s="12"/>
      <c r="T78" s="15"/>
      <c r="U78" s="12"/>
      <c r="V78" s="12"/>
      <c r="W78" s="15"/>
      <c r="X78" s="12"/>
      <c r="Y78" s="12"/>
      <c r="Z78" s="15"/>
      <c r="AA78" s="12"/>
      <c r="AB78" s="12"/>
      <c r="AC78" s="15"/>
      <c r="AD78" s="12"/>
      <c r="AE78" s="12"/>
      <c r="AF78" s="15"/>
      <c r="AG78" s="12"/>
      <c r="AH78" s="12"/>
      <c r="AI78" s="15"/>
      <c r="AJ78" s="12"/>
      <c r="AK78" s="12"/>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row>
    <row r="79" spans="9:116" x14ac:dyDescent="0.2">
      <c r="I79" s="12"/>
      <c r="J79" s="12"/>
      <c r="K79" s="15"/>
      <c r="L79" s="12"/>
      <c r="M79" s="12"/>
      <c r="N79" s="15"/>
      <c r="O79" s="12"/>
      <c r="P79" s="12"/>
      <c r="Q79" s="15"/>
      <c r="R79" s="12"/>
      <c r="S79" s="12"/>
      <c r="T79" s="15"/>
      <c r="U79" s="12"/>
      <c r="V79" s="12"/>
      <c r="W79" s="15"/>
      <c r="X79" s="12"/>
      <c r="Y79" s="12"/>
      <c r="Z79" s="15"/>
      <c r="AA79" s="12"/>
      <c r="AB79" s="12"/>
      <c r="AC79" s="15"/>
      <c r="AD79" s="12"/>
      <c r="AE79" s="12"/>
      <c r="AF79" s="15"/>
      <c r="AG79" s="12"/>
      <c r="AH79" s="12"/>
      <c r="AI79" s="15"/>
      <c r="AJ79" s="12"/>
      <c r="AK79" s="12"/>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row>
    <row r="80" spans="9:116" x14ac:dyDescent="0.2">
      <c r="I80" s="12"/>
      <c r="J80" s="12"/>
      <c r="K80" s="15"/>
      <c r="L80" s="12"/>
      <c r="M80" s="12"/>
      <c r="N80" s="15"/>
      <c r="O80" s="12"/>
      <c r="P80" s="12"/>
      <c r="Q80" s="15"/>
      <c r="R80" s="12"/>
      <c r="S80" s="12"/>
      <c r="T80" s="15"/>
      <c r="U80" s="12"/>
      <c r="V80" s="12"/>
      <c r="W80" s="15"/>
      <c r="X80" s="12"/>
      <c r="Y80" s="12"/>
      <c r="Z80" s="15"/>
      <c r="AA80" s="12"/>
      <c r="AB80" s="12"/>
      <c r="AC80" s="15"/>
      <c r="AD80" s="12"/>
      <c r="AE80" s="12"/>
      <c r="AF80" s="15"/>
      <c r="AG80" s="12"/>
      <c r="AH80" s="12"/>
      <c r="AI80" s="15"/>
      <c r="AJ80" s="12"/>
      <c r="AK80" s="12"/>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row>
    <row r="81" spans="9:116" x14ac:dyDescent="0.2">
      <c r="I81" s="12"/>
      <c r="J81" s="12"/>
      <c r="K81" s="15"/>
      <c r="L81" s="12"/>
      <c r="M81" s="12"/>
      <c r="N81" s="15"/>
      <c r="O81" s="12"/>
      <c r="P81" s="12"/>
      <c r="Q81" s="15"/>
      <c r="R81" s="12"/>
      <c r="S81" s="12"/>
      <c r="T81" s="15"/>
      <c r="U81" s="12"/>
      <c r="V81" s="12"/>
      <c r="W81" s="15"/>
      <c r="X81" s="12"/>
      <c r="Y81" s="12"/>
      <c r="Z81" s="15"/>
      <c r="AA81" s="12"/>
      <c r="AB81" s="12"/>
      <c r="AC81" s="15"/>
      <c r="AD81" s="12"/>
      <c r="AE81" s="12"/>
      <c r="AF81" s="15"/>
      <c r="AG81" s="12"/>
      <c r="AH81" s="12"/>
      <c r="AI81" s="15"/>
      <c r="AJ81" s="12"/>
      <c r="AK81" s="12"/>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row>
    <row r="82" spans="9:116" x14ac:dyDescent="0.2">
      <c r="I82" s="12"/>
      <c r="J82" s="12"/>
      <c r="K82" s="15"/>
      <c r="L82" s="12"/>
      <c r="M82" s="12"/>
      <c r="N82" s="15"/>
      <c r="O82" s="12"/>
      <c r="P82" s="12"/>
      <c r="Q82" s="15"/>
      <c r="R82" s="12"/>
      <c r="S82" s="12"/>
      <c r="T82" s="15"/>
      <c r="U82" s="12"/>
      <c r="V82" s="12"/>
      <c r="W82" s="15"/>
      <c r="X82" s="12"/>
      <c r="Y82" s="12"/>
      <c r="Z82" s="15"/>
      <c r="AA82" s="12"/>
      <c r="AB82" s="12"/>
      <c r="AC82" s="15"/>
      <c r="AD82" s="12"/>
      <c r="AE82" s="12"/>
      <c r="AF82" s="15"/>
      <c r="AG82" s="12"/>
      <c r="AH82" s="12"/>
      <c r="AI82" s="15"/>
      <c r="AJ82" s="12"/>
      <c r="AK82" s="12"/>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row>
    <row r="83" spans="9:116" x14ac:dyDescent="0.2">
      <c r="I83" s="12"/>
      <c r="J83" s="12"/>
      <c r="K83" s="15"/>
      <c r="L83" s="12"/>
      <c r="M83" s="12"/>
      <c r="N83" s="15"/>
      <c r="O83" s="12"/>
      <c r="P83" s="12"/>
      <c r="Q83" s="15"/>
      <c r="R83" s="12"/>
      <c r="S83" s="12"/>
      <c r="T83" s="15"/>
      <c r="U83" s="12"/>
      <c r="V83" s="12"/>
      <c r="W83" s="15"/>
      <c r="X83" s="12"/>
      <c r="Y83" s="12"/>
      <c r="Z83" s="15"/>
      <c r="AA83" s="12"/>
      <c r="AB83" s="12"/>
      <c r="AC83" s="15"/>
      <c r="AD83" s="12"/>
      <c r="AE83" s="12"/>
      <c r="AF83" s="15"/>
      <c r="AG83" s="12"/>
      <c r="AH83" s="12"/>
      <c r="AI83" s="15"/>
      <c r="AJ83" s="12"/>
      <c r="AK83" s="12"/>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row>
    <row r="84" spans="9:116" x14ac:dyDescent="0.2">
      <c r="I84" s="12"/>
      <c r="J84" s="12"/>
      <c r="K84" s="15"/>
      <c r="L84" s="12"/>
      <c r="M84" s="12"/>
      <c r="N84" s="15"/>
      <c r="O84" s="12"/>
      <c r="P84" s="12"/>
      <c r="Q84" s="15"/>
      <c r="R84" s="12"/>
      <c r="S84" s="12"/>
      <c r="T84" s="15"/>
      <c r="U84" s="12"/>
      <c r="V84" s="12"/>
      <c r="W84" s="15"/>
      <c r="X84" s="12"/>
      <c r="Y84" s="12"/>
      <c r="Z84" s="15"/>
      <c r="AA84" s="12"/>
      <c r="AB84" s="12"/>
      <c r="AC84" s="15"/>
      <c r="AD84" s="12"/>
      <c r="AE84" s="12"/>
      <c r="AF84" s="15"/>
      <c r="AG84" s="12"/>
      <c r="AH84" s="12"/>
      <c r="AI84" s="15"/>
      <c r="AJ84" s="12"/>
      <c r="AK84" s="12"/>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row>
    <row r="85" spans="9:116" x14ac:dyDescent="0.2">
      <c r="I85" s="12"/>
      <c r="J85" s="12"/>
      <c r="K85" s="15"/>
      <c r="L85" s="12"/>
      <c r="M85" s="12"/>
      <c r="N85" s="15"/>
      <c r="O85" s="12"/>
      <c r="P85" s="12"/>
      <c r="Q85" s="15"/>
      <c r="R85" s="12"/>
      <c r="S85" s="12"/>
      <c r="T85" s="15"/>
      <c r="U85" s="12"/>
      <c r="V85" s="12"/>
      <c r="W85" s="15"/>
      <c r="X85" s="12"/>
      <c r="Y85" s="12"/>
      <c r="Z85" s="15"/>
      <c r="AA85" s="12"/>
      <c r="AB85" s="12"/>
      <c r="AC85" s="15"/>
      <c r="AD85" s="12"/>
      <c r="AE85" s="12"/>
      <c r="AF85" s="15"/>
      <c r="AG85" s="12"/>
      <c r="AH85" s="12"/>
      <c r="AI85" s="15"/>
      <c r="AJ85" s="12"/>
      <c r="AK85" s="12"/>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row>
    <row r="86" spans="9:116" x14ac:dyDescent="0.2">
      <c r="I86" s="12"/>
      <c r="J86" s="12"/>
      <c r="K86" s="15"/>
      <c r="L86" s="12"/>
      <c r="M86" s="12"/>
      <c r="N86" s="15"/>
      <c r="O86" s="12"/>
      <c r="P86" s="12"/>
      <c r="Q86" s="15"/>
      <c r="R86" s="12"/>
      <c r="S86" s="12"/>
      <c r="T86" s="15"/>
      <c r="U86" s="12"/>
      <c r="V86" s="12"/>
      <c r="W86" s="15"/>
      <c r="X86" s="12"/>
      <c r="Y86" s="12"/>
      <c r="Z86" s="15"/>
      <c r="AA86" s="12"/>
      <c r="AB86" s="12"/>
      <c r="AC86" s="15"/>
      <c r="AD86" s="12"/>
      <c r="AE86" s="12"/>
      <c r="AF86" s="15"/>
      <c r="AG86" s="12"/>
      <c r="AH86" s="12"/>
      <c r="AI86" s="15"/>
      <c r="AJ86" s="12"/>
      <c r="AK86" s="12"/>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row>
    <row r="87" spans="9:116" x14ac:dyDescent="0.2">
      <c r="I87" s="12"/>
      <c r="J87" s="12"/>
      <c r="K87" s="15"/>
      <c r="L87" s="12"/>
      <c r="M87" s="12"/>
      <c r="N87" s="15"/>
      <c r="O87" s="12"/>
      <c r="P87" s="12"/>
      <c r="Q87" s="15"/>
      <c r="R87" s="12"/>
      <c r="S87" s="12"/>
      <c r="T87" s="15"/>
      <c r="U87" s="12"/>
      <c r="V87" s="12"/>
      <c r="W87" s="15"/>
      <c r="X87" s="12"/>
      <c r="Y87" s="12"/>
      <c r="Z87" s="15"/>
      <c r="AA87" s="12"/>
      <c r="AB87" s="12"/>
      <c r="AC87" s="15"/>
      <c r="AD87" s="12"/>
      <c r="AE87" s="12"/>
      <c r="AF87" s="15"/>
      <c r="AG87" s="12"/>
      <c r="AH87" s="12"/>
      <c r="AI87" s="15"/>
      <c r="AJ87" s="12"/>
      <c r="AK87" s="12"/>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row>
    <row r="88" spans="9:116" x14ac:dyDescent="0.2">
      <c r="I88" s="12"/>
      <c r="J88" s="12"/>
      <c r="K88" s="15"/>
      <c r="L88" s="12"/>
      <c r="M88" s="12"/>
      <c r="N88" s="15"/>
      <c r="O88" s="12"/>
      <c r="P88" s="12"/>
      <c r="Q88" s="15"/>
      <c r="R88" s="12"/>
      <c r="S88" s="12"/>
      <c r="T88" s="15"/>
      <c r="U88" s="12"/>
      <c r="V88" s="12"/>
      <c r="W88" s="15"/>
      <c r="X88" s="12"/>
      <c r="Y88" s="12"/>
      <c r="Z88" s="15"/>
      <c r="AA88" s="12"/>
      <c r="AB88" s="12"/>
      <c r="AC88" s="15"/>
      <c r="AD88" s="12"/>
      <c r="AE88" s="12"/>
      <c r="AF88" s="15"/>
      <c r="AG88" s="12"/>
      <c r="AH88" s="12"/>
      <c r="AI88" s="15"/>
      <c r="AJ88" s="12"/>
      <c r="AK88" s="12"/>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row>
    <row r="89" spans="9:116" x14ac:dyDescent="0.2">
      <c r="I89" s="12"/>
      <c r="J89" s="12"/>
      <c r="K89" s="15"/>
      <c r="L89" s="12"/>
      <c r="M89" s="12"/>
      <c r="N89" s="15"/>
      <c r="O89" s="12"/>
      <c r="P89" s="12"/>
      <c r="Q89" s="15"/>
      <c r="R89" s="12"/>
      <c r="S89" s="12"/>
      <c r="T89" s="15"/>
      <c r="U89" s="12"/>
      <c r="V89" s="12"/>
      <c r="W89" s="15"/>
      <c r="X89" s="12"/>
      <c r="Y89" s="12"/>
      <c r="Z89" s="15"/>
      <c r="AA89" s="12"/>
      <c r="AB89" s="12"/>
      <c r="AC89" s="15"/>
      <c r="AD89" s="12"/>
      <c r="AE89" s="12"/>
      <c r="AF89" s="15"/>
      <c r="AG89" s="12"/>
      <c r="AH89" s="12"/>
      <c r="AI89" s="15"/>
      <c r="AJ89" s="12"/>
      <c r="AK89" s="12"/>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row>
    <row r="90" spans="9:116" x14ac:dyDescent="0.2">
      <c r="I90" s="12"/>
      <c r="J90" s="12"/>
      <c r="K90" s="15"/>
      <c r="L90" s="12"/>
      <c r="M90" s="12"/>
      <c r="N90" s="15"/>
      <c r="O90" s="12"/>
      <c r="P90" s="12"/>
      <c r="Q90" s="15"/>
      <c r="R90" s="12"/>
      <c r="S90" s="12"/>
      <c r="T90" s="15"/>
      <c r="U90" s="12"/>
      <c r="V90" s="12"/>
      <c r="W90" s="15"/>
      <c r="X90" s="12"/>
      <c r="Y90" s="12"/>
      <c r="Z90" s="15"/>
      <c r="AA90" s="12"/>
      <c r="AB90" s="12"/>
      <c r="AC90" s="15"/>
      <c r="AD90" s="12"/>
      <c r="AE90" s="12"/>
      <c r="AF90" s="15"/>
      <c r="AG90" s="12"/>
      <c r="AH90" s="12"/>
      <c r="AI90" s="15"/>
      <c r="AJ90" s="12"/>
      <c r="AK90" s="12"/>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row>
    <row r="91" spans="9:116" x14ac:dyDescent="0.2">
      <c r="I91" s="12"/>
      <c r="J91" s="12"/>
      <c r="K91" s="15"/>
      <c r="L91" s="12"/>
      <c r="M91" s="12"/>
      <c r="N91" s="15"/>
      <c r="O91" s="12"/>
      <c r="P91" s="12"/>
      <c r="Q91" s="15"/>
      <c r="R91" s="12"/>
      <c r="S91" s="12"/>
      <c r="T91" s="15"/>
      <c r="U91" s="12"/>
      <c r="V91" s="12"/>
      <c r="W91" s="15"/>
      <c r="X91" s="12"/>
      <c r="Y91" s="12"/>
      <c r="Z91" s="15"/>
      <c r="AA91" s="12"/>
      <c r="AB91" s="12"/>
      <c r="AC91" s="15"/>
      <c r="AD91" s="12"/>
      <c r="AE91" s="12"/>
      <c r="AF91" s="15"/>
      <c r="AG91" s="12"/>
      <c r="AH91" s="12"/>
      <c r="AI91" s="15"/>
      <c r="AJ91" s="12"/>
      <c r="AK91" s="12"/>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row>
    <row r="92" spans="9:116" x14ac:dyDescent="0.2">
      <c r="I92" s="12"/>
      <c r="J92" s="12"/>
      <c r="K92" s="15"/>
      <c r="L92" s="12"/>
      <c r="M92" s="12"/>
      <c r="N92" s="15"/>
      <c r="O92" s="12"/>
      <c r="P92" s="12"/>
      <c r="Q92" s="15"/>
      <c r="R92" s="12"/>
      <c r="S92" s="12"/>
      <c r="T92" s="15"/>
      <c r="U92" s="12"/>
      <c r="V92" s="12"/>
      <c r="W92" s="15"/>
      <c r="X92" s="12"/>
      <c r="Y92" s="12"/>
      <c r="Z92" s="15"/>
      <c r="AA92" s="12"/>
      <c r="AB92" s="12"/>
      <c r="AC92" s="15"/>
      <c r="AD92" s="12"/>
      <c r="AE92" s="12"/>
      <c r="AF92" s="15"/>
      <c r="AG92" s="12"/>
      <c r="AH92" s="12"/>
      <c r="AI92" s="15"/>
      <c r="AJ92" s="12"/>
      <c r="AK92" s="12"/>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row>
    <row r="93" spans="9:116" x14ac:dyDescent="0.2">
      <c r="I93" s="12"/>
      <c r="J93" s="12"/>
      <c r="K93" s="15"/>
      <c r="L93" s="12"/>
      <c r="M93" s="12"/>
      <c r="N93" s="15"/>
      <c r="O93" s="12"/>
      <c r="P93" s="12"/>
      <c r="Q93" s="15"/>
      <c r="R93" s="12"/>
      <c r="S93" s="12"/>
      <c r="T93" s="15"/>
      <c r="U93" s="12"/>
      <c r="V93" s="12"/>
      <c r="W93" s="15"/>
      <c r="X93" s="12"/>
      <c r="Y93" s="12"/>
      <c r="Z93" s="15"/>
      <c r="AA93" s="12"/>
      <c r="AB93" s="12"/>
      <c r="AC93" s="15"/>
      <c r="AD93" s="12"/>
      <c r="AE93" s="12"/>
      <c r="AF93" s="15"/>
      <c r="AG93" s="12"/>
      <c r="AH93" s="12"/>
      <c r="AI93" s="15"/>
      <c r="AJ93" s="12"/>
      <c r="AK93" s="12"/>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row>
    <row r="94" spans="9:116" x14ac:dyDescent="0.2">
      <c r="I94" s="12"/>
      <c r="J94" s="12"/>
      <c r="K94" s="15"/>
      <c r="L94" s="12"/>
      <c r="M94" s="12"/>
      <c r="N94" s="15"/>
      <c r="O94" s="12"/>
      <c r="P94" s="12"/>
      <c r="Q94" s="15"/>
      <c r="R94" s="12"/>
      <c r="S94" s="12"/>
      <c r="T94" s="15"/>
      <c r="U94" s="12"/>
      <c r="V94" s="12"/>
      <c r="W94" s="15"/>
      <c r="X94" s="12"/>
      <c r="Y94" s="12"/>
      <c r="Z94" s="15"/>
      <c r="AA94" s="12"/>
      <c r="AB94" s="12"/>
      <c r="AC94" s="15"/>
      <c r="AD94" s="12"/>
      <c r="AE94" s="12"/>
      <c r="AF94" s="15"/>
      <c r="AG94" s="12"/>
      <c r="AH94" s="12"/>
      <c r="AI94" s="15"/>
      <c r="AJ94" s="12"/>
      <c r="AK94" s="12"/>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row>
    <row r="95" spans="9:116" x14ac:dyDescent="0.2">
      <c r="I95" s="12"/>
      <c r="J95" s="12"/>
      <c r="K95" s="15"/>
      <c r="L95" s="12"/>
      <c r="M95" s="12"/>
      <c r="N95" s="15"/>
      <c r="O95" s="12"/>
      <c r="P95" s="12"/>
      <c r="Q95" s="15"/>
      <c r="R95" s="12"/>
      <c r="S95" s="12"/>
      <c r="T95" s="15"/>
      <c r="U95" s="12"/>
      <c r="V95" s="12"/>
      <c r="W95" s="15"/>
      <c r="X95" s="12"/>
      <c r="Y95" s="12"/>
      <c r="Z95" s="15"/>
      <c r="AA95" s="12"/>
      <c r="AB95" s="12"/>
      <c r="AC95" s="15"/>
      <c r="AD95" s="12"/>
      <c r="AE95" s="12"/>
      <c r="AF95" s="15"/>
      <c r="AG95" s="12"/>
      <c r="AH95" s="12"/>
      <c r="AI95" s="15"/>
      <c r="AJ95" s="12"/>
      <c r="AK95" s="12"/>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row>
    <row r="96" spans="9:116" x14ac:dyDescent="0.2">
      <c r="I96" s="12"/>
      <c r="J96" s="12"/>
      <c r="K96" s="15"/>
      <c r="L96" s="12"/>
      <c r="M96" s="12"/>
      <c r="N96" s="15"/>
      <c r="O96" s="12"/>
      <c r="P96" s="12"/>
      <c r="Q96" s="15"/>
      <c r="R96" s="12"/>
      <c r="S96" s="12"/>
      <c r="T96" s="15"/>
      <c r="U96" s="12"/>
      <c r="V96" s="12"/>
      <c r="W96" s="15"/>
      <c r="X96" s="12"/>
      <c r="Y96" s="12"/>
      <c r="Z96" s="15"/>
      <c r="AA96" s="12"/>
      <c r="AB96" s="12"/>
      <c r="AC96" s="15"/>
      <c r="AD96" s="12"/>
      <c r="AE96" s="12"/>
      <c r="AF96" s="15"/>
      <c r="AG96" s="12"/>
      <c r="AH96" s="12"/>
      <c r="AI96" s="15"/>
      <c r="AJ96" s="12"/>
      <c r="AK96" s="12"/>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row>
    <row r="97" spans="9:116" x14ac:dyDescent="0.2">
      <c r="I97" s="12"/>
      <c r="J97" s="12"/>
      <c r="K97" s="15"/>
      <c r="L97" s="12"/>
      <c r="M97" s="12"/>
      <c r="N97" s="15"/>
      <c r="O97" s="12"/>
      <c r="P97" s="12"/>
      <c r="Q97" s="15"/>
      <c r="R97" s="12"/>
      <c r="S97" s="12"/>
      <c r="T97" s="15"/>
      <c r="U97" s="12"/>
      <c r="V97" s="12"/>
      <c r="W97" s="15"/>
      <c r="X97" s="12"/>
      <c r="Y97" s="12"/>
      <c r="Z97" s="15"/>
      <c r="AA97" s="12"/>
      <c r="AB97" s="12"/>
      <c r="AC97" s="15"/>
      <c r="AD97" s="12"/>
      <c r="AE97" s="12"/>
      <c r="AF97" s="15"/>
      <c r="AG97" s="12"/>
      <c r="AH97" s="12"/>
      <c r="AI97" s="15"/>
      <c r="AJ97" s="12"/>
      <c r="AK97" s="12"/>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row>
    <row r="98" spans="9:116" x14ac:dyDescent="0.2">
      <c r="I98" s="12"/>
      <c r="J98" s="12"/>
      <c r="K98" s="15"/>
      <c r="L98" s="12"/>
      <c r="M98" s="12"/>
      <c r="N98" s="15"/>
      <c r="O98" s="12"/>
      <c r="P98" s="12"/>
      <c r="Q98" s="15"/>
      <c r="R98" s="12"/>
      <c r="S98" s="12"/>
      <c r="T98" s="15"/>
      <c r="U98" s="12"/>
      <c r="V98" s="12"/>
      <c r="W98" s="15"/>
      <c r="X98" s="12"/>
      <c r="Y98" s="12"/>
      <c r="Z98" s="15"/>
      <c r="AA98" s="12"/>
      <c r="AB98" s="12"/>
      <c r="AC98" s="15"/>
      <c r="AD98" s="12"/>
      <c r="AE98" s="12"/>
      <c r="AF98" s="15"/>
      <c r="AG98" s="12"/>
      <c r="AH98" s="12"/>
      <c r="AI98" s="15"/>
      <c r="AJ98" s="12"/>
      <c r="AK98" s="12"/>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row>
    <row r="99" spans="9:116" x14ac:dyDescent="0.2">
      <c r="I99" s="12"/>
      <c r="J99" s="12"/>
      <c r="K99" s="15"/>
      <c r="L99" s="12"/>
      <c r="M99" s="12"/>
      <c r="N99" s="15"/>
      <c r="O99" s="12"/>
      <c r="P99" s="12"/>
      <c r="Q99" s="15"/>
      <c r="R99" s="12"/>
      <c r="S99" s="12"/>
      <c r="T99" s="15"/>
      <c r="U99" s="12"/>
      <c r="V99" s="12"/>
      <c r="W99" s="15"/>
      <c r="X99" s="12"/>
      <c r="Y99" s="12"/>
      <c r="Z99" s="15"/>
      <c r="AA99" s="12"/>
      <c r="AB99" s="12"/>
      <c r="AC99" s="15"/>
      <c r="AD99" s="12"/>
      <c r="AE99" s="12"/>
      <c r="AF99" s="15"/>
      <c r="AG99" s="12"/>
      <c r="AH99" s="12"/>
      <c r="AI99" s="15"/>
      <c r="AJ99" s="12"/>
      <c r="AK99" s="12"/>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row>
    <row r="100" spans="9:116" x14ac:dyDescent="0.2">
      <c r="I100" s="12"/>
      <c r="J100" s="12"/>
      <c r="K100" s="15"/>
      <c r="L100" s="12"/>
      <c r="M100" s="12"/>
      <c r="N100" s="15"/>
      <c r="O100" s="12"/>
      <c r="P100" s="12"/>
      <c r="Q100" s="15"/>
      <c r="R100" s="12"/>
      <c r="S100" s="12"/>
      <c r="T100" s="15"/>
      <c r="U100" s="12"/>
      <c r="V100" s="12"/>
      <c r="W100" s="15"/>
      <c r="X100" s="12"/>
      <c r="Y100" s="12"/>
      <c r="Z100" s="15"/>
      <c r="AA100" s="12"/>
      <c r="AB100" s="12"/>
      <c r="AC100" s="15"/>
      <c r="AD100" s="12"/>
      <c r="AE100" s="12"/>
      <c r="AF100" s="15"/>
      <c r="AG100" s="12"/>
      <c r="AH100" s="12"/>
      <c r="AI100" s="15"/>
      <c r="AJ100" s="12"/>
      <c r="AK100" s="12"/>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row>
    <row r="101" spans="9:116" x14ac:dyDescent="0.2">
      <c r="I101" s="12"/>
      <c r="J101" s="12"/>
      <c r="K101" s="15"/>
      <c r="L101" s="12"/>
      <c r="M101" s="12"/>
      <c r="N101" s="15"/>
      <c r="O101" s="12"/>
      <c r="P101" s="12"/>
      <c r="Q101" s="15"/>
      <c r="R101" s="12"/>
      <c r="S101" s="12"/>
      <c r="T101" s="15"/>
      <c r="U101" s="12"/>
      <c r="V101" s="12"/>
      <c r="W101" s="15"/>
      <c r="X101" s="12"/>
      <c r="Y101" s="12"/>
      <c r="Z101" s="15"/>
      <c r="AA101" s="12"/>
      <c r="AB101" s="12"/>
      <c r="AC101" s="15"/>
      <c r="AD101" s="12"/>
      <c r="AE101" s="12"/>
      <c r="AF101" s="15"/>
      <c r="AG101" s="12"/>
      <c r="AH101" s="12"/>
      <c r="AI101" s="15"/>
      <c r="AJ101" s="12"/>
      <c r="AK101" s="12"/>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row>
    <row r="102" spans="9:116" x14ac:dyDescent="0.2">
      <c r="I102" s="12"/>
      <c r="J102" s="12"/>
      <c r="K102" s="15"/>
      <c r="L102" s="12"/>
      <c r="M102" s="12"/>
      <c r="N102" s="15"/>
      <c r="O102" s="12"/>
      <c r="P102" s="12"/>
      <c r="Q102" s="15"/>
      <c r="R102" s="12"/>
      <c r="S102" s="12"/>
      <c r="T102" s="15"/>
      <c r="U102" s="12"/>
      <c r="V102" s="12"/>
      <c r="W102" s="15"/>
      <c r="X102" s="12"/>
      <c r="Y102" s="12"/>
      <c r="Z102" s="15"/>
      <c r="AA102" s="12"/>
      <c r="AB102" s="12"/>
      <c r="AC102" s="15"/>
      <c r="AD102" s="12"/>
      <c r="AE102" s="12"/>
      <c r="AF102" s="15"/>
      <c r="AG102" s="12"/>
      <c r="AH102" s="12"/>
      <c r="AI102" s="15"/>
      <c r="AJ102" s="12"/>
      <c r="AK102" s="12"/>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row>
    <row r="103" spans="9:116" x14ac:dyDescent="0.2">
      <c r="I103" s="12"/>
      <c r="J103" s="12"/>
      <c r="K103" s="15"/>
      <c r="L103" s="12"/>
      <c r="M103" s="12"/>
      <c r="N103" s="15"/>
      <c r="O103" s="12"/>
      <c r="P103" s="12"/>
      <c r="Q103" s="15"/>
      <c r="R103" s="12"/>
      <c r="S103" s="12"/>
      <c r="T103" s="15"/>
      <c r="U103" s="12"/>
      <c r="V103" s="12"/>
      <c r="W103" s="15"/>
      <c r="X103" s="12"/>
      <c r="Y103" s="12"/>
      <c r="Z103" s="15"/>
      <c r="AA103" s="12"/>
      <c r="AB103" s="12"/>
      <c r="AC103" s="15"/>
      <c r="AD103" s="12"/>
      <c r="AE103" s="12"/>
      <c r="AF103" s="15"/>
      <c r="AG103" s="12"/>
      <c r="AH103" s="12"/>
      <c r="AI103" s="15"/>
      <c r="AJ103" s="12"/>
      <c r="AK103" s="12"/>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row>
    <row r="104" spans="9:116" x14ac:dyDescent="0.2">
      <c r="I104" s="12"/>
      <c r="J104" s="12"/>
      <c r="K104" s="15"/>
      <c r="L104" s="12"/>
      <c r="M104" s="12"/>
      <c r="N104" s="15"/>
      <c r="O104" s="12"/>
      <c r="P104" s="12"/>
      <c r="Q104" s="15"/>
      <c r="R104" s="12"/>
      <c r="S104" s="12"/>
      <c r="T104" s="15"/>
      <c r="U104" s="12"/>
      <c r="V104" s="12"/>
      <c r="W104" s="15"/>
      <c r="X104" s="12"/>
      <c r="Y104" s="12"/>
      <c r="Z104" s="15"/>
      <c r="AA104" s="12"/>
      <c r="AB104" s="12"/>
      <c r="AC104" s="15"/>
      <c r="AD104" s="12"/>
      <c r="AE104" s="12"/>
      <c r="AF104" s="15"/>
      <c r="AG104" s="12"/>
      <c r="AH104" s="12"/>
      <c r="AI104" s="15"/>
      <c r="AJ104" s="12"/>
      <c r="AK104" s="12"/>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row>
    <row r="105" spans="9:116" x14ac:dyDescent="0.2">
      <c r="I105" s="12"/>
      <c r="J105" s="12"/>
      <c r="K105" s="15"/>
      <c r="L105" s="12"/>
      <c r="M105" s="12"/>
      <c r="N105" s="15"/>
      <c r="O105" s="12"/>
      <c r="P105" s="12"/>
      <c r="Q105" s="15"/>
      <c r="R105" s="12"/>
      <c r="S105" s="12"/>
      <c r="T105" s="15"/>
      <c r="U105" s="12"/>
      <c r="V105" s="12"/>
      <c r="W105" s="15"/>
      <c r="X105" s="12"/>
      <c r="Y105" s="12"/>
      <c r="Z105" s="15"/>
      <c r="AA105" s="12"/>
      <c r="AB105" s="12"/>
      <c r="AC105" s="15"/>
      <c r="AD105" s="12"/>
      <c r="AE105" s="12"/>
      <c r="AF105" s="15"/>
      <c r="AG105" s="12"/>
      <c r="AH105" s="12"/>
      <c r="AI105" s="15"/>
      <c r="AJ105" s="12"/>
      <c r="AK105" s="12"/>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row>
    <row r="106" spans="9:116" x14ac:dyDescent="0.2">
      <c r="I106" s="12"/>
      <c r="J106" s="12"/>
      <c r="K106" s="15"/>
      <c r="L106" s="12"/>
      <c r="M106" s="12"/>
      <c r="N106" s="15"/>
      <c r="O106" s="12"/>
      <c r="P106" s="12"/>
      <c r="Q106" s="15"/>
      <c r="R106" s="12"/>
      <c r="S106" s="12"/>
      <c r="T106" s="15"/>
      <c r="U106" s="12"/>
      <c r="V106" s="12"/>
      <c r="W106" s="15"/>
      <c r="X106" s="12"/>
      <c r="Y106" s="12"/>
      <c r="Z106" s="15"/>
      <c r="AA106" s="12"/>
      <c r="AB106" s="12"/>
      <c r="AC106" s="15"/>
      <c r="AD106" s="12"/>
      <c r="AE106" s="12"/>
      <c r="AF106" s="15"/>
      <c r="AG106" s="12"/>
      <c r="AH106" s="12"/>
      <c r="AI106" s="15"/>
      <c r="AJ106" s="12"/>
      <c r="AK106" s="12"/>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row>
    <row r="107" spans="9:116" x14ac:dyDescent="0.2">
      <c r="I107" s="12"/>
      <c r="J107" s="12"/>
      <c r="K107" s="15"/>
      <c r="L107" s="12"/>
      <c r="M107" s="12"/>
      <c r="N107" s="15"/>
      <c r="O107" s="12"/>
      <c r="P107" s="12"/>
      <c r="Q107" s="15"/>
      <c r="R107" s="12"/>
      <c r="S107" s="12"/>
      <c r="T107" s="15"/>
      <c r="U107" s="12"/>
      <c r="V107" s="12"/>
      <c r="W107" s="15"/>
      <c r="X107" s="12"/>
      <c r="Y107" s="12"/>
      <c r="Z107" s="15"/>
      <c r="AA107" s="12"/>
      <c r="AB107" s="12"/>
      <c r="AC107" s="15"/>
      <c r="AD107" s="12"/>
      <c r="AE107" s="12"/>
      <c r="AF107" s="15"/>
      <c r="AG107" s="12"/>
      <c r="AH107" s="12"/>
      <c r="AI107" s="15"/>
      <c r="AJ107" s="12"/>
      <c r="AK107" s="12"/>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row>
    <row r="108" spans="9:116" x14ac:dyDescent="0.2">
      <c r="I108" s="12"/>
      <c r="J108" s="12"/>
      <c r="K108" s="15"/>
      <c r="L108" s="12"/>
      <c r="M108" s="12"/>
      <c r="N108" s="15"/>
      <c r="O108" s="12"/>
      <c r="P108" s="12"/>
      <c r="Q108" s="15"/>
      <c r="R108" s="12"/>
      <c r="S108" s="12"/>
      <c r="T108" s="15"/>
      <c r="U108" s="12"/>
      <c r="V108" s="12"/>
      <c r="W108" s="15"/>
      <c r="X108" s="12"/>
      <c r="Y108" s="12"/>
      <c r="Z108" s="15"/>
      <c r="AA108" s="12"/>
      <c r="AB108" s="12"/>
      <c r="AC108" s="15"/>
      <c r="AD108" s="12"/>
      <c r="AE108" s="12"/>
      <c r="AF108" s="15"/>
      <c r="AG108" s="12"/>
      <c r="AH108" s="12"/>
      <c r="AI108" s="15"/>
      <c r="AJ108" s="12"/>
      <c r="AK108" s="12"/>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row>
    <row r="109" spans="9:116" x14ac:dyDescent="0.2">
      <c r="I109" s="12"/>
      <c r="J109" s="12"/>
      <c r="K109" s="15"/>
      <c r="L109" s="12"/>
      <c r="M109" s="12"/>
      <c r="N109" s="15"/>
      <c r="O109" s="12"/>
      <c r="P109" s="12"/>
      <c r="Q109" s="15"/>
      <c r="R109" s="12"/>
      <c r="S109" s="12"/>
      <c r="T109" s="15"/>
      <c r="U109" s="12"/>
      <c r="V109" s="12"/>
      <c r="W109" s="15"/>
      <c r="X109" s="12"/>
      <c r="Y109" s="12"/>
      <c r="Z109" s="15"/>
      <c r="AA109" s="12"/>
      <c r="AB109" s="12"/>
      <c r="AC109" s="15"/>
      <c r="AD109" s="12"/>
      <c r="AE109" s="12"/>
      <c r="AF109" s="15"/>
      <c r="AG109" s="12"/>
      <c r="AH109" s="12"/>
      <c r="AI109" s="15"/>
      <c r="AJ109" s="12"/>
      <c r="AK109" s="12"/>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row>
    <row r="110" spans="9:116" x14ac:dyDescent="0.2">
      <c r="I110" s="12"/>
      <c r="J110" s="12"/>
      <c r="K110" s="15"/>
      <c r="L110" s="12"/>
      <c r="M110" s="12"/>
      <c r="N110" s="15"/>
      <c r="O110" s="12"/>
      <c r="P110" s="12"/>
      <c r="Q110" s="15"/>
      <c r="R110" s="12"/>
      <c r="S110" s="12"/>
      <c r="T110" s="15"/>
      <c r="U110" s="12"/>
      <c r="V110" s="12"/>
      <c r="W110" s="15"/>
      <c r="X110" s="12"/>
      <c r="Y110" s="12"/>
      <c r="Z110" s="15"/>
      <c r="AA110" s="12"/>
      <c r="AB110" s="12"/>
      <c r="AC110" s="15"/>
      <c r="AD110" s="12"/>
      <c r="AE110" s="12"/>
      <c r="AF110" s="15"/>
      <c r="AG110" s="12"/>
      <c r="AH110" s="12"/>
      <c r="AI110" s="15"/>
      <c r="AJ110" s="12"/>
      <c r="AK110" s="12"/>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row>
    <row r="111" spans="9:116" x14ac:dyDescent="0.2">
      <c r="I111" s="12"/>
      <c r="J111" s="12"/>
      <c r="K111" s="15"/>
      <c r="L111" s="12"/>
      <c r="M111" s="12"/>
      <c r="N111" s="15"/>
      <c r="O111" s="12"/>
      <c r="P111" s="12"/>
      <c r="Q111" s="15"/>
      <c r="R111" s="12"/>
      <c r="S111" s="12"/>
      <c r="T111" s="15"/>
      <c r="U111" s="12"/>
      <c r="V111" s="12"/>
      <c r="W111" s="15"/>
      <c r="X111" s="12"/>
      <c r="Y111" s="12"/>
      <c r="Z111" s="15"/>
      <c r="AA111" s="12"/>
      <c r="AB111" s="12"/>
      <c r="AC111" s="15"/>
      <c r="AD111" s="12"/>
      <c r="AE111" s="12"/>
      <c r="AF111" s="15"/>
      <c r="AG111" s="12"/>
      <c r="AH111" s="12"/>
      <c r="AI111" s="15"/>
      <c r="AJ111" s="12"/>
      <c r="AK111" s="12"/>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row>
    <row r="112" spans="9:116" x14ac:dyDescent="0.2">
      <c r="I112" s="12"/>
      <c r="J112" s="12"/>
      <c r="K112" s="15"/>
      <c r="L112" s="12"/>
      <c r="M112" s="12"/>
      <c r="N112" s="15"/>
      <c r="O112" s="12"/>
      <c r="P112" s="12"/>
      <c r="Q112" s="15"/>
      <c r="R112" s="12"/>
      <c r="S112" s="12"/>
      <c r="T112" s="15"/>
      <c r="U112" s="12"/>
      <c r="V112" s="12"/>
      <c r="W112" s="15"/>
      <c r="X112" s="12"/>
      <c r="Y112" s="12"/>
      <c r="Z112" s="15"/>
      <c r="AA112" s="12"/>
      <c r="AB112" s="12"/>
      <c r="AC112" s="15"/>
      <c r="AD112" s="12"/>
      <c r="AE112" s="12"/>
      <c r="AF112" s="15"/>
      <c r="AG112" s="12"/>
      <c r="AH112" s="12"/>
      <c r="AI112" s="15"/>
      <c r="AJ112" s="12"/>
      <c r="AK112" s="12"/>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row>
  </sheetData>
  <sheetProtection formatRows="0" insertRows="0" selectLockedCells="1"/>
  <protectedRanges>
    <protectedRange password="F692" sqref="B14:E16 C17:E17" name="Rango1_1_1_2"/>
    <protectedRange password="F692" sqref="G17 J17 M17 P17 S17 V17 Y17 AB17 AE17 AH17 AK17 AN17 AQ17 AT17 AW17 AZ17 BC17 BF17 BI17 BL17 BO17 BR17 BU17 BX17 CA17 CD17 CG17 CJ17 CM17 CP17 CS17 CV17 CY17 DB17 DE17 DH17 DK17" name="Rango1_1_1_3"/>
  </protectedRanges>
  <mergeCells count="233">
    <mergeCell ref="BT19:BV19"/>
    <mergeCell ref="BW19:BY19"/>
    <mergeCell ref="BZ19:CB19"/>
    <mergeCell ref="CC19:CE19"/>
    <mergeCell ref="CF19:CH19"/>
    <mergeCell ref="AS19:AU19"/>
    <mergeCell ref="AV19:AX19"/>
    <mergeCell ref="AY19:BA19"/>
    <mergeCell ref="BB19:BD19"/>
    <mergeCell ref="BE19:BG19"/>
    <mergeCell ref="BH19:BJ19"/>
    <mergeCell ref="BK19:BM19"/>
    <mergeCell ref="BN19:BP19"/>
    <mergeCell ref="BQ19:BS19"/>
    <mergeCell ref="CO20:CQ23"/>
    <mergeCell ref="CR20:CT23"/>
    <mergeCell ref="CU20:CW23"/>
    <mergeCell ref="CX20:CZ23"/>
    <mergeCell ref="DD19:DF19"/>
    <mergeCell ref="DG19:DI19"/>
    <mergeCell ref="DJ19:DL19"/>
    <mergeCell ref="DD20:DF23"/>
    <mergeCell ref="DG20:DI23"/>
    <mergeCell ref="DJ20:DL23"/>
    <mergeCell ref="AS20:AU23"/>
    <mergeCell ref="AV20:AX23"/>
    <mergeCell ref="AY20:BA23"/>
    <mergeCell ref="BB20:BD23"/>
    <mergeCell ref="BE20:BG23"/>
    <mergeCell ref="BH20:BJ23"/>
    <mergeCell ref="BK20:BM23"/>
    <mergeCell ref="DA20:DC23"/>
    <mergeCell ref="DA19:DC19"/>
    <mergeCell ref="BN20:BP23"/>
    <mergeCell ref="BQ20:BS23"/>
    <mergeCell ref="BT20:BV23"/>
    <mergeCell ref="BW20:BY23"/>
    <mergeCell ref="BZ20:CB23"/>
    <mergeCell ref="CC20:CE23"/>
    <mergeCell ref="CF20:CH23"/>
    <mergeCell ref="CI20:CK23"/>
    <mergeCell ref="CL20:CN23"/>
    <mergeCell ref="CI19:CK19"/>
    <mergeCell ref="CL19:CN19"/>
    <mergeCell ref="CO19:CQ19"/>
    <mergeCell ref="CR19:CT19"/>
    <mergeCell ref="CU19:CW19"/>
    <mergeCell ref="CX19:CZ19"/>
    <mergeCell ref="AP24:AR27"/>
    <mergeCell ref="AS24:AU27"/>
    <mergeCell ref="AV24:AX27"/>
    <mergeCell ref="AY24:BA27"/>
    <mergeCell ref="BB24:BD27"/>
    <mergeCell ref="BE24:BG27"/>
    <mergeCell ref="BH24:BJ27"/>
    <mergeCell ref="BK24:BM27"/>
    <mergeCell ref="BN24:BP27"/>
    <mergeCell ref="DG24:DI27"/>
    <mergeCell ref="DJ24:DL27"/>
    <mergeCell ref="BQ24:BS27"/>
    <mergeCell ref="BT24:BV27"/>
    <mergeCell ref="BW24:BY27"/>
    <mergeCell ref="BZ24:CB27"/>
    <mergeCell ref="CC24:CE27"/>
    <mergeCell ref="CF24:CH27"/>
    <mergeCell ref="CI24:CK27"/>
    <mergeCell ref="CL24:CN27"/>
    <mergeCell ref="CO24:CQ27"/>
    <mergeCell ref="CR24:CT27"/>
    <mergeCell ref="CU24:CW27"/>
    <mergeCell ref="CX24:CZ27"/>
    <mergeCell ref="DA24:DC27"/>
    <mergeCell ref="DD24:DF27"/>
    <mergeCell ref="E24:E27"/>
    <mergeCell ref="R24:T27"/>
    <mergeCell ref="U24:W27"/>
    <mergeCell ref="X24:Z27"/>
    <mergeCell ref="AA24:AC27"/>
    <mergeCell ref="AD24:AF27"/>
    <mergeCell ref="AG24:AI27"/>
    <mergeCell ref="AJ24:AL27"/>
    <mergeCell ref="AM24:AO27"/>
    <mergeCell ref="F24:H27"/>
    <mergeCell ref="I24:K27"/>
    <mergeCell ref="L24:N27"/>
    <mergeCell ref="O24:Q27"/>
    <mergeCell ref="O12:Q12"/>
    <mergeCell ref="O19:Q19"/>
    <mergeCell ref="O20:Q23"/>
    <mergeCell ref="F10:H10"/>
    <mergeCell ref="E20:E23"/>
    <mergeCell ref="B11:E11"/>
    <mergeCell ref="B12:E12"/>
    <mergeCell ref="F20:H23"/>
    <mergeCell ref="F19:H19"/>
    <mergeCell ref="F11:H11"/>
    <mergeCell ref="F12:H12"/>
    <mergeCell ref="L10:N10"/>
    <mergeCell ref="L11:N11"/>
    <mergeCell ref="L12:N12"/>
    <mergeCell ref="L19:N19"/>
    <mergeCell ref="L20:N23"/>
    <mergeCell ref="I10:K10"/>
    <mergeCell ref="I11:K11"/>
    <mergeCell ref="I12:K12"/>
    <mergeCell ref="I19:K19"/>
    <mergeCell ref="I20:K23"/>
    <mergeCell ref="X12:Z12"/>
    <mergeCell ref="X19:Z19"/>
    <mergeCell ref="X20:Z23"/>
    <mergeCell ref="U10:W10"/>
    <mergeCell ref="U11:W11"/>
    <mergeCell ref="U12:W12"/>
    <mergeCell ref="U19:W19"/>
    <mergeCell ref="U20:W23"/>
    <mergeCell ref="R10:T10"/>
    <mergeCell ref="R11:T11"/>
    <mergeCell ref="R12:T12"/>
    <mergeCell ref="R19:T19"/>
    <mergeCell ref="R20:T23"/>
    <mergeCell ref="AG12:AI12"/>
    <mergeCell ref="AG19:AI19"/>
    <mergeCell ref="AG20:AI23"/>
    <mergeCell ref="AD10:AF10"/>
    <mergeCell ref="AD11:AF11"/>
    <mergeCell ref="AD12:AF12"/>
    <mergeCell ref="AD19:AF19"/>
    <mergeCell ref="AD20:AF23"/>
    <mergeCell ref="AA10:AC10"/>
    <mergeCell ref="AA11:AC11"/>
    <mergeCell ref="AA12:AC12"/>
    <mergeCell ref="AA19:AC19"/>
    <mergeCell ref="AA20:AC23"/>
    <mergeCell ref="AJ12:AL12"/>
    <mergeCell ref="AJ19:AL19"/>
    <mergeCell ref="AJ20:AL23"/>
    <mergeCell ref="AM10:AO10"/>
    <mergeCell ref="AM11:AO11"/>
    <mergeCell ref="AM12:AO12"/>
    <mergeCell ref="AP10:AR10"/>
    <mergeCell ref="AP11:AR11"/>
    <mergeCell ref="AP12:AR12"/>
    <mergeCell ref="AM20:AO23"/>
    <mergeCell ref="AP20:AR23"/>
    <mergeCell ref="AM19:AO19"/>
    <mergeCell ref="AP19:AR19"/>
    <mergeCell ref="BB12:BD12"/>
    <mergeCell ref="BE10:BG10"/>
    <mergeCell ref="BE11:BG11"/>
    <mergeCell ref="BE12:BG12"/>
    <mergeCell ref="BH10:BJ10"/>
    <mergeCell ref="BH11:BJ11"/>
    <mergeCell ref="BH12:BJ12"/>
    <mergeCell ref="AS10:AU10"/>
    <mergeCell ref="AS11:AU11"/>
    <mergeCell ref="AS12:AU12"/>
    <mergeCell ref="AV10:AX10"/>
    <mergeCell ref="AV11:AX11"/>
    <mergeCell ref="AV12:AX12"/>
    <mergeCell ref="AY10:BA10"/>
    <mergeCell ref="AY11:BA11"/>
    <mergeCell ref="AY12:BA12"/>
    <mergeCell ref="CC10:CE10"/>
    <mergeCell ref="CC11:CE11"/>
    <mergeCell ref="CC12:CE12"/>
    <mergeCell ref="CF10:CH10"/>
    <mergeCell ref="CF11:CH11"/>
    <mergeCell ref="CF12:CH12"/>
    <mergeCell ref="CI10:CK10"/>
    <mergeCell ref="CI12:CK12"/>
    <mergeCell ref="CL10:CN10"/>
    <mergeCell ref="CL11:CN11"/>
    <mergeCell ref="CL12:CN12"/>
    <mergeCell ref="DJ10:DL10"/>
    <mergeCell ref="DJ11:DL11"/>
    <mergeCell ref="DJ12:DL12"/>
    <mergeCell ref="CU12:CW12"/>
    <mergeCell ref="CX10:CZ10"/>
    <mergeCell ref="CX11:CZ11"/>
    <mergeCell ref="CU10:CW10"/>
    <mergeCell ref="CU11:CW11"/>
    <mergeCell ref="DG10:DI10"/>
    <mergeCell ref="DG11:DI11"/>
    <mergeCell ref="DG12:DI12"/>
    <mergeCell ref="CR11:CT11"/>
    <mergeCell ref="CR12:CT12"/>
    <mergeCell ref="CI11:CK11"/>
    <mergeCell ref="DD10:DF10"/>
    <mergeCell ref="DD11:DF11"/>
    <mergeCell ref="DD12:DF12"/>
    <mergeCell ref="CX12:CZ12"/>
    <mergeCell ref="DA10:DC10"/>
    <mergeCell ref="DA11:DC11"/>
    <mergeCell ref="DA12:DC12"/>
    <mergeCell ref="CO10:CQ10"/>
    <mergeCell ref="CO11:CQ11"/>
    <mergeCell ref="CO12:CQ12"/>
    <mergeCell ref="CR10:CT10"/>
    <mergeCell ref="B1:E1"/>
    <mergeCell ref="B2:E2"/>
    <mergeCell ref="B3:E3"/>
    <mergeCell ref="B4:E4"/>
    <mergeCell ref="B5:E5"/>
    <mergeCell ref="B7:E7"/>
    <mergeCell ref="B9:E9"/>
    <mergeCell ref="BT10:BV10"/>
    <mergeCell ref="BT11:BV11"/>
    <mergeCell ref="BN10:BP10"/>
    <mergeCell ref="BN11:BP11"/>
    <mergeCell ref="BQ10:BS10"/>
    <mergeCell ref="BQ11:BS11"/>
    <mergeCell ref="BB10:BD10"/>
    <mergeCell ref="BB11:BD11"/>
    <mergeCell ref="AJ10:AL10"/>
    <mergeCell ref="AJ11:AL11"/>
    <mergeCell ref="AG10:AI10"/>
    <mergeCell ref="AG11:AI11"/>
    <mergeCell ref="X10:Z10"/>
    <mergeCell ref="X11:Z11"/>
    <mergeCell ref="O10:Q10"/>
    <mergeCell ref="O11:Q11"/>
    <mergeCell ref="BT12:BV12"/>
    <mergeCell ref="BW10:BY10"/>
    <mergeCell ref="BW11:BY11"/>
    <mergeCell ref="BW12:BY12"/>
    <mergeCell ref="BZ10:CB10"/>
    <mergeCell ref="BZ11:CB11"/>
    <mergeCell ref="BZ12:CB12"/>
    <mergeCell ref="BK10:BM10"/>
    <mergeCell ref="BK11:BM11"/>
    <mergeCell ref="BK12:BM12"/>
    <mergeCell ref="BN12:BP12"/>
    <mergeCell ref="BQ12:BS12"/>
  </mergeCells>
  <phoneticPr fontId="4" type="noConversion"/>
  <conditionalFormatting sqref="F10:H10">
    <cfRule type="cellIs" dxfId="138" priority="24933" operator="equal">
      <formula>"NO ADMISIBLE"</formula>
    </cfRule>
    <cfRule type="cellIs" dxfId="137" priority="24934" operator="equal">
      <formula>"RECHAZO"</formula>
    </cfRule>
    <cfRule type="cellIs" dxfId="136" priority="24935" operator="equal">
      <formula>"ADMISIBLE"</formula>
    </cfRule>
  </conditionalFormatting>
  <conditionalFormatting sqref="I10:K10">
    <cfRule type="cellIs" dxfId="135" priority="12805" operator="equal">
      <formula>"NO ADMISIBLE"</formula>
    </cfRule>
    <cfRule type="cellIs" dxfId="134" priority="12806" operator="equal">
      <formula>"RECHAZO"</formula>
    </cfRule>
    <cfRule type="cellIs" dxfId="133" priority="12807" operator="equal">
      <formula>"ADMISIBLE"</formula>
    </cfRule>
  </conditionalFormatting>
  <conditionalFormatting sqref="L10:N10">
    <cfRule type="cellIs" dxfId="132" priority="12795" operator="equal">
      <formula>"NO ADMISIBLE"</formula>
    </cfRule>
    <cfRule type="cellIs" dxfId="131" priority="12796" operator="equal">
      <formula>"RECHAZO"</formula>
    </cfRule>
    <cfRule type="cellIs" dxfId="130" priority="12797" operator="equal">
      <formula>"ADMISIBLE"</formula>
    </cfRule>
  </conditionalFormatting>
  <conditionalFormatting sqref="O10:Q10">
    <cfRule type="cellIs" dxfId="129" priority="12785" operator="equal">
      <formula>"NO ADMISIBLE"</formula>
    </cfRule>
    <cfRule type="cellIs" dxfId="128" priority="12786" operator="equal">
      <formula>"RECHAZO"</formula>
    </cfRule>
    <cfRule type="cellIs" dxfId="127" priority="12787" operator="equal">
      <formula>"ADMISIBLE"</formula>
    </cfRule>
  </conditionalFormatting>
  <conditionalFormatting sqref="R10:T10">
    <cfRule type="cellIs" dxfId="126" priority="12775" operator="equal">
      <formula>"NO ADMISIBLE"</formula>
    </cfRule>
    <cfRule type="cellIs" dxfId="125" priority="12776" operator="equal">
      <formula>"RECHAZO"</formula>
    </cfRule>
    <cfRule type="cellIs" dxfId="124" priority="12777" operator="equal">
      <formula>"ADMISIBLE"</formula>
    </cfRule>
  </conditionalFormatting>
  <conditionalFormatting sqref="U10:W10">
    <cfRule type="cellIs" dxfId="123" priority="12765" operator="equal">
      <formula>"NO ADMISIBLE"</formula>
    </cfRule>
    <cfRule type="cellIs" dxfId="122" priority="12766" operator="equal">
      <formula>"RECHAZO"</formula>
    </cfRule>
    <cfRule type="cellIs" dxfId="121" priority="12767" operator="equal">
      <formula>"ADMISIBLE"</formula>
    </cfRule>
  </conditionalFormatting>
  <conditionalFormatting sqref="X10:Z10">
    <cfRule type="cellIs" dxfId="120" priority="12755" operator="equal">
      <formula>"NO ADMISIBLE"</formula>
    </cfRule>
    <cfRule type="cellIs" dxfId="119" priority="12756" operator="equal">
      <formula>"RECHAZO"</formula>
    </cfRule>
    <cfRule type="cellIs" dxfId="118" priority="12757" operator="equal">
      <formula>"ADMISIBLE"</formula>
    </cfRule>
  </conditionalFormatting>
  <conditionalFormatting sqref="AA10:AC10">
    <cfRule type="cellIs" dxfId="117" priority="12745" operator="equal">
      <formula>"NO ADMISIBLE"</formula>
    </cfRule>
    <cfRule type="cellIs" dxfId="116" priority="12746" operator="equal">
      <formula>"RECHAZO"</formula>
    </cfRule>
    <cfRule type="cellIs" dxfId="115" priority="12747" operator="equal">
      <formula>"ADMISIBLE"</formula>
    </cfRule>
  </conditionalFormatting>
  <conditionalFormatting sqref="AD10:AF10">
    <cfRule type="cellIs" dxfId="114" priority="12735" operator="equal">
      <formula>"NO ADMISIBLE"</formula>
    </cfRule>
    <cfRule type="cellIs" dxfId="113" priority="12736" operator="equal">
      <formula>"RECHAZO"</formula>
    </cfRule>
    <cfRule type="cellIs" dxfId="112" priority="12737" operator="equal">
      <formula>"ADMISIBLE"</formula>
    </cfRule>
  </conditionalFormatting>
  <conditionalFormatting sqref="E18">
    <cfRule type="cellIs" dxfId="111" priority="12607" operator="notEqual">
      <formula>""</formula>
    </cfRule>
  </conditionalFormatting>
  <conditionalFormatting sqref="H17">
    <cfRule type="cellIs" dxfId="110" priority="12605" operator="equal">
      <formula>"PARA REVISIÓN"</formula>
    </cfRule>
    <cfRule type="cellIs" dxfId="109" priority="12606" operator="equal">
      <formula>"CUMPLE"</formula>
    </cfRule>
  </conditionalFormatting>
  <conditionalFormatting sqref="AG10:AI10">
    <cfRule type="cellIs" dxfId="108" priority="12597" operator="equal">
      <formula>"NO ADMISIBLE"</formula>
    </cfRule>
    <cfRule type="cellIs" dxfId="107" priority="12598" operator="equal">
      <formula>"RECHAZO"</formula>
    </cfRule>
    <cfRule type="cellIs" dxfId="106" priority="12599" operator="equal">
      <formula>"ADMISIBLE"</formula>
    </cfRule>
  </conditionalFormatting>
  <conditionalFormatting sqref="AJ10:AL10">
    <cfRule type="cellIs" dxfId="105" priority="12594" operator="equal">
      <formula>"NO ADMISIBLE"</formula>
    </cfRule>
    <cfRule type="cellIs" dxfId="104" priority="12595" operator="equal">
      <formula>"RECHAZO"</formula>
    </cfRule>
    <cfRule type="cellIs" dxfId="103" priority="12596" operator="equal">
      <formula>"ADMISIBLE"</formula>
    </cfRule>
  </conditionalFormatting>
  <conditionalFormatting sqref="AM10:AO10">
    <cfRule type="cellIs" dxfId="102" priority="12591" operator="equal">
      <formula>"NO ADMISIBLE"</formula>
    </cfRule>
    <cfRule type="cellIs" dxfId="101" priority="12592" operator="equal">
      <formula>"RECHAZO"</formula>
    </cfRule>
    <cfRule type="cellIs" dxfId="100" priority="12593" operator="equal">
      <formula>"ADMISIBLE"</formula>
    </cfRule>
  </conditionalFormatting>
  <conditionalFormatting sqref="AP10:AR10">
    <cfRule type="cellIs" dxfId="99" priority="12588" operator="equal">
      <formula>"NO ADMISIBLE"</formula>
    </cfRule>
    <cfRule type="cellIs" dxfId="98" priority="12589" operator="equal">
      <formula>"RECHAZO"</formula>
    </cfRule>
    <cfRule type="cellIs" dxfId="97" priority="12590" operator="equal">
      <formula>"ADMISIBLE"</formula>
    </cfRule>
  </conditionalFormatting>
  <conditionalFormatting sqref="AS10:AU10">
    <cfRule type="cellIs" dxfId="96" priority="12585" operator="equal">
      <formula>"NO ADMISIBLE"</formula>
    </cfRule>
    <cfRule type="cellIs" dxfId="95" priority="12586" operator="equal">
      <formula>"RECHAZO"</formula>
    </cfRule>
    <cfRule type="cellIs" dxfId="94" priority="12587" operator="equal">
      <formula>"ADMISIBLE"</formula>
    </cfRule>
  </conditionalFormatting>
  <conditionalFormatting sqref="AV10:AX10">
    <cfRule type="cellIs" dxfId="93" priority="12582" operator="equal">
      <formula>"NO ADMISIBLE"</formula>
    </cfRule>
    <cfRule type="cellIs" dxfId="92" priority="12583" operator="equal">
      <formula>"RECHAZO"</formula>
    </cfRule>
    <cfRule type="cellIs" dxfId="91" priority="12584" operator="equal">
      <formula>"ADMISIBLE"</formula>
    </cfRule>
  </conditionalFormatting>
  <conditionalFormatting sqref="AY10:BA10">
    <cfRule type="cellIs" dxfId="90" priority="12579" operator="equal">
      <formula>"NO ADMISIBLE"</formula>
    </cfRule>
    <cfRule type="cellIs" dxfId="89" priority="12580" operator="equal">
      <formula>"RECHAZO"</formula>
    </cfRule>
    <cfRule type="cellIs" dxfId="88" priority="12581" operator="equal">
      <formula>"ADMISIBLE"</formula>
    </cfRule>
  </conditionalFormatting>
  <conditionalFormatting sqref="BB10:BD10">
    <cfRule type="cellIs" dxfId="87" priority="12576" operator="equal">
      <formula>"NO ADMISIBLE"</formula>
    </cfRule>
    <cfRule type="cellIs" dxfId="86" priority="12577" operator="equal">
      <formula>"RECHAZO"</formula>
    </cfRule>
    <cfRule type="cellIs" dxfId="85" priority="12578" operator="equal">
      <formula>"ADMISIBLE"</formula>
    </cfRule>
  </conditionalFormatting>
  <conditionalFormatting sqref="BE10:BG10">
    <cfRule type="cellIs" dxfId="84" priority="12573" operator="equal">
      <formula>"NO ADMISIBLE"</formula>
    </cfRule>
    <cfRule type="cellIs" dxfId="83" priority="12574" operator="equal">
      <formula>"RECHAZO"</formula>
    </cfRule>
    <cfRule type="cellIs" dxfId="82" priority="12575" operator="equal">
      <formula>"ADMISIBLE"</formula>
    </cfRule>
  </conditionalFormatting>
  <conditionalFormatting sqref="BH10:BJ10">
    <cfRule type="cellIs" dxfId="81" priority="12570" operator="equal">
      <formula>"NO ADMISIBLE"</formula>
    </cfRule>
    <cfRule type="cellIs" dxfId="80" priority="12571" operator="equal">
      <formula>"RECHAZO"</formula>
    </cfRule>
    <cfRule type="cellIs" dxfId="79" priority="12572" operator="equal">
      <formula>"ADMISIBLE"</formula>
    </cfRule>
  </conditionalFormatting>
  <conditionalFormatting sqref="BK10:BM10">
    <cfRule type="cellIs" dxfId="78" priority="12567" operator="equal">
      <formula>"NO ADMISIBLE"</formula>
    </cfRule>
    <cfRule type="cellIs" dxfId="77" priority="12568" operator="equal">
      <formula>"RECHAZO"</formula>
    </cfRule>
    <cfRule type="cellIs" dxfId="76" priority="12569" operator="equal">
      <formula>"ADMISIBLE"</formula>
    </cfRule>
  </conditionalFormatting>
  <conditionalFormatting sqref="BN10:BP10">
    <cfRule type="cellIs" dxfId="75" priority="12564" operator="equal">
      <formula>"NO ADMISIBLE"</formula>
    </cfRule>
    <cfRule type="cellIs" dxfId="74" priority="12565" operator="equal">
      <formula>"RECHAZO"</formula>
    </cfRule>
    <cfRule type="cellIs" dxfId="73" priority="12566" operator="equal">
      <formula>"ADMISIBLE"</formula>
    </cfRule>
  </conditionalFormatting>
  <conditionalFormatting sqref="BQ10:BS10">
    <cfRule type="cellIs" dxfId="72" priority="12561" operator="equal">
      <formula>"NO ADMISIBLE"</formula>
    </cfRule>
    <cfRule type="cellIs" dxfId="71" priority="12562" operator="equal">
      <formula>"RECHAZO"</formula>
    </cfRule>
    <cfRule type="cellIs" dxfId="70" priority="12563" operator="equal">
      <formula>"ADMISIBLE"</formula>
    </cfRule>
  </conditionalFormatting>
  <conditionalFormatting sqref="BT10:BV10">
    <cfRule type="cellIs" dxfId="69" priority="12558" operator="equal">
      <formula>"NO ADMISIBLE"</formula>
    </cfRule>
    <cfRule type="cellIs" dxfId="68" priority="12559" operator="equal">
      <formula>"RECHAZO"</formula>
    </cfRule>
    <cfRule type="cellIs" dxfId="67" priority="12560" operator="equal">
      <formula>"ADMISIBLE"</formula>
    </cfRule>
  </conditionalFormatting>
  <conditionalFormatting sqref="BW10:BY10">
    <cfRule type="cellIs" dxfId="66" priority="12555" operator="equal">
      <formula>"NO ADMISIBLE"</formula>
    </cfRule>
    <cfRule type="cellIs" dxfId="65" priority="12556" operator="equal">
      <formula>"RECHAZO"</formula>
    </cfRule>
    <cfRule type="cellIs" dxfId="64" priority="12557" operator="equal">
      <formula>"ADMISIBLE"</formula>
    </cfRule>
  </conditionalFormatting>
  <conditionalFormatting sqref="BZ10:CB10">
    <cfRule type="cellIs" dxfId="63" priority="12552" operator="equal">
      <formula>"NO ADMISIBLE"</formula>
    </cfRule>
    <cfRule type="cellIs" dxfId="62" priority="12553" operator="equal">
      <formula>"RECHAZO"</formula>
    </cfRule>
    <cfRule type="cellIs" dxfId="61" priority="12554" operator="equal">
      <formula>"ADMISIBLE"</formula>
    </cfRule>
  </conditionalFormatting>
  <conditionalFormatting sqref="CC10:CE10">
    <cfRule type="cellIs" dxfId="60" priority="12549" operator="equal">
      <formula>"NO ADMISIBLE"</formula>
    </cfRule>
    <cfRule type="cellIs" dxfId="59" priority="12550" operator="equal">
      <formula>"RECHAZO"</formula>
    </cfRule>
    <cfRule type="cellIs" dxfId="58" priority="12551" operator="equal">
      <formula>"ADMISIBLE"</formula>
    </cfRule>
  </conditionalFormatting>
  <conditionalFormatting sqref="CF10:CH10">
    <cfRule type="cellIs" dxfId="57" priority="12546" operator="equal">
      <formula>"NO ADMISIBLE"</formula>
    </cfRule>
    <cfRule type="cellIs" dxfId="56" priority="12547" operator="equal">
      <formula>"RECHAZO"</formula>
    </cfRule>
    <cfRule type="cellIs" dxfId="55" priority="12548" operator="equal">
      <formula>"ADMISIBLE"</formula>
    </cfRule>
  </conditionalFormatting>
  <conditionalFormatting sqref="CI10:CK10">
    <cfRule type="cellIs" dxfId="54" priority="12543" operator="equal">
      <formula>"NO ADMISIBLE"</formula>
    </cfRule>
    <cfRule type="cellIs" dxfId="53" priority="12544" operator="equal">
      <formula>"RECHAZO"</formula>
    </cfRule>
    <cfRule type="cellIs" dxfId="52" priority="12545" operator="equal">
      <formula>"ADMISIBLE"</formula>
    </cfRule>
  </conditionalFormatting>
  <conditionalFormatting sqref="CL10:CN10">
    <cfRule type="cellIs" dxfId="51" priority="12540" operator="equal">
      <formula>"NO ADMISIBLE"</formula>
    </cfRule>
    <cfRule type="cellIs" dxfId="50" priority="12541" operator="equal">
      <formula>"RECHAZO"</formula>
    </cfRule>
    <cfRule type="cellIs" dxfId="49" priority="12542" operator="equal">
      <formula>"ADMISIBLE"</formula>
    </cfRule>
  </conditionalFormatting>
  <conditionalFormatting sqref="CO10:CQ10">
    <cfRule type="cellIs" dxfId="48" priority="12537" operator="equal">
      <formula>"NO ADMISIBLE"</formula>
    </cfRule>
    <cfRule type="cellIs" dxfId="47" priority="12538" operator="equal">
      <formula>"RECHAZO"</formula>
    </cfRule>
    <cfRule type="cellIs" dxfId="46" priority="12539" operator="equal">
      <formula>"ADMISIBLE"</formula>
    </cfRule>
  </conditionalFormatting>
  <conditionalFormatting sqref="CR10:CT10">
    <cfRule type="cellIs" dxfId="45" priority="12534" operator="equal">
      <formula>"NO ADMISIBLE"</formula>
    </cfRule>
    <cfRule type="cellIs" dxfId="44" priority="12535" operator="equal">
      <formula>"RECHAZO"</formula>
    </cfRule>
    <cfRule type="cellIs" dxfId="43" priority="12536" operator="equal">
      <formula>"ADMISIBLE"</formula>
    </cfRule>
  </conditionalFormatting>
  <conditionalFormatting sqref="CU10:CW10">
    <cfRule type="cellIs" dxfId="42" priority="12531" operator="equal">
      <formula>"NO ADMISIBLE"</formula>
    </cfRule>
    <cfRule type="cellIs" dxfId="41" priority="12532" operator="equal">
      <formula>"RECHAZO"</formula>
    </cfRule>
    <cfRule type="cellIs" dxfId="40" priority="12533" operator="equal">
      <formula>"ADMISIBLE"</formula>
    </cfRule>
  </conditionalFormatting>
  <conditionalFormatting sqref="CX10:CZ10">
    <cfRule type="cellIs" dxfId="39" priority="12528" operator="equal">
      <formula>"NO ADMISIBLE"</formula>
    </cfRule>
    <cfRule type="cellIs" dxfId="38" priority="12529" operator="equal">
      <formula>"RECHAZO"</formula>
    </cfRule>
    <cfRule type="cellIs" dxfId="37" priority="12530" operator="equal">
      <formula>"ADMISIBLE"</formula>
    </cfRule>
  </conditionalFormatting>
  <conditionalFormatting sqref="DA10:DC10">
    <cfRule type="cellIs" dxfId="36" priority="12525" operator="equal">
      <formula>"NO ADMISIBLE"</formula>
    </cfRule>
    <cfRule type="cellIs" dxfId="35" priority="12526" operator="equal">
      <formula>"RECHAZO"</formula>
    </cfRule>
    <cfRule type="cellIs" dxfId="34" priority="12527" operator="equal">
      <formula>"ADMISIBLE"</formula>
    </cfRule>
  </conditionalFormatting>
  <conditionalFormatting sqref="DD10:DF10">
    <cfRule type="cellIs" dxfId="33" priority="12522" operator="equal">
      <formula>"NO ADMISIBLE"</formula>
    </cfRule>
    <cfRule type="cellIs" dxfId="32" priority="12523" operator="equal">
      <formula>"RECHAZO"</formula>
    </cfRule>
    <cfRule type="cellIs" dxfId="31" priority="12524" operator="equal">
      <formula>"ADMISIBLE"</formula>
    </cfRule>
  </conditionalFormatting>
  <conditionalFormatting sqref="DG10:DI10">
    <cfRule type="cellIs" dxfId="30" priority="12519" operator="equal">
      <formula>"NO ADMISIBLE"</formula>
    </cfRule>
    <cfRule type="cellIs" dxfId="29" priority="12520" operator="equal">
      <formula>"RECHAZO"</formula>
    </cfRule>
    <cfRule type="cellIs" dxfId="28" priority="12521" operator="equal">
      <formula>"ADMISIBLE"</formula>
    </cfRule>
  </conditionalFormatting>
  <conditionalFormatting sqref="DJ10:DL10">
    <cfRule type="cellIs" dxfId="27" priority="12516" operator="equal">
      <formula>"NO ADMISIBLE"</formula>
    </cfRule>
    <cfRule type="cellIs" dxfId="26" priority="12517" operator="equal">
      <formula>"RECHAZO"</formula>
    </cfRule>
    <cfRule type="cellIs" dxfId="25" priority="12518" operator="equal">
      <formula>"ADMISIBLE"</formula>
    </cfRule>
  </conditionalFormatting>
  <conditionalFormatting sqref="G18">
    <cfRule type="cellIs" dxfId="24" priority="12422" operator="equal">
      <formula>"RECHAZO"</formula>
    </cfRule>
    <cfRule type="cellIs" dxfId="23" priority="12423" operator="equal">
      <formula>"NO ADMISIBLE"</formula>
    </cfRule>
    <cfRule type="cellIs" dxfId="22" priority="12424" operator="notBetween">
      <formula>"RECHAZO"</formula>
      <formula>"NO ADMISIBLE"</formula>
    </cfRule>
  </conditionalFormatting>
  <conditionalFormatting sqref="H18">
    <cfRule type="cellIs" dxfId="21" priority="12008" operator="equal">
      <formula>"NO VÁLIDA"</formula>
    </cfRule>
    <cfRule type="cellIs" dxfId="20" priority="12009" operator="equal">
      <formula>"VÁLIDA"</formula>
    </cfRule>
  </conditionalFormatting>
  <conditionalFormatting sqref="H14:H16">
    <cfRule type="cellIs" dxfId="19" priority="11187" operator="equal">
      <formula>"NO VÁLIDA"</formula>
    </cfRule>
    <cfRule type="cellIs" dxfId="18" priority="11188" operator="equal">
      <formula>"VÁLIDA"</formula>
    </cfRule>
  </conditionalFormatting>
  <conditionalFormatting sqref="K18 N18 Q18 T18 W18 Z18 AC18 AF18 AI18 AL18 AO18 AR18 AU18 AX18 BA18 BD18 BG18 BJ18 BM18 BP18 BS18 BV18 BY18 CB18 CE18 CH18 CK18 CN18 CQ18 CT18 CW18 CZ18 DC18 DF18 DI18 DL18">
    <cfRule type="cellIs" dxfId="17" priority="3" operator="equal">
      <formula>"NO VÁLIDA"</formula>
    </cfRule>
    <cfRule type="cellIs" dxfId="16" priority="4" operator="equal">
      <formula>"VÁLIDA"</formula>
    </cfRule>
  </conditionalFormatting>
  <conditionalFormatting sqref="K14:K16 N14:N16 Q14:Q16 T14:T16 W14:W16 Z14:Z16 AC14:AC16 AF14:AF16 AI14:AI16 AL14:AL16 AO14:AO16 AR14:AR16 AU14:AU16 AX14:AX16 BA14:BA16 BD14:BD16 BG14:BG16 BJ14:BJ16 BM14:BM16 BP14:BP16 BS14:BS16 BV14:BV16 BY14:BY16 CB14:CB16 CE14:CE16 CH14:CH16 CK14:CK16 CN14:CN16 CQ14:CQ16 CT14:CT16 CW14:CW16 CZ14:CZ16 DC14:DC16 DF14:DF16 DI14:DI16 DL14:DL16">
    <cfRule type="cellIs" dxfId="15" priority="1" operator="equal">
      <formula>"NO VÁLIDA"</formula>
    </cfRule>
    <cfRule type="cellIs" dxfId="14" priority="2" operator="equal">
      <formula>"VÁLIDA"</formula>
    </cfRule>
  </conditionalFormatting>
  <conditionalFormatting sqref="K17 N17 Q17 T17 W17 Z17 AC17 AF17 AI17 AL17 AO17 AR17 AU17 AX17 BA17 BD17 BG17 BJ17 BM17 BP17 BS17 BV17 BY17 CB17 CE17 CH17 CK17 CN17 CQ17 CT17 CW17 CZ17 DC17 DF17 DI17 DL17">
    <cfRule type="cellIs" dxfId="13" priority="8" operator="equal">
      <formula>"PARA REVISIÓN"</formula>
    </cfRule>
    <cfRule type="cellIs" dxfId="12" priority="9" operator="equal">
      <formula>"CUMPLE"</formula>
    </cfRule>
  </conditionalFormatting>
  <conditionalFormatting sqref="J18 M18 P18 S18 V18 Y18 AB18 AE18 AH18 AK18 AN18 AQ18 AT18 AW18 AZ18 BC18 BF18 BI18 BL18 BO18 BR18 BU18 BX18 CA18 CD18 CG18 CJ18 CM18 CP18 CS18 CV18 CY18 DB18 DE18 DH18 DK18">
    <cfRule type="cellIs" dxfId="11" priority="5" operator="equal">
      <formula>"RECHAZO"</formula>
    </cfRule>
    <cfRule type="cellIs" dxfId="10" priority="6" operator="equal">
      <formula>"NO ADMISIBLE"</formula>
    </cfRule>
    <cfRule type="cellIs" dxfId="9" priority="7" operator="notBetween">
      <formula>"RECHAZO"</formula>
      <formula>"NO ADMISIBLE"</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
&amp;A&amp;C&amp;P de &amp;N&amp;R&amp;9INSTITUTO NACIONAL DE VIAS
&amp;D</oddFooter>
  </headerFooter>
  <ignoredErrors>
    <ignoredError sqref="E19:E23 F19:H1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M112"/>
  <sheetViews>
    <sheetView showGridLines="0" topLeftCell="A77" zoomScale="90" zoomScaleNormal="90" workbookViewId="0">
      <selection activeCell="I47" sqref="I47"/>
    </sheetView>
  </sheetViews>
  <sheetFormatPr baseColWidth="10" defaultColWidth="11.42578125" defaultRowHeight="12.75" outlineLevelRow="1" x14ac:dyDescent="0.2"/>
  <cols>
    <col min="1" max="1" width="2.7109375" style="39" customWidth="1"/>
    <col min="2" max="3" width="8.28515625" style="39" customWidth="1"/>
    <col min="4" max="4" width="44.28515625" style="39" customWidth="1"/>
    <col min="5" max="5" width="21.5703125" style="39" customWidth="1"/>
    <col min="6" max="7" width="20.7109375" style="39" customWidth="1"/>
    <col min="8" max="8" width="15.42578125" style="39" bestFit="1" customWidth="1"/>
    <col min="9" max="9" width="28.7109375" style="41" bestFit="1" customWidth="1"/>
    <col min="10" max="10" width="13.7109375" style="37" hidden="1" customWidth="1"/>
    <col min="11" max="11" width="13.7109375" style="38" hidden="1" customWidth="1"/>
    <col min="12" max="14" width="13.7109375" style="39" hidden="1" customWidth="1"/>
    <col min="15" max="15" width="19.5703125" style="39" bestFit="1" customWidth="1"/>
    <col min="16" max="16" width="30" style="41" hidden="1" customWidth="1"/>
    <col min="17" max="17" width="22.28515625" style="41" bestFit="1" customWidth="1"/>
    <col min="18" max="39" width="22.28515625" style="39" bestFit="1" customWidth="1"/>
    <col min="40" max="16384" width="11.42578125" style="39"/>
  </cols>
  <sheetData>
    <row r="1" spans="2:18" ht="18" x14ac:dyDescent="0.2">
      <c r="B1" s="276" t="str">
        <f>RESUMEN!B1</f>
        <v>AGENCIA NACIONAL DE INFRAESTUCTURA</v>
      </c>
      <c r="C1" s="276"/>
      <c r="D1" s="276"/>
      <c r="E1" s="276"/>
      <c r="F1" s="276"/>
      <c r="G1" s="276"/>
      <c r="H1" s="276"/>
      <c r="I1" s="276"/>
    </row>
    <row r="2" spans="2:18" x14ac:dyDescent="0.2">
      <c r="B2" s="277"/>
      <c r="C2" s="277"/>
      <c r="D2" s="277"/>
      <c r="E2" s="277"/>
      <c r="F2" s="277"/>
      <c r="G2" s="277"/>
      <c r="H2" s="277"/>
      <c r="I2" s="277"/>
    </row>
    <row r="3" spans="2:18" x14ac:dyDescent="0.2">
      <c r="B3" s="277" t="str">
        <f>RESUMEN!B3</f>
        <v>GIT DE CONTRATACIÓN</v>
      </c>
      <c r="C3" s="277"/>
      <c r="D3" s="277"/>
      <c r="E3" s="277"/>
      <c r="F3" s="277"/>
      <c r="G3" s="277"/>
      <c r="H3" s="277"/>
      <c r="I3" s="277"/>
    </row>
    <row r="4" spans="2:18" x14ac:dyDescent="0.2">
      <c r="B4" s="277"/>
      <c r="C4" s="277"/>
      <c r="D4" s="277"/>
      <c r="E4" s="277"/>
      <c r="F4" s="277"/>
      <c r="G4" s="277"/>
      <c r="H4" s="277"/>
      <c r="I4" s="277"/>
    </row>
    <row r="5" spans="2:18" x14ac:dyDescent="0.2">
      <c r="B5" s="277" t="str">
        <f>RESUMEN!B5</f>
        <v>SELECCIÓN ABREVIADA DE MENOR CUANTÍA No. VJ-VAF-SA-009-2016</v>
      </c>
      <c r="C5" s="277"/>
      <c r="D5" s="277"/>
      <c r="E5" s="277"/>
      <c r="F5" s="277"/>
      <c r="G5" s="277"/>
      <c r="H5" s="277"/>
      <c r="I5" s="277"/>
    </row>
    <row r="6" spans="2:18" ht="15.75" x14ac:dyDescent="0.2">
      <c r="B6" s="45"/>
      <c r="C6" s="45"/>
      <c r="D6" s="40"/>
      <c r="E6" s="40"/>
      <c r="F6" s="40"/>
      <c r="G6" s="40"/>
      <c r="H6" s="40"/>
      <c r="I6" s="40"/>
    </row>
    <row r="7" spans="2:18" ht="31.5" customHeight="1" x14ac:dyDescent="0.2">
      <c r="B7" s="277" t="str">
        <f>RESUMEN!B7</f>
        <v>OBJETO: PRESTAR EL SERVICIO DE VIGILANCIA Y SEGURIDAD PRIVADA DE LA AGENCIA NACIONAL DE INFRAESTRUCTURA, UBICADAS EN LA CALLE 24A NO. 59 - 42 TORRE 4 PISOS 2, 6, 7 Y TORRE 3 PISO 8 DE LA CIUDAD DE BOGOTÁ</v>
      </c>
      <c r="C7" s="277"/>
      <c r="D7" s="277"/>
      <c r="E7" s="277"/>
      <c r="F7" s="277"/>
      <c r="G7" s="277"/>
      <c r="H7" s="277"/>
      <c r="I7" s="277"/>
    </row>
    <row r="8" spans="2:18" ht="15.75" x14ac:dyDescent="0.2">
      <c r="B8" s="45"/>
      <c r="C8" s="45"/>
      <c r="D8" s="40"/>
      <c r="E8" s="40"/>
      <c r="F8" s="40"/>
      <c r="G8" s="40"/>
      <c r="H8" s="40"/>
      <c r="I8" s="40"/>
    </row>
    <row r="9" spans="2:18" ht="15.75" customHeight="1" x14ac:dyDescent="0.2">
      <c r="B9" s="296" t="s">
        <v>23</v>
      </c>
      <c r="C9" s="296"/>
      <c r="D9" s="296"/>
      <c r="E9" s="296"/>
      <c r="F9" s="296"/>
      <c r="G9" s="296"/>
      <c r="H9" s="296"/>
      <c r="I9" s="296"/>
    </row>
    <row r="10" spans="2:18" ht="16.5" customHeight="1" x14ac:dyDescent="0.2">
      <c r="B10" s="328" t="s">
        <v>24</v>
      </c>
      <c r="C10" s="328"/>
      <c r="D10" s="328"/>
      <c r="E10" s="328"/>
      <c r="F10" s="328"/>
      <c r="G10" s="328"/>
      <c r="H10" s="328"/>
      <c r="I10" s="328"/>
      <c r="R10"/>
    </row>
    <row r="11" spans="2:18" ht="16.5" thickBot="1" x14ac:dyDescent="0.25">
      <c r="B11" s="46"/>
      <c r="C11" s="46"/>
      <c r="D11" s="40"/>
      <c r="E11" s="40"/>
      <c r="F11" s="40"/>
      <c r="G11" s="40"/>
      <c r="H11" s="40"/>
      <c r="I11" s="40"/>
    </row>
    <row r="12" spans="2:18" ht="15.75" thickBot="1" x14ac:dyDescent="0.25">
      <c r="B12" s="347" t="s">
        <v>40</v>
      </c>
      <c r="C12" s="348"/>
      <c r="D12" s="348"/>
      <c r="E12" s="348"/>
      <c r="F12" s="348"/>
      <c r="G12" s="348"/>
      <c r="H12" s="348"/>
      <c r="I12" s="349"/>
      <c r="P12" s="217" t="s">
        <v>92</v>
      </c>
    </row>
    <row r="13" spans="2:18" ht="13.5" hidden="1" thickBot="1" x14ac:dyDescent="0.25">
      <c r="B13" s="85" t="s">
        <v>107</v>
      </c>
      <c r="C13" s="86"/>
      <c r="D13" s="87"/>
      <c r="E13" s="87"/>
      <c r="F13" s="87"/>
      <c r="G13" s="87"/>
      <c r="H13" s="119" t="s">
        <v>41</v>
      </c>
      <c r="I13" s="120"/>
      <c r="P13" s="218">
        <v>1</v>
      </c>
    </row>
    <row r="14" spans="2:18" ht="13.5" hidden="1" thickBot="1" x14ac:dyDescent="0.25">
      <c r="B14" s="88"/>
      <c r="C14" s="86"/>
      <c r="D14" s="87"/>
      <c r="E14" s="87"/>
      <c r="F14" s="87"/>
      <c r="G14" s="87"/>
      <c r="H14" s="119" t="s">
        <v>42</v>
      </c>
      <c r="I14" s="121"/>
    </row>
    <row r="15" spans="2:18" ht="15.75" thickBot="1" x14ac:dyDescent="0.25">
      <c r="B15" s="89" t="s">
        <v>74</v>
      </c>
      <c r="C15" s="90"/>
      <c r="D15" s="91"/>
      <c r="E15" s="358" t="s">
        <v>165</v>
      </c>
      <c r="F15" s="358"/>
      <c r="G15" s="358"/>
      <c r="H15" s="358"/>
      <c r="I15" s="359"/>
      <c r="P15" s="217" t="s">
        <v>86</v>
      </c>
    </row>
    <row r="16" spans="2:18" ht="16.5" thickBot="1" x14ac:dyDescent="0.25">
      <c r="B16" s="46"/>
      <c r="C16" s="46"/>
      <c r="D16" s="40"/>
      <c r="E16" s="40"/>
      <c r="F16" s="40"/>
      <c r="G16" s="40"/>
      <c r="H16" s="40"/>
      <c r="I16" s="40"/>
      <c r="P16" s="218" t="s">
        <v>106</v>
      </c>
    </row>
    <row r="17" spans="2:17" ht="15.6" customHeight="1" x14ac:dyDescent="0.2">
      <c r="B17" s="347" t="s">
        <v>43</v>
      </c>
      <c r="C17" s="348"/>
      <c r="D17" s="348"/>
      <c r="E17" s="348"/>
      <c r="F17" s="348"/>
      <c r="G17" s="348"/>
      <c r="H17" s="348"/>
      <c r="I17" s="349"/>
    </row>
    <row r="18" spans="2:17" outlineLevel="1" x14ac:dyDescent="0.2">
      <c r="B18" s="88"/>
      <c r="C18" s="96"/>
      <c r="D18" s="92"/>
      <c r="E18" s="93"/>
      <c r="F18" s="93"/>
      <c r="G18" s="93"/>
      <c r="H18" s="96" t="s">
        <v>44</v>
      </c>
      <c r="I18" s="104">
        <f>COUNT(E46:E82)</f>
        <v>32</v>
      </c>
    </row>
    <row r="19" spans="2:17" outlineLevel="1" x14ac:dyDescent="0.2">
      <c r="B19" s="97"/>
      <c r="C19" s="96"/>
      <c r="D19" s="92"/>
      <c r="E19" s="93"/>
      <c r="F19" s="93"/>
      <c r="G19" s="93"/>
      <c r="H19" s="96" t="s">
        <v>48</v>
      </c>
      <c r="I19" s="107">
        <f>IF(I18=0,0,MIN(E46:E82))</f>
        <v>32591404</v>
      </c>
    </row>
    <row r="20" spans="2:17" outlineLevel="1" x14ac:dyDescent="0.2">
      <c r="B20" s="97"/>
      <c r="C20" s="96"/>
      <c r="D20" s="92"/>
      <c r="E20" s="93"/>
      <c r="F20" s="93"/>
      <c r="G20" s="93"/>
      <c r="H20" s="96" t="s">
        <v>49</v>
      </c>
      <c r="I20" s="107">
        <f>IF(I18=0,0,MAX(E46:E82))</f>
        <v>32954511</v>
      </c>
    </row>
    <row r="21" spans="2:17" outlineLevel="1" x14ac:dyDescent="0.2">
      <c r="B21" s="88"/>
      <c r="C21" s="98"/>
      <c r="D21" s="92"/>
      <c r="E21" s="93"/>
      <c r="F21" s="93"/>
      <c r="G21" s="93"/>
      <c r="H21" s="96" t="s">
        <v>55</v>
      </c>
      <c r="I21" s="107">
        <f>IF(I18=0,0,AVERAGE(E46:E82))</f>
        <v>32665465.34375</v>
      </c>
    </row>
    <row r="22" spans="2:17" outlineLevel="1" x14ac:dyDescent="0.2">
      <c r="B22" s="88"/>
      <c r="C22" s="98"/>
      <c r="D22" s="92"/>
      <c r="E22" s="93"/>
      <c r="F22" s="93"/>
      <c r="G22" s="93"/>
      <c r="H22" s="96" t="s">
        <v>56</v>
      </c>
      <c r="I22" s="107">
        <f>IF(I18=0,0,MEDIAN(E46:E82))</f>
        <v>32591408</v>
      </c>
    </row>
    <row r="23" spans="2:17" outlineLevel="1" x14ac:dyDescent="0.2">
      <c r="B23" s="88"/>
      <c r="C23" s="98"/>
      <c r="D23" s="92"/>
      <c r="E23" s="93"/>
      <c r="F23" s="93"/>
      <c r="G23" s="93"/>
      <c r="H23" s="96" t="s">
        <v>57</v>
      </c>
      <c r="I23" s="107">
        <f>IF(OR(I18=0,I18=1),0,STDEV(E46:E82))</f>
        <v>125311.71079316683</v>
      </c>
    </row>
    <row r="24" spans="2:17" outlineLevel="1" x14ac:dyDescent="0.2">
      <c r="B24" s="99"/>
      <c r="C24" s="100"/>
      <c r="D24" s="92"/>
      <c r="E24" s="93"/>
      <c r="F24" s="93"/>
      <c r="G24" s="93"/>
      <c r="H24" s="96" t="s">
        <v>58</v>
      </c>
      <c r="I24" s="107">
        <f>'VR-PROP'!$E$18</f>
        <v>32954511</v>
      </c>
    </row>
    <row r="25" spans="2:17" ht="13.5" outlineLevel="1" thickBot="1" x14ac:dyDescent="0.25">
      <c r="B25" s="101"/>
      <c r="C25" s="102"/>
      <c r="D25" s="94"/>
      <c r="E25" s="95"/>
      <c r="F25" s="95"/>
      <c r="G25" s="95"/>
      <c r="H25" s="103" t="s">
        <v>45</v>
      </c>
      <c r="I25" s="105">
        <v>700</v>
      </c>
    </row>
    <row r="26" spans="2:17" customFormat="1" outlineLevel="1" x14ac:dyDescent="0.2">
      <c r="P26" s="214"/>
      <c r="Q26" s="214"/>
    </row>
    <row r="27" spans="2:17" ht="16.149999999999999" hidden="1" customHeight="1" outlineLevel="1" x14ac:dyDescent="0.2">
      <c r="B27" s="331" t="s">
        <v>59</v>
      </c>
      <c r="C27" s="332"/>
      <c r="D27" s="332"/>
      <c r="E27" s="332"/>
      <c r="F27" s="332"/>
      <c r="G27" s="332"/>
      <c r="H27" s="332"/>
      <c r="I27" s="333"/>
    </row>
    <row r="28" spans="2:17" hidden="1" outlineLevel="1" x14ac:dyDescent="0.2">
      <c r="B28" s="350" t="s">
        <v>46</v>
      </c>
      <c r="C28" s="351"/>
      <c r="D28" s="351"/>
      <c r="E28" s="351"/>
      <c r="F28" s="351"/>
      <c r="G28" s="351"/>
      <c r="H28" s="352"/>
      <c r="I28" s="106">
        <f>I21</f>
        <v>32665465.34375</v>
      </c>
    </row>
    <row r="29" spans="2:17" ht="15" hidden="1" outlineLevel="1" x14ac:dyDescent="0.2">
      <c r="B29" s="334" t="s">
        <v>60</v>
      </c>
      <c r="C29" s="335"/>
      <c r="D29" s="335"/>
      <c r="E29" s="335"/>
      <c r="F29" s="335"/>
      <c r="G29" s="335"/>
      <c r="H29" s="335"/>
      <c r="I29" s="336"/>
    </row>
    <row r="30" spans="2:17" hidden="1" outlineLevel="1" x14ac:dyDescent="0.2">
      <c r="B30" s="350" t="s">
        <v>47</v>
      </c>
      <c r="C30" s="351"/>
      <c r="D30" s="351"/>
      <c r="E30" s="351"/>
      <c r="F30" s="351"/>
      <c r="G30" s="351"/>
      <c r="H30" s="352"/>
      <c r="I30" s="106">
        <f>AVERAGE(I20,I21)</f>
        <v>32809988.171875</v>
      </c>
    </row>
    <row r="31" spans="2:17" ht="15" outlineLevel="1" x14ac:dyDescent="0.2">
      <c r="B31" s="334" t="s">
        <v>166</v>
      </c>
      <c r="C31" s="335"/>
      <c r="D31" s="335"/>
      <c r="E31" s="335"/>
      <c r="F31" s="335"/>
      <c r="G31" s="335"/>
      <c r="H31" s="335"/>
      <c r="I31" s="336"/>
    </row>
    <row r="32" spans="2:17" hidden="1" outlineLevel="1" x14ac:dyDescent="0.2">
      <c r="B32" s="350" t="s">
        <v>77</v>
      </c>
      <c r="C32" s="351"/>
      <c r="D32" s="351"/>
      <c r="E32" s="351"/>
      <c r="F32" s="351"/>
      <c r="G32" s="351"/>
      <c r="H32" s="352"/>
      <c r="I32" s="106">
        <f>IF(I18=0,0,ROUNDUP(I18/3,0))</f>
        <v>11</v>
      </c>
    </row>
    <row r="33" spans="2:35" ht="13.5" hidden="1" outlineLevel="1" x14ac:dyDescent="0.2">
      <c r="B33" s="350" t="s">
        <v>75</v>
      </c>
      <c r="C33" s="351"/>
      <c r="D33" s="351"/>
      <c r="E33" s="351"/>
      <c r="F33" s="351"/>
      <c r="G33" s="351"/>
      <c r="H33" s="352"/>
      <c r="I33" s="108">
        <f>IF(I18=0,0,PRODUCT(F46:F82))</f>
        <v>2.8232183630185347E-48</v>
      </c>
      <c r="J33" s="164"/>
    </row>
    <row r="34" spans="2:35" ht="13.5" hidden="1" outlineLevel="1" x14ac:dyDescent="0.2">
      <c r="B34" s="350" t="s">
        <v>76</v>
      </c>
      <c r="C34" s="351"/>
      <c r="D34" s="351"/>
      <c r="E34" s="351"/>
      <c r="F34" s="351"/>
      <c r="G34" s="351"/>
      <c r="H34" s="352"/>
      <c r="I34" s="108">
        <f>POWER(I24/1000000000,I32)</f>
        <v>4.9780996800426234E-17</v>
      </c>
      <c r="J34" s="164"/>
    </row>
    <row r="35" spans="2:35" ht="13.15" customHeight="1" outlineLevel="1" x14ac:dyDescent="0.2">
      <c r="B35" s="350" t="s">
        <v>170</v>
      </c>
      <c r="C35" s="351"/>
      <c r="D35" s="351"/>
      <c r="E35" s="351"/>
      <c r="F35" s="351"/>
      <c r="G35" s="351"/>
      <c r="H35" s="352"/>
      <c r="I35" s="106">
        <f>POWER(PRODUCT(E46:E82),(1/I18))</f>
        <v>32665233.326962061</v>
      </c>
      <c r="J35" s="165"/>
    </row>
    <row r="36" spans="2:35" ht="13.15" customHeight="1" outlineLevel="1" x14ac:dyDescent="0.2">
      <c r="B36" s="270"/>
      <c r="C36" s="271"/>
      <c r="D36" s="271"/>
      <c r="E36" s="271"/>
      <c r="F36" s="271"/>
      <c r="G36" s="271"/>
      <c r="H36" s="272" t="s">
        <v>169</v>
      </c>
      <c r="I36" s="273">
        <f>0.85*$I$35</f>
        <v>27765448.327917751</v>
      </c>
      <c r="J36" s="165"/>
    </row>
    <row r="37" spans="2:35" ht="13.5" outlineLevel="1" thickBot="1" x14ac:dyDescent="0.25">
      <c r="B37" s="353" t="s">
        <v>171</v>
      </c>
      <c r="C37" s="354"/>
      <c r="D37" s="354"/>
      <c r="E37" s="354"/>
      <c r="F37" s="354"/>
      <c r="G37" s="354"/>
      <c r="H37" s="355"/>
      <c r="I37" s="109">
        <f>1.15*$I$35</f>
        <v>37565018.326006368</v>
      </c>
      <c r="J37"/>
    </row>
    <row r="38" spans="2:35" outlineLevel="1" x14ac:dyDescent="0.2">
      <c r="B38" s="122"/>
      <c r="C38" s="122"/>
      <c r="D38" s="122"/>
      <c r="E38" s="122"/>
      <c r="F38" s="122"/>
      <c r="G38" s="122"/>
      <c r="H38" s="122"/>
      <c r="I38" s="123"/>
      <c r="J38"/>
    </row>
    <row r="39" spans="2:35" ht="16.5" outlineLevel="1" thickBot="1" x14ac:dyDescent="0.3">
      <c r="B39" s="81"/>
      <c r="C39" s="81"/>
      <c r="D39" s="81"/>
      <c r="E39" s="82"/>
      <c r="F39" s="82"/>
      <c r="G39" s="82"/>
      <c r="H39" s="40"/>
      <c r="I39" s="40"/>
      <c r="J39"/>
    </row>
    <row r="40" spans="2:35" s="38" customFormat="1" ht="40.5" customHeight="1" thickBot="1" x14ac:dyDescent="0.25">
      <c r="B40" s="356" t="s">
        <v>61</v>
      </c>
      <c r="C40" s="357"/>
      <c r="D40" s="357"/>
      <c r="E40" s="337" t="str">
        <f>E15</f>
        <v>MEDIA GEOMÉTRICA</v>
      </c>
      <c r="F40" s="337"/>
      <c r="G40" s="337"/>
      <c r="H40" s="337"/>
      <c r="I40" s="166" t="str">
        <f>IF(E40="MEDIA ARITMETICA",I28,IF(E40="MEDIA ARITMETICA ALTA",I30,IF(E40="MEDIA GEOMETRICA CON PRESUPUESTO OFICIAL",I35,IF(E40="MENOR VALOR",I37,""))))</f>
        <v/>
      </c>
      <c r="J40" s="163"/>
      <c r="P40" s="215"/>
      <c r="Q40" s="215"/>
    </row>
    <row r="41" spans="2:35" ht="15.75" x14ac:dyDescent="0.25">
      <c r="B41" s="81"/>
      <c r="C41" s="81"/>
      <c r="D41" s="81"/>
      <c r="E41" s="82"/>
      <c r="F41" s="82"/>
      <c r="G41" s="82"/>
      <c r="H41" s="40"/>
      <c r="I41" s="40"/>
      <c r="J41"/>
    </row>
    <row r="42" spans="2:35" ht="16.5" thickBot="1" x14ac:dyDescent="0.25">
      <c r="B42" s="46"/>
      <c r="C42" s="46"/>
      <c r="D42" s="40"/>
      <c r="E42" s="40"/>
      <c r="F42" s="40"/>
      <c r="G42" s="40"/>
      <c r="H42" s="40"/>
      <c r="I42" s="40"/>
    </row>
    <row r="43" spans="2:35" ht="15" x14ac:dyDescent="0.2">
      <c r="B43" s="338" t="s">
        <v>63</v>
      </c>
      <c r="C43" s="339"/>
      <c r="D43" s="339"/>
      <c r="E43" s="339"/>
      <c r="F43" s="339"/>
      <c r="G43" s="339"/>
      <c r="H43" s="339"/>
      <c r="I43" s="340"/>
    </row>
    <row r="44" spans="2:35" ht="45" outlineLevel="1" x14ac:dyDescent="0.2">
      <c r="B44" s="362" t="s">
        <v>37</v>
      </c>
      <c r="C44" s="364" t="s">
        <v>11</v>
      </c>
      <c r="D44" s="366" t="s">
        <v>5</v>
      </c>
      <c r="E44" s="194" t="s">
        <v>109</v>
      </c>
      <c r="F44" s="194" t="s">
        <v>25</v>
      </c>
      <c r="G44" s="194" t="s">
        <v>167</v>
      </c>
      <c r="H44" s="194" t="s">
        <v>27</v>
      </c>
      <c r="I44" s="195" t="s">
        <v>4</v>
      </c>
      <c r="J44" s="341" t="s">
        <v>54</v>
      </c>
      <c r="K44" s="329" t="s">
        <v>50</v>
      </c>
      <c r="L44" s="329" t="s">
        <v>51</v>
      </c>
      <c r="M44" s="329" t="s">
        <v>52</v>
      </c>
      <c r="N44" s="329" t="s">
        <v>53</v>
      </c>
      <c r="AF44" s="39" t="str">
        <f>UPPER(R44)</f>
        <v/>
      </c>
      <c r="AG44" s="39" t="str">
        <f>UPPER(S44)</f>
        <v/>
      </c>
      <c r="AH44" s="39" t="str">
        <f>UPPER(T44)</f>
        <v/>
      </c>
      <c r="AI44" s="39" t="str">
        <f>UPPER(U44)</f>
        <v/>
      </c>
    </row>
    <row r="45" spans="2:35" ht="22.5" customHeight="1" outlineLevel="1" thickBot="1" x14ac:dyDescent="0.25">
      <c r="B45" s="363"/>
      <c r="C45" s="365"/>
      <c r="D45" s="367"/>
      <c r="E45" s="196" t="s">
        <v>26</v>
      </c>
      <c r="F45" s="196" t="s">
        <v>78</v>
      </c>
      <c r="G45" s="196" t="s">
        <v>168</v>
      </c>
      <c r="H45" s="196" t="s">
        <v>13</v>
      </c>
      <c r="I45" s="197" t="s">
        <v>62</v>
      </c>
      <c r="J45" s="342"/>
      <c r="K45" s="330"/>
      <c r="L45" s="330"/>
      <c r="M45" s="330"/>
      <c r="N45" s="330"/>
    </row>
    <row r="46" spans="2:35" ht="26.25" customHeight="1" outlineLevel="1" x14ac:dyDescent="0.2">
      <c r="B46" s="198">
        <v>1</v>
      </c>
      <c r="C46" s="199">
        <f>RESUMEN!C15</f>
        <v>1</v>
      </c>
      <c r="D46" s="200" t="str">
        <f>VLOOKUP(C46,RESUMEN!$C$15:$D$52,2,0)</f>
        <v>VIGIAS DE COLOMBIA SRL LTDA</v>
      </c>
      <c r="E46" s="201">
        <f>IF(ISTEXT('VR-PROP'!$G$18),"DESCARTADO",'VR-PROP'!$G$18)</f>
        <v>32591406</v>
      </c>
      <c r="F46" s="202">
        <f t="shared" ref="F46:F82" si="0">IF(ISTEXT(E46),"",E46/1000000000)</f>
        <v>3.2591406000000003E-2</v>
      </c>
      <c r="G46" s="269">
        <f>IF(E46="DESCARTADO","DESCARTADO",IF(OR(E46&lt;$I$35*0.85,E46&gt;$I$35*1.15),"",E46))</f>
        <v>32591406</v>
      </c>
      <c r="H46" s="243">
        <f t="shared" ref="H46:H82" si="1">IF(E46="DESCARTADO","DESCARTADO",(E46/$I$24)-1)</f>
        <v>-1.1018370140585598E-2</v>
      </c>
      <c r="I46" s="223">
        <f>IF(E46="DESCARTADO","DESCARTADO",IF(OR(E46&lt;$I$35*0.85,E46&gt;$I$35*1.15),0,(MIN($G$46:$G$82)*$I$25)/G46))</f>
        <v>699.99995704389062</v>
      </c>
      <c r="J46" s="83">
        <f t="shared" ref="J46:J62" si="2">IF(ISTEXT(E46),"",E46/$I$24)</f>
        <v>0.9889816298594144</v>
      </c>
      <c r="K46" s="84">
        <f t="shared" ref="K46:K62" si="3">IF(ISTEXT(E46),"",E46/$I$28)</f>
        <v>0.99773279385520308</v>
      </c>
      <c r="L46" s="84">
        <f t="shared" ref="L46:L62" si="4">IF(ISTEXT(E46),"",E46/$I$30)</f>
        <v>0.99333793810805548</v>
      </c>
      <c r="M46" s="84">
        <f>IF(ISTEXT(E46),"",E46/$I$35)</f>
        <v>0.9977398806179314</v>
      </c>
      <c r="N46" s="84">
        <f t="shared" ref="N46:N62" si="5">IF(ISTEXT(E46),"",E46/$I$37)</f>
        <v>0.86759989618950561</v>
      </c>
      <c r="O46" s="262">
        <f t="shared" ref="O46:O82" si="6">IF(E46="DESCARTADO","",COUNTIF($E$46:$E$82,E46))</f>
        <v>2</v>
      </c>
      <c r="P46" s="263">
        <f>IF(E46="DESCARTADO","",ABS(E46-E47))</f>
        <v>2</v>
      </c>
      <c r="Q46" s="241"/>
    </row>
    <row r="47" spans="2:35" ht="26.25" customHeight="1" outlineLevel="1" x14ac:dyDescent="0.2">
      <c r="B47" s="203">
        <v>2</v>
      </c>
      <c r="C47" s="204">
        <f>RESUMEN!C16</f>
        <v>2</v>
      </c>
      <c r="D47" s="205" t="str">
        <f>VLOOKUP(C47,RESUMEN!$C$15:$D$52,2,0)</f>
        <v>MEGASEGURIDAD LA PROVEEDORA LTDA</v>
      </c>
      <c r="E47" s="206">
        <f>IF(ISTEXT('VR-PROP'!$J$18),"DESCARTADO",'VR-PROP'!$J$18)</f>
        <v>32591408</v>
      </c>
      <c r="F47" s="207">
        <f t="shared" si="0"/>
        <v>3.2591408000000002E-2</v>
      </c>
      <c r="G47" s="206">
        <f t="shared" ref="G47:G82" si="7">IF(E47="DESCARTADO","DESCARTADO",IF(OR(E47&lt;$I$35*0.85,E47&gt;$I$35*1.15),"",E47))</f>
        <v>32591408</v>
      </c>
      <c r="H47" s="244">
        <f t="shared" si="1"/>
        <v>-1.1018309450867014E-2</v>
      </c>
      <c r="I47" s="223">
        <f t="shared" ref="I47:I82" si="8">IF(E47="DESCARTADO","DESCARTADO",IF(OR(E47&lt;$I$35*0.85,E47&gt;$I$35*1.15),0,(MIN($G$46:$G$82)*$I$25)/G47))</f>
        <v>699.99991408778658</v>
      </c>
      <c r="J47" s="83">
        <f t="shared" si="2"/>
        <v>0.98898169054913299</v>
      </c>
      <c r="K47" s="84">
        <f t="shared" si="3"/>
        <v>0.99773285508194454</v>
      </c>
      <c r="L47" s="84">
        <f t="shared" si="4"/>
        <v>0.99333799906510267</v>
      </c>
      <c r="M47" s="84">
        <f t="shared" ref="M47:M62" si="9">IF(ISTEXT(E47),"",E47/$I$35)</f>
        <v>0.99773994184510773</v>
      </c>
      <c r="N47" s="84">
        <f t="shared" si="5"/>
        <v>0.86759994943052843</v>
      </c>
      <c r="O47" s="262">
        <f t="shared" si="6"/>
        <v>6</v>
      </c>
      <c r="P47" s="263">
        <f t="shared" ref="P47:P81" si="10">IF(E47="DESCARTADO","",ABS(E47-E48))</f>
        <v>4</v>
      </c>
      <c r="Q47" s="241"/>
    </row>
    <row r="48" spans="2:35" ht="26.25" customHeight="1" outlineLevel="1" x14ac:dyDescent="0.2">
      <c r="B48" s="203">
        <v>3</v>
      </c>
      <c r="C48" s="204">
        <f>RESUMEN!C17</f>
        <v>3</v>
      </c>
      <c r="D48" s="205" t="str">
        <f>VLOOKUP(C48,RESUMEN!$C$15:$D$52,2,0)</f>
        <v>VIGILANCIA Y SEGURIDAD CELTAS LTDA</v>
      </c>
      <c r="E48" s="206">
        <f>IF(ISTEXT('VR-PROP'!$M$18),"DESCARTADO",'VR-PROP'!$M$18)</f>
        <v>32591404</v>
      </c>
      <c r="F48" s="207">
        <f t="shared" si="0"/>
        <v>3.2591403999999997E-2</v>
      </c>
      <c r="G48" s="206">
        <f t="shared" si="7"/>
        <v>32591404</v>
      </c>
      <c r="H48" s="244">
        <f t="shared" si="1"/>
        <v>-1.1018430830304182E-2</v>
      </c>
      <c r="I48" s="223">
        <f t="shared" si="8"/>
        <v>700</v>
      </c>
      <c r="J48" s="83">
        <f t="shared" si="2"/>
        <v>0.98898156916969582</v>
      </c>
      <c r="K48" s="84">
        <f t="shared" si="3"/>
        <v>0.99773273262846174</v>
      </c>
      <c r="L48" s="84">
        <f t="shared" si="4"/>
        <v>0.99333787715100819</v>
      </c>
      <c r="M48" s="84">
        <f t="shared" si="9"/>
        <v>0.99773981939075507</v>
      </c>
      <c r="N48" s="84">
        <f t="shared" si="5"/>
        <v>0.86759984294848269</v>
      </c>
      <c r="O48" s="262">
        <f t="shared" si="6"/>
        <v>4</v>
      </c>
      <c r="P48" s="263">
        <f t="shared" si="10"/>
        <v>250002</v>
      </c>
      <c r="Q48" s="241"/>
    </row>
    <row r="49" spans="2:17" ht="26.25" customHeight="1" outlineLevel="1" x14ac:dyDescent="0.2">
      <c r="B49" s="203">
        <v>4</v>
      </c>
      <c r="C49" s="204">
        <f>RESUMEN!C18</f>
        <v>4</v>
      </c>
      <c r="D49" s="205" t="str">
        <f>VLOOKUP(C49,RESUMEN!$C$15:$D$52,2,0)</f>
        <v>UNION TEMPORAL ANI SEGURA</v>
      </c>
      <c r="E49" s="206">
        <f>IF(ISTEXT('VR-PROP'!$P$18),"DESCARTADO",'VR-PROP'!$P$18)</f>
        <v>32841406</v>
      </c>
      <c r="F49" s="207">
        <f t="shared" si="0"/>
        <v>3.2841405999999997E-2</v>
      </c>
      <c r="G49" s="206">
        <f t="shared" si="7"/>
        <v>32841406</v>
      </c>
      <c r="H49" s="244">
        <f t="shared" si="1"/>
        <v>-3.4321553125155058E-3</v>
      </c>
      <c r="I49" s="223">
        <f t="shared" si="8"/>
        <v>694.67131827425419</v>
      </c>
      <c r="J49" s="83">
        <f t="shared" si="2"/>
        <v>0.99656784468748449</v>
      </c>
      <c r="K49" s="84">
        <f t="shared" si="3"/>
        <v>1.0053861365328343</v>
      </c>
      <c r="L49" s="84">
        <f t="shared" si="4"/>
        <v>1.000957569017106</v>
      </c>
      <c r="M49" s="84">
        <f t="shared" si="9"/>
        <v>1.0053932776562329</v>
      </c>
      <c r="N49" s="84">
        <f t="shared" si="5"/>
        <v>0.87425502404889821</v>
      </c>
      <c r="O49" s="262">
        <f t="shared" si="6"/>
        <v>1</v>
      </c>
      <c r="P49" s="263" t="e">
        <f t="shared" si="10"/>
        <v>#VALUE!</v>
      </c>
      <c r="Q49" s="241"/>
    </row>
    <row r="50" spans="2:17" ht="26.25" customHeight="1" outlineLevel="1" x14ac:dyDescent="0.2">
      <c r="B50" s="203">
        <v>5</v>
      </c>
      <c r="C50" s="204">
        <f>RESUMEN!C19</f>
        <v>5</v>
      </c>
      <c r="D50" s="205" t="str">
        <f>VLOOKUP(C50,RESUMEN!$C$15:$D$52,2,0)</f>
        <v>COVISUR DE COLOMBIA LTDA</v>
      </c>
      <c r="E50" s="206" t="str">
        <f>IF(ISTEXT('VR-PROP'!$S$18),"DESCARTADO",'VR-PROP'!$S$18)</f>
        <v>DESCARTADO</v>
      </c>
      <c r="F50" s="207" t="str">
        <f t="shared" si="0"/>
        <v/>
      </c>
      <c r="G50" s="207" t="str">
        <f t="shared" si="7"/>
        <v>DESCARTADO</v>
      </c>
      <c r="H50" s="244" t="str">
        <f t="shared" si="1"/>
        <v>DESCARTADO</v>
      </c>
      <c r="I50" s="223" t="str">
        <f t="shared" si="8"/>
        <v>DESCARTADO</v>
      </c>
      <c r="J50" s="83" t="str">
        <f t="shared" si="2"/>
        <v/>
      </c>
      <c r="K50" s="84" t="str">
        <f t="shared" si="3"/>
        <v/>
      </c>
      <c r="L50" s="84" t="str">
        <f t="shared" si="4"/>
        <v/>
      </c>
      <c r="M50" s="84" t="str">
        <f t="shared" si="9"/>
        <v/>
      </c>
      <c r="N50" s="84" t="str">
        <f t="shared" si="5"/>
        <v/>
      </c>
      <c r="O50" s="262" t="str">
        <f t="shared" si="6"/>
        <v/>
      </c>
      <c r="P50" s="263" t="str">
        <f t="shared" si="10"/>
        <v/>
      </c>
      <c r="Q50" s="241"/>
    </row>
    <row r="51" spans="2:17" ht="26.25" customHeight="1" outlineLevel="1" x14ac:dyDescent="0.2">
      <c r="B51" s="203">
        <v>6</v>
      </c>
      <c r="C51" s="204">
        <f>RESUMEN!C20</f>
        <v>6</v>
      </c>
      <c r="D51" s="205" t="str">
        <f>VLOOKUP(C51,RESUMEN!$C$15:$D$52,2,0)</f>
        <v>SEGURIDAD NUEVA ERA LTDA</v>
      </c>
      <c r="E51" s="206">
        <f>IF(ISTEXT('VR-PROP'!$V$18),"DESCARTADO",'VR-PROP'!$V$18)</f>
        <v>32591407</v>
      </c>
      <c r="F51" s="207">
        <f t="shared" si="0"/>
        <v>3.2591407000000003E-2</v>
      </c>
      <c r="G51" s="206">
        <f t="shared" si="7"/>
        <v>32591407</v>
      </c>
      <c r="H51" s="244">
        <f t="shared" si="1"/>
        <v>-1.1018339795726306E-2</v>
      </c>
      <c r="I51" s="223">
        <f t="shared" si="8"/>
        <v>699.99993556583797</v>
      </c>
      <c r="J51" s="83">
        <f t="shared" si="2"/>
        <v>0.98898166020427369</v>
      </c>
      <c r="K51" s="84">
        <f t="shared" si="3"/>
        <v>0.99773282446857381</v>
      </c>
      <c r="L51" s="84">
        <f t="shared" si="4"/>
        <v>0.99333796858657908</v>
      </c>
      <c r="M51" s="84">
        <f t="shared" si="9"/>
        <v>0.99773991123151951</v>
      </c>
      <c r="N51" s="84">
        <f t="shared" si="5"/>
        <v>0.86759992281001708</v>
      </c>
      <c r="O51" s="262">
        <f t="shared" si="6"/>
        <v>6</v>
      </c>
      <c r="P51" s="263">
        <f t="shared" si="10"/>
        <v>0</v>
      </c>
      <c r="Q51" s="241"/>
    </row>
    <row r="52" spans="2:17" ht="26.25" customHeight="1" outlineLevel="1" x14ac:dyDescent="0.2">
      <c r="B52" s="203">
        <v>7</v>
      </c>
      <c r="C52" s="204">
        <f>RESUMEN!C21</f>
        <v>7</v>
      </c>
      <c r="D52" s="205" t="str">
        <f>VLOOKUP(C52,RESUMEN!$C$15:$D$52,2,0)</f>
        <v>UNION TEMPORAL MP ANI 2016</v>
      </c>
      <c r="E52" s="206">
        <f>IF(ISTEXT('VR-PROP'!$Y$18),"DESCARTADO",'VR-PROP'!$Y$18)</f>
        <v>32591407</v>
      </c>
      <c r="F52" s="207">
        <f t="shared" si="0"/>
        <v>3.2591407000000003E-2</v>
      </c>
      <c r="G52" s="206">
        <f t="shared" si="7"/>
        <v>32591407</v>
      </c>
      <c r="H52" s="244">
        <f t="shared" si="1"/>
        <v>-1.1018339795726306E-2</v>
      </c>
      <c r="I52" s="223">
        <f t="shared" si="8"/>
        <v>699.99993556583797</v>
      </c>
      <c r="J52" s="83">
        <f t="shared" si="2"/>
        <v>0.98898166020427369</v>
      </c>
      <c r="K52" s="84">
        <f t="shared" si="3"/>
        <v>0.99773282446857381</v>
      </c>
      <c r="L52" s="84">
        <f t="shared" si="4"/>
        <v>0.99333796858657908</v>
      </c>
      <c r="M52" s="84">
        <f t="shared" si="9"/>
        <v>0.99773991123151951</v>
      </c>
      <c r="N52" s="84">
        <f t="shared" si="5"/>
        <v>0.86759992281001708</v>
      </c>
      <c r="O52" s="262">
        <f t="shared" si="6"/>
        <v>6</v>
      </c>
      <c r="P52" s="263">
        <f t="shared" si="10"/>
        <v>3</v>
      </c>
      <c r="Q52" s="241"/>
    </row>
    <row r="53" spans="2:17" ht="26.25" customHeight="1" outlineLevel="1" x14ac:dyDescent="0.2">
      <c r="B53" s="203">
        <v>8</v>
      </c>
      <c r="C53" s="204">
        <f>RESUMEN!C22</f>
        <v>8</v>
      </c>
      <c r="D53" s="205" t="str">
        <f>VLOOKUP(C53,RESUMEN!$C$15:$D$52,2,0)</f>
        <v>COMPAÑÍA DE SEGURIDAD PRIVADA SERSECOL LTDA</v>
      </c>
      <c r="E53" s="206">
        <f>IF(ISTEXT('VR-PROP'!$AB$18),"DESCARTADO",'VR-PROP'!$AB$18)</f>
        <v>32591404</v>
      </c>
      <c r="F53" s="207">
        <f t="shared" si="0"/>
        <v>3.2591403999999997E-2</v>
      </c>
      <c r="G53" s="206">
        <f t="shared" si="7"/>
        <v>32591404</v>
      </c>
      <c r="H53" s="244">
        <f t="shared" si="1"/>
        <v>-1.1018430830304182E-2</v>
      </c>
      <c r="I53" s="223">
        <f t="shared" si="8"/>
        <v>700</v>
      </c>
      <c r="J53" s="83">
        <f t="shared" si="2"/>
        <v>0.98898156916969582</v>
      </c>
      <c r="K53" s="84">
        <f t="shared" si="3"/>
        <v>0.99773273262846174</v>
      </c>
      <c r="L53" s="84">
        <f t="shared" si="4"/>
        <v>0.99333787715100819</v>
      </c>
      <c r="M53" s="84">
        <f t="shared" si="9"/>
        <v>0.99773981939075507</v>
      </c>
      <c r="N53" s="84">
        <f t="shared" si="5"/>
        <v>0.86759984294848269</v>
      </c>
      <c r="O53" s="262">
        <f t="shared" si="6"/>
        <v>4</v>
      </c>
      <c r="P53" s="263">
        <f t="shared" si="10"/>
        <v>165278</v>
      </c>
      <c r="Q53" s="241"/>
    </row>
    <row r="54" spans="2:17" ht="26.25" customHeight="1" outlineLevel="1" x14ac:dyDescent="0.2">
      <c r="B54" s="203">
        <v>9</v>
      </c>
      <c r="C54" s="204">
        <f>RESUMEN!C23</f>
        <v>9</v>
      </c>
      <c r="D54" s="205" t="str">
        <f>VLOOKUP(C54,RESUMEN!$C$15:$D$52,2,0)</f>
        <v>SEGURIDAD ATEMPI LTDA</v>
      </c>
      <c r="E54" s="206">
        <f>IF(ISTEXT('VR-PROP'!$AE$18),"DESCARTADO",'VR-PROP'!$AE$18)</f>
        <v>32756682</v>
      </c>
      <c r="F54" s="207">
        <f t="shared" si="0"/>
        <v>3.2756682000000002E-2</v>
      </c>
      <c r="G54" s="206">
        <f t="shared" si="7"/>
        <v>32756682</v>
      </c>
      <c r="H54" s="244">
        <f t="shared" si="1"/>
        <v>-6.0030931728891623E-3</v>
      </c>
      <c r="I54" s="223">
        <f t="shared" si="8"/>
        <v>696.46806108140015</v>
      </c>
      <c r="J54" s="83">
        <f t="shared" si="2"/>
        <v>0.99399690682711084</v>
      </c>
      <c r="K54" s="84">
        <f t="shared" si="3"/>
        <v>1.0027924493127558</v>
      </c>
      <c r="L54" s="84">
        <f t="shared" si="4"/>
        <v>0.9983753065805524</v>
      </c>
      <c r="M54" s="84">
        <f t="shared" si="9"/>
        <v>1.0027995720135408</v>
      </c>
      <c r="N54" s="84">
        <f t="shared" si="5"/>
        <v>0.87199962783786156</v>
      </c>
      <c r="O54" s="262">
        <f t="shared" si="6"/>
        <v>1</v>
      </c>
      <c r="P54" s="263" t="e">
        <f t="shared" si="10"/>
        <v>#VALUE!</v>
      </c>
      <c r="Q54" s="241"/>
    </row>
    <row r="55" spans="2:17" ht="26.25" customHeight="1" outlineLevel="1" x14ac:dyDescent="0.2">
      <c r="B55" s="203">
        <v>10</v>
      </c>
      <c r="C55" s="204">
        <f>RESUMEN!C24</f>
        <v>10</v>
      </c>
      <c r="D55" s="205" t="str">
        <f>VLOOKUP(C55,RESUMEN!$C$15:$D$52,2,0)</f>
        <v>SU OPORTUNO SERVICIO LTDA</v>
      </c>
      <c r="E55" s="206" t="str">
        <f>IF(ISTEXT('VR-PROP'!$AH$18),"DESCARTADO",'VR-PROP'!$AH$18)</f>
        <v>DESCARTADO</v>
      </c>
      <c r="F55" s="207" t="str">
        <f t="shared" si="0"/>
        <v/>
      </c>
      <c r="G55" s="207" t="str">
        <f t="shared" si="7"/>
        <v>DESCARTADO</v>
      </c>
      <c r="H55" s="244" t="str">
        <f t="shared" si="1"/>
        <v>DESCARTADO</v>
      </c>
      <c r="I55" s="223" t="str">
        <f t="shared" si="8"/>
        <v>DESCARTADO</v>
      </c>
      <c r="J55" s="83" t="str">
        <f t="shared" si="2"/>
        <v/>
      </c>
      <c r="K55" s="84" t="str">
        <f t="shared" si="3"/>
        <v/>
      </c>
      <c r="L55" s="84" t="str">
        <f t="shared" si="4"/>
        <v/>
      </c>
      <c r="M55" s="84" t="str">
        <f t="shared" si="9"/>
        <v/>
      </c>
      <c r="N55" s="84" t="str">
        <f t="shared" si="5"/>
        <v/>
      </c>
      <c r="O55" s="262" t="str">
        <f t="shared" si="6"/>
        <v/>
      </c>
      <c r="P55" s="263" t="str">
        <f t="shared" si="10"/>
        <v/>
      </c>
      <c r="Q55" s="241"/>
    </row>
    <row r="56" spans="2:17" ht="26.25" customHeight="1" outlineLevel="1" x14ac:dyDescent="0.2">
      <c r="B56" s="203">
        <v>11</v>
      </c>
      <c r="C56" s="204">
        <f>RESUMEN!C25</f>
        <v>11</v>
      </c>
      <c r="D56" s="205" t="str">
        <f>VLOOKUP(C56,RESUMEN!$C$15:$D$52,2,0)</f>
        <v>INTERGLOBAL SEGURIDAD Y VIGILANCIA LTDA</v>
      </c>
      <c r="E56" s="206">
        <f>IF(ISTEXT('VR-PROP'!$AK$18),"DESCARTADO",'VR-PROP'!$AK$18)</f>
        <v>32591408</v>
      </c>
      <c r="F56" s="207">
        <f t="shared" si="0"/>
        <v>3.2591408000000002E-2</v>
      </c>
      <c r="G56" s="206">
        <f t="shared" si="7"/>
        <v>32591408</v>
      </c>
      <c r="H56" s="244">
        <f t="shared" si="1"/>
        <v>-1.1018309450867014E-2</v>
      </c>
      <c r="I56" s="223">
        <f t="shared" si="8"/>
        <v>699.99991408778658</v>
      </c>
      <c r="J56" s="83">
        <f t="shared" si="2"/>
        <v>0.98898169054913299</v>
      </c>
      <c r="K56" s="84">
        <f t="shared" si="3"/>
        <v>0.99773285508194454</v>
      </c>
      <c r="L56" s="84">
        <f t="shared" si="4"/>
        <v>0.99333799906510267</v>
      </c>
      <c r="M56" s="84">
        <f t="shared" si="9"/>
        <v>0.99773994184510773</v>
      </c>
      <c r="N56" s="84">
        <f t="shared" si="5"/>
        <v>0.86759994943052843</v>
      </c>
      <c r="O56" s="262">
        <f t="shared" si="6"/>
        <v>6</v>
      </c>
      <c r="P56" s="263">
        <f t="shared" si="10"/>
        <v>306780</v>
      </c>
      <c r="Q56" s="241"/>
    </row>
    <row r="57" spans="2:17" ht="26.25" customHeight="1" outlineLevel="1" x14ac:dyDescent="0.2">
      <c r="B57" s="203">
        <v>12</v>
      </c>
      <c r="C57" s="204">
        <f>RESUMEN!C26</f>
        <v>12</v>
      </c>
      <c r="D57" s="205" t="str">
        <f>VLOOKUP(C57,RESUMEN!$C$15:$D$52,2,0)</f>
        <v>ZONA DE SEGURIDAD LDTA</v>
      </c>
      <c r="E57" s="206">
        <f>IF(ISTEXT('VR-PROP'!$AN$18),"DESCARTADO",'VR-PROP'!$AN$18)</f>
        <v>32898188</v>
      </c>
      <c r="F57" s="207">
        <f t="shared" si="0"/>
        <v>3.2898188000000002E-2</v>
      </c>
      <c r="G57" s="206">
        <f t="shared" si="7"/>
        <v>32898188</v>
      </c>
      <c r="H57" s="244">
        <f t="shared" si="1"/>
        <v>-1.7091135110455236E-3</v>
      </c>
      <c r="I57" s="223">
        <f t="shared" si="8"/>
        <v>693.47232133271291</v>
      </c>
      <c r="J57" s="83">
        <f t="shared" si="2"/>
        <v>0.99829088648895448</v>
      </c>
      <c r="K57" s="84">
        <f t="shared" si="3"/>
        <v>1.0071244249485192</v>
      </c>
      <c r="L57" s="84">
        <f t="shared" si="4"/>
        <v>1.0026882005462168</v>
      </c>
      <c r="M57" s="84">
        <f t="shared" si="9"/>
        <v>1.0071315784187482</v>
      </c>
      <c r="N57" s="84">
        <f t="shared" si="5"/>
        <v>0.87576658992934642</v>
      </c>
      <c r="O57" s="262">
        <f t="shared" si="6"/>
        <v>1</v>
      </c>
      <c r="P57" s="263">
        <f t="shared" si="10"/>
        <v>306783</v>
      </c>
      <c r="Q57" s="241"/>
    </row>
    <row r="58" spans="2:17" ht="26.25" customHeight="1" outlineLevel="1" x14ac:dyDescent="0.2">
      <c r="B58" s="203">
        <v>13</v>
      </c>
      <c r="C58" s="204">
        <f>RESUMEN!C27</f>
        <v>13</v>
      </c>
      <c r="D58" s="205" t="str">
        <f>VLOOKUP(C58,RESUMEN!$C$15:$D$52,2,0)</f>
        <v>ACON SECURITY LIMITADA</v>
      </c>
      <c r="E58" s="206">
        <f>IF(ISTEXT('VR-PROP'!$AQ$18),"DESCARTADO",'VR-PROP'!$AQ$18)</f>
        <v>32591405</v>
      </c>
      <c r="F58" s="207">
        <f t="shared" si="0"/>
        <v>3.2591404999999997E-2</v>
      </c>
      <c r="G58" s="206">
        <f t="shared" si="7"/>
        <v>32591405</v>
      </c>
      <c r="H58" s="244">
        <f t="shared" si="1"/>
        <v>-1.101840048544489E-2</v>
      </c>
      <c r="I58" s="223">
        <f t="shared" si="8"/>
        <v>699.99997852194463</v>
      </c>
      <c r="J58" s="83">
        <f t="shared" si="2"/>
        <v>0.98898159951455511</v>
      </c>
      <c r="K58" s="84">
        <f t="shared" si="3"/>
        <v>0.99773276324183235</v>
      </c>
      <c r="L58" s="84">
        <f t="shared" si="4"/>
        <v>0.99333790762953178</v>
      </c>
      <c r="M58" s="84">
        <f t="shared" si="9"/>
        <v>0.99773985000434318</v>
      </c>
      <c r="N58" s="84">
        <f t="shared" si="5"/>
        <v>0.86759986956899415</v>
      </c>
      <c r="O58" s="262">
        <f t="shared" si="6"/>
        <v>1</v>
      </c>
      <c r="P58" s="263">
        <f t="shared" si="10"/>
        <v>363106</v>
      </c>
      <c r="Q58" s="241"/>
    </row>
    <row r="59" spans="2:17" ht="26.25" customHeight="1" outlineLevel="1" x14ac:dyDescent="0.2">
      <c r="B59" s="203">
        <v>14</v>
      </c>
      <c r="C59" s="204">
        <f>RESUMEN!C28</f>
        <v>14</v>
      </c>
      <c r="D59" s="205" t="str">
        <f>VLOOKUP(C59,RESUMEN!$C$15:$D$52,2,0)</f>
        <v>UNION TEMPORAL ESTATAL-IVAEST 2016</v>
      </c>
      <c r="E59" s="206">
        <f>IF(ISTEXT('VR-PROP'!$AT$18),"DESCARTADO",'VR-PROP'!$AT$18)</f>
        <v>32954511</v>
      </c>
      <c r="F59" s="207">
        <f t="shared" si="0"/>
        <v>3.2954510999999999E-2</v>
      </c>
      <c r="G59" s="206">
        <f t="shared" si="7"/>
        <v>32954511</v>
      </c>
      <c r="H59" s="244">
        <f t="shared" si="1"/>
        <v>0</v>
      </c>
      <c r="I59" s="223">
        <f t="shared" si="8"/>
        <v>692.28709841878708</v>
      </c>
      <c r="J59" s="83">
        <f t="shared" si="2"/>
        <v>1</v>
      </c>
      <c r="K59" s="84">
        <f t="shared" si="3"/>
        <v>1.008848661827048</v>
      </c>
      <c r="L59" s="84">
        <f t="shared" si="4"/>
        <v>1.0044048424329786</v>
      </c>
      <c r="M59" s="84">
        <f t="shared" si="9"/>
        <v>1.0088558275443014</v>
      </c>
      <c r="N59" s="84">
        <f t="shared" si="5"/>
        <v>0.87726593699504463</v>
      </c>
      <c r="O59" s="262">
        <f t="shared" si="6"/>
        <v>2</v>
      </c>
      <c r="P59" s="263">
        <f t="shared" si="10"/>
        <v>363105</v>
      </c>
      <c r="Q59" s="241"/>
    </row>
    <row r="60" spans="2:17" ht="26.25" customHeight="1" outlineLevel="1" x14ac:dyDescent="0.2">
      <c r="B60" s="203">
        <v>15</v>
      </c>
      <c r="C60" s="204">
        <f>RESUMEN!C29</f>
        <v>15</v>
      </c>
      <c r="D60" s="205" t="str">
        <f>VLOOKUP(C60,RESUMEN!$C$15:$D$52,2,0)</f>
        <v>SERVISION DE COLOMBIA Y CIA LTDA</v>
      </c>
      <c r="E60" s="206">
        <f>IF(ISTEXT('VR-PROP'!$AW$18),"DESCARTADO",'VR-PROP'!$AW$18)</f>
        <v>32591406</v>
      </c>
      <c r="F60" s="207">
        <f t="shared" si="0"/>
        <v>3.2591406000000003E-2</v>
      </c>
      <c r="G60" s="206">
        <f t="shared" si="7"/>
        <v>32591406</v>
      </c>
      <c r="H60" s="244">
        <f t="shared" si="1"/>
        <v>-1.1018370140585598E-2</v>
      </c>
      <c r="I60" s="223">
        <f t="shared" si="8"/>
        <v>699.99995704389062</v>
      </c>
      <c r="J60" s="83">
        <f t="shared" si="2"/>
        <v>0.9889816298594144</v>
      </c>
      <c r="K60" s="84">
        <f t="shared" si="3"/>
        <v>0.99773279385520308</v>
      </c>
      <c r="L60" s="84">
        <f t="shared" si="4"/>
        <v>0.99333793810805548</v>
      </c>
      <c r="M60" s="84">
        <f t="shared" si="9"/>
        <v>0.9977398806179314</v>
      </c>
      <c r="N60" s="84">
        <f t="shared" si="5"/>
        <v>0.86759989618950561</v>
      </c>
      <c r="O60" s="262">
        <f t="shared" si="6"/>
        <v>2</v>
      </c>
      <c r="P60" s="263">
        <f t="shared" si="10"/>
        <v>1</v>
      </c>
      <c r="Q60" s="241"/>
    </row>
    <row r="61" spans="2:17" ht="26.25" customHeight="1" outlineLevel="1" x14ac:dyDescent="0.2">
      <c r="B61" s="203">
        <v>16</v>
      </c>
      <c r="C61" s="204">
        <f>RESUMEN!C30</f>
        <v>16</v>
      </c>
      <c r="D61" s="205" t="str">
        <f>VLOOKUP(C61,RESUMEN!$C$15:$D$52,2,0)</f>
        <v>SEGURIDAD Y VIGILANCIA SERVICONCEL LTDA</v>
      </c>
      <c r="E61" s="206">
        <f>IF(ISTEXT('VR-PROP'!$AZ$18),"DESCARTADO",'VR-PROP'!$AZ$18)</f>
        <v>32591407</v>
      </c>
      <c r="F61" s="207">
        <f t="shared" si="0"/>
        <v>3.2591407000000003E-2</v>
      </c>
      <c r="G61" s="206">
        <f t="shared" si="7"/>
        <v>32591407</v>
      </c>
      <c r="H61" s="244">
        <f t="shared" si="1"/>
        <v>-1.1018339795726306E-2</v>
      </c>
      <c r="I61" s="223">
        <f t="shared" si="8"/>
        <v>699.99993556583797</v>
      </c>
      <c r="J61" s="83">
        <f t="shared" si="2"/>
        <v>0.98898166020427369</v>
      </c>
      <c r="K61" s="84">
        <f t="shared" si="3"/>
        <v>0.99773282446857381</v>
      </c>
      <c r="L61" s="84">
        <f t="shared" si="4"/>
        <v>0.99333796858657908</v>
      </c>
      <c r="M61" s="84">
        <f t="shared" si="9"/>
        <v>0.99773991123151951</v>
      </c>
      <c r="N61" s="84">
        <f t="shared" si="5"/>
        <v>0.86759992281001708</v>
      </c>
      <c r="O61" s="262">
        <f t="shared" si="6"/>
        <v>6</v>
      </c>
      <c r="P61" s="263" t="e">
        <f t="shared" si="10"/>
        <v>#VALUE!</v>
      </c>
      <c r="Q61" s="241"/>
    </row>
    <row r="62" spans="2:17" ht="26.25" customHeight="1" outlineLevel="1" x14ac:dyDescent="0.2">
      <c r="B62" s="203">
        <v>17</v>
      </c>
      <c r="C62" s="204">
        <f>RESUMEN!C31</f>
        <v>17</v>
      </c>
      <c r="D62" s="205" t="str">
        <f>VLOOKUP(C62,RESUMEN!$C$15:$D$52,2,0)</f>
        <v>COOPERTAIVA DE VIGILANCIA Y SERVICIOS DE BUCARAMANGA CTA - COOVIAM CTA</v>
      </c>
      <c r="E62" s="206" t="str">
        <f>IF(ISTEXT('VR-PROP'!$BC$18),"DESCARTADO",'VR-PROP'!$BC$18)</f>
        <v>DESCARTADO</v>
      </c>
      <c r="F62" s="207" t="str">
        <f t="shared" si="0"/>
        <v/>
      </c>
      <c r="G62" s="206" t="str">
        <f t="shared" si="7"/>
        <v>DESCARTADO</v>
      </c>
      <c r="H62" s="244" t="str">
        <f t="shared" si="1"/>
        <v>DESCARTADO</v>
      </c>
      <c r="I62" s="223" t="str">
        <f t="shared" si="8"/>
        <v>DESCARTADO</v>
      </c>
      <c r="J62" s="83" t="str">
        <f t="shared" si="2"/>
        <v/>
      </c>
      <c r="K62" s="84" t="str">
        <f t="shared" si="3"/>
        <v/>
      </c>
      <c r="L62" s="84" t="str">
        <f t="shared" si="4"/>
        <v/>
      </c>
      <c r="M62" s="84" t="str">
        <f t="shared" si="9"/>
        <v/>
      </c>
      <c r="N62" s="84" t="str">
        <f t="shared" si="5"/>
        <v/>
      </c>
      <c r="O62" s="262" t="str">
        <f t="shared" si="6"/>
        <v/>
      </c>
      <c r="P62" s="263" t="str">
        <f t="shared" si="10"/>
        <v/>
      </c>
      <c r="Q62" s="241"/>
    </row>
    <row r="63" spans="2:17" ht="26.25" customHeight="1" outlineLevel="1" x14ac:dyDescent="0.2">
      <c r="B63" s="203">
        <v>18</v>
      </c>
      <c r="C63" s="204">
        <f>RESUMEN!C32</f>
        <v>18</v>
      </c>
      <c r="D63" s="205" t="str">
        <f>VLOOKUP(C63,RESUMEN!$C$15:$D$52,2,0)</f>
        <v>SERACIS LTDA</v>
      </c>
      <c r="E63" s="206">
        <f>IF(ISTEXT('VR-PROP'!$BF$18),"DESCARTADO",'VR-PROP'!$BF$18)</f>
        <v>32606400</v>
      </c>
      <c r="F63" s="207">
        <f t="shared" si="0"/>
        <v>3.2606400000000001E-2</v>
      </c>
      <c r="G63" s="206">
        <f t="shared" si="7"/>
        <v>32606400</v>
      </c>
      <c r="H63" s="244">
        <f t="shared" si="1"/>
        <v>-1.0563379320057242E-2</v>
      </c>
      <c r="I63" s="223">
        <f t="shared" si="8"/>
        <v>699.67806320231614</v>
      </c>
      <c r="J63" s="83"/>
      <c r="K63" s="84"/>
      <c r="L63" s="84"/>
      <c r="M63" s="84"/>
      <c r="N63" s="84"/>
      <c r="O63" s="262">
        <f t="shared" si="6"/>
        <v>1</v>
      </c>
      <c r="P63" s="263">
        <f t="shared" si="10"/>
        <v>14992</v>
      </c>
      <c r="Q63" s="241"/>
    </row>
    <row r="64" spans="2:17" ht="26.25" customHeight="1" outlineLevel="1" x14ac:dyDescent="0.2">
      <c r="B64" s="203">
        <v>19</v>
      </c>
      <c r="C64" s="204">
        <f>RESUMEN!C33</f>
        <v>19</v>
      </c>
      <c r="D64" s="205" t="str">
        <f>VLOOKUP(C64,RESUMEN!$C$15:$D$52,2,0)</f>
        <v>SEGURIDAD EL PENTAGONO COLOMBIANO LIMTADA SEPECOL LTDA</v>
      </c>
      <c r="E64" s="206">
        <f>IF(ISTEXT('VR-PROP'!$BI$18),"DESCARTADO",'VR-PROP'!$BI$18)</f>
        <v>32591408</v>
      </c>
      <c r="F64" s="207">
        <f t="shared" si="0"/>
        <v>3.2591408000000002E-2</v>
      </c>
      <c r="G64" s="206">
        <f t="shared" si="7"/>
        <v>32591408</v>
      </c>
      <c r="H64" s="244">
        <f t="shared" si="1"/>
        <v>-1.1018309450867014E-2</v>
      </c>
      <c r="I64" s="223">
        <f t="shared" si="8"/>
        <v>699.99991408778658</v>
      </c>
      <c r="J64" s="83"/>
      <c r="K64" s="84"/>
      <c r="L64" s="84"/>
      <c r="M64" s="84"/>
      <c r="N64" s="84"/>
      <c r="O64" s="262">
        <f t="shared" si="6"/>
        <v>6</v>
      </c>
      <c r="P64" s="263">
        <f t="shared" si="10"/>
        <v>0</v>
      </c>
      <c r="Q64" s="241"/>
    </row>
    <row r="65" spans="2:17" ht="26.25" customHeight="1" outlineLevel="1" x14ac:dyDescent="0.2">
      <c r="B65" s="203">
        <v>20</v>
      </c>
      <c r="C65" s="204">
        <f>RESUMEN!C34</f>
        <v>20</v>
      </c>
      <c r="D65" s="205" t="str">
        <f>VLOOKUP(C65,RESUMEN!$C$15:$D$52,2,0)</f>
        <v>COMPAÑÍA DE SERVICIOS DE VIGILANCIA PRIVADA PORTILLA Y PORTILLA - COSERVIPP LTDA</v>
      </c>
      <c r="E65" s="206">
        <f>IF(ISTEXT('VR-PROP'!$BL$18),"DESCARTADO",'VR-PROP'!$BL$18)</f>
        <v>32591408</v>
      </c>
      <c r="F65" s="207">
        <f t="shared" si="0"/>
        <v>3.2591408000000002E-2</v>
      </c>
      <c r="G65" s="206">
        <f t="shared" si="7"/>
        <v>32591408</v>
      </c>
      <c r="H65" s="244">
        <f t="shared" si="1"/>
        <v>-1.1018309450867014E-2</v>
      </c>
      <c r="I65" s="223">
        <f t="shared" si="8"/>
        <v>699.99991408778658</v>
      </c>
      <c r="J65" s="83"/>
      <c r="K65" s="84"/>
      <c r="L65" s="84"/>
      <c r="M65" s="84"/>
      <c r="N65" s="84"/>
      <c r="O65" s="262">
        <f t="shared" si="6"/>
        <v>6</v>
      </c>
      <c r="P65" s="263">
        <f t="shared" si="10"/>
        <v>3</v>
      </c>
      <c r="Q65" s="241"/>
    </row>
    <row r="66" spans="2:17" ht="26.25" customHeight="1" outlineLevel="1" x14ac:dyDescent="0.2">
      <c r="B66" s="203">
        <v>21</v>
      </c>
      <c r="C66" s="204">
        <f>RESUMEN!C35</f>
        <v>21</v>
      </c>
      <c r="D66" s="205" t="str">
        <f>VLOOKUP(C66,RESUMEN!$C$15:$D$52,2,0)</f>
        <v>HELAM SEGURIDAD LTDA</v>
      </c>
      <c r="E66" s="206">
        <f>IF(ISTEXT('VR-PROP'!$BO$18),"DESCARTADO",'VR-PROP'!$BO$18)</f>
        <v>32591411</v>
      </c>
      <c r="F66" s="207">
        <f t="shared" si="0"/>
        <v>3.2591411000000001E-2</v>
      </c>
      <c r="G66" s="206">
        <f t="shared" si="7"/>
        <v>32591411</v>
      </c>
      <c r="H66" s="244">
        <f t="shared" si="1"/>
        <v>-1.1018218416289027E-2</v>
      </c>
      <c r="I66" s="223">
        <f t="shared" si="8"/>
        <v>699.99984965364035</v>
      </c>
      <c r="J66" s="83"/>
      <c r="K66" s="84"/>
      <c r="L66" s="84"/>
      <c r="M66" s="84"/>
      <c r="N66" s="84"/>
      <c r="O66" s="262">
        <f t="shared" si="6"/>
        <v>1</v>
      </c>
      <c r="P66" s="263">
        <f t="shared" si="10"/>
        <v>7</v>
      </c>
      <c r="Q66" s="241"/>
    </row>
    <row r="67" spans="2:17" ht="26.25" customHeight="1" outlineLevel="1" x14ac:dyDescent="0.2">
      <c r="B67" s="203">
        <v>22</v>
      </c>
      <c r="C67" s="204">
        <f>RESUMEN!C36</f>
        <v>22</v>
      </c>
      <c r="D67" s="205" t="str">
        <f>VLOOKUP(C67,RESUMEN!$C$15:$D$52,2,0)</f>
        <v>INTERCOM SECURITY DE COLOMBIA LTDA</v>
      </c>
      <c r="E67" s="206">
        <f>IF(ISTEXT('VR-PROP'!$BR$18),"DESCARTADO",'VR-PROP'!$BR$18)</f>
        <v>32591404</v>
      </c>
      <c r="F67" s="207">
        <f t="shared" si="0"/>
        <v>3.2591403999999997E-2</v>
      </c>
      <c r="G67" s="206">
        <f t="shared" si="7"/>
        <v>32591404</v>
      </c>
      <c r="H67" s="244">
        <f t="shared" si="1"/>
        <v>-1.1018430830304182E-2</v>
      </c>
      <c r="I67" s="223">
        <f t="shared" si="8"/>
        <v>700</v>
      </c>
      <c r="J67" s="83"/>
      <c r="K67" s="84"/>
      <c r="L67" s="84"/>
      <c r="M67" s="84"/>
      <c r="N67" s="84"/>
      <c r="O67" s="262">
        <f t="shared" si="6"/>
        <v>4</v>
      </c>
      <c r="P67" s="263" t="e">
        <f t="shared" si="10"/>
        <v>#VALUE!</v>
      </c>
      <c r="Q67" s="241"/>
    </row>
    <row r="68" spans="2:17" ht="26.25" customHeight="1" outlineLevel="1" x14ac:dyDescent="0.2">
      <c r="B68" s="203">
        <v>23</v>
      </c>
      <c r="C68" s="204">
        <f>RESUMEN!C37</f>
        <v>23</v>
      </c>
      <c r="D68" s="205" t="str">
        <f>VLOOKUP(C68,RESUMEN!$C$15:$D$52,2,0)</f>
        <v>SEGURIDAD CENTRAL LIMITADA</v>
      </c>
      <c r="E68" s="206" t="str">
        <f>IF(ISTEXT('VR-PROP'!$BU$18),"DESCARTADO",'VR-PROP'!$BU$18)</f>
        <v>DESCARTADO</v>
      </c>
      <c r="F68" s="207" t="str">
        <f t="shared" si="0"/>
        <v/>
      </c>
      <c r="G68" s="207" t="str">
        <f t="shared" si="7"/>
        <v>DESCARTADO</v>
      </c>
      <c r="H68" s="244" t="str">
        <f t="shared" si="1"/>
        <v>DESCARTADO</v>
      </c>
      <c r="I68" s="223" t="str">
        <f t="shared" si="8"/>
        <v>DESCARTADO</v>
      </c>
      <c r="J68" s="83"/>
      <c r="K68" s="84"/>
      <c r="L68" s="84"/>
      <c r="M68" s="84"/>
      <c r="N68" s="84"/>
      <c r="O68" s="262" t="str">
        <f t="shared" si="6"/>
        <v/>
      </c>
      <c r="P68" s="263" t="str">
        <f t="shared" si="10"/>
        <v/>
      </c>
      <c r="Q68" s="241"/>
    </row>
    <row r="69" spans="2:17" ht="26.25" customHeight="1" outlineLevel="1" x14ac:dyDescent="0.2">
      <c r="B69" s="203">
        <v>24</v>
      </c>
      <c r="C69" s="204">
        <f>RESUMEN!C38</f>
        <v>24</v>
      </c>
      <c r="D69" s="205" t="str">
        <f>VLOOKUP(C69,RESUMEN!$C$15:$D$52,2,0)</f>
        <v>AUTENTICA SEGURIDAD LTDA</v>
      </c>
      <c r="E69" s="206">
        <f>IF(ISTEXT('VR-PROP'!$BX$18),"DESCARTADO",'VR-PROP'!$BX$18)</f>
        <v>32658071</v>
      </c>
      <c r="F69" s="207">
        <f t="shared" si="0"/>
        <v>3.2658070999999997E-2</v>
      </c>
      <c r="G69" s="206">
        <f t="shared" si="7"/>
        <v>32658071</v>
      </c>
      <c r="H69" s="244">
        <f t="shared" si="1"/>
        <v>-8.9954300945324084E-3</v>
      </c>
      <c r="I69" s="223">
        <f t="shared" si="8"/>
        <v>698.57104542396269</v>
      </c>
      <c r="J69" s="83"/>
      <c r="K69" s="84"/>
      <c r="L69" s="84"/>
      <c r="M69" s="84"/>
      <c r="N69" s="84"/>
      <c r="O69" s="262">
        <f t="shared" si="6"/>
        <v>1</v>
      </c>
      <c r="P69" s="263">
        <f t="shared" si="10"/>
        <v>66664</v>
      </c>
      <c r="Q69" s="241"/>
    </row>
    <row r="70" spans="2:17" ht="26.25" customHeight="1" outlineLevel="1" x14ac:dyDescent="0.2">
      <c r="B70" s="203">
        <v>25</v>
      </c>
      <c r="C70" s="204">
        <f>RESUMEN!C39</f>
        <v>25</v>
      </c>
      <c r="D70" s="205" t="str">
        <f>VLOOKUP(C70,RESUMEN!$C$15:$D$52,2,0)</f>
        <v>COMPAÑÍA DE SEGURIDAD NACIONAL COMSENAL LTDA</v>
      </c>
      <c r="E70" s="206">
        <f>IF(ISTEXT('VR-PROP'!$CA$18),"DESCARTADO",'VR-PROP'!$CA$18)</f>
        <v>32591407</v>
      </c>
      <c r="F70" s="207">
        <f t="shared" si="0"/>
        <v>3.2591407000000003E-2</v>
      </c>
      <c r="G70" s="206">
        <f t="shared" si="7"/>
        <v>32591407</v>
      </c>
      <c r="H70" s="244">
        <f t="shared" si="1"/>
        <v>-1.1018339795726306E-2</v>
      </c>
      <c r="I70" s="223">
        <f t="shared" si="8"/>
        <v>699.99993556583797</v>
      </c>
      <c r="J70" s="83"/>
      <c r="K70" s="84"/>
      <c r="L70" s="84"/>
      <c r="M70" s="84"/>
      <c r="N70" s="84"/>
      <c r="O70" s="262">
        <f t="shared" si="6"/>
        <v>6</v>
      </c>
      <c r="P70" s="263">
        <f t="shared" si="10"/>
        <v>1</v>
      </c>
      <c r="Q70" s="241"/>
    </row>
    <row r="71" spans="2:17" ht="26.25" customHeight="1" outlineLevel="1" x14ac:dyDescent="0.2">
      <c r="B71" s="203">
        <v>26</v>
      </c>
      <c r="C71" s="204">
        <f>RESUMEN!C40</f>
        <v>26</v>
      </c>
      <c r="D71" s="205" t="str">
        <f>VLOOKUP(C71,RESUMEN!$C$15:$D$52,2,0)</f>
        <v>CUSTODIAR LIMITADA</v>
      </c>
      <c r="E71" s="206">
        <f>IF(ISTEXT('VR-PROP'!$CD$18),"DESCARTADO",'VR-PROP'!$CD$18)</f>
        <v>32591408</v>
      </c>
      <c r="F71" s="207">
        <f t="shared" si="0"/>
        <v>3.2591408000000002E-2</v>
      </c>
      <c r="G71" s="206">
        <f t="shared" si="7"/>
        <v>32591408</v>
      </c>
      <c r="H71" s="244">
        <f t="shared" si="1"/>
        <v>-1.1018309450867014E-2</v>
      </c>
      <c r="I71" s="223">
        <f t="shared" si="8"/>
        <v>699.99991408778658</v>
      </c>
      <c r="J71" s="83"/>
      <c r="K71" s="84"/>
      <c r="L71" s="84"/>
      <c r="M71" s="84"/>
      <c r="N71" s="84"/>
      <c r="O71" s="262">
        <f t="shared" si="6"/>
        <v>6</v>
      </c>
      <c r="P71" s="263" t="e">
        <f t="shared" si="10"/>
        <v>#VALUE!</v>
      </c>
      <c r="Q71" s="241"/>
    </row>
    <row r="72" spans="2:17" ht="26.25" customHeight="1" outlineLevel="1" x14ac:dyDescent="0.2">
      <c r="B72" s="203">
        <v>27</v>
      </c>
      <c r="C72" s="204">
        <f>RESUMEN!C41</f>
        <v>27</v>
      </c>
      <c r="D72" s="205" t="str">
        <f>VLOOKUP(C72,RESUMEN!$C$15:$D$52,2,0)</f>
        <v>SEGURIDAD DIGITAL LTDA</v>
      </c>
      <c r="E72" s="206" t="str">
        <f>IF(ISTEXT('VR-PROP'!$CG$18),"DESCARTADO",'VR-PROP'!$CG$18)</f>
        <v>DESCARTADO</v>
      </c>
      <c r="F72" s="207" t="str">
        <f t="shared" si="0"/>
        <v/>
      </c>
      <c r="G72" s="207" t="str">
        <f t="shared" si="7"/>
        <v>DESCARTADO</v>
      </c>
      <c r="H72" s="244" t="str">
        <f t="shared" si="1"/>
        <v>DESCARTADO</v>
      </c>
      <c r="I72" s="223" t="str">
        <f t="shared" si="8"/>
        <v>DESCARTADO</v>
      </c>
      <c r="J72" s="83"/>
      <c r="K72" s="84"/>
      <c r="L72" s="84"/>
      <c r="M72" s="84"/>
      <c r="N72" s="84"/>
      <c r="O72" s="262" t="str">
        <f t="shared" si="6"/>
        <v/>
      </c>
      <c r="P72" s="263" t="str">
        <f t="shared" si="10"/>
        <v/>
      </c>
      <c r="Q72" s="241"/>
    </row>
    <row r="73" spans="2:17" ht="26.25" customHeight="1" outlineLevel="1" x14ac:dyDescent="0.2">
      <c r="B73" s="203">
        <v>28</v>
      </c>
      <c r="C73" s="204">
        <f>RESUMEN!C42</f>
        <v>28</v>
      </c>
      <c r="D73" s="205" t="str">
        <f>VLOOKUP(C73,RESUMEN!$C$15:$D$52,2,0)</f>
        <v>SEGURIDAD DE COLOMBIA LTDA</v>
      </c>
      <c r="E73" s="206">
        <f>IF(ISTEXT('VR-PROP'!$CJ$18),"DESCARTADO",'VR-PROP'!$CJ$18)</f>
        <v>32754379</v>
      </c>
      <c r="F73" s="207">
        <f t="shared" si="0"/>
        <v>3.2754379E-2</v>
      </c>
      <c r="G73" s="206">
        <f t="shared" si="7"/>
        <v>32754379</v>
      </c>
      <c r="H73" s="244">
        <f t="shared" si="1"/>
        <v>-6.0729773838853474E-3</v>
      </c>
      <c r="I73" s="223">
        <f t="shared" si="8"/>
        <v>696.51703059306976</v>
      </c>
      <c r="J73" s="83"/>
      <c r="K73" s="84"/>
      <c r="L73" s="84"/>
      <c r="M73" s="84"/>
      <c r="N73" s="84"/>
      <c r="O73" s="262">
        <f t="shared" si="6"/>
        <v>1</v>
      </c>
      <c r="P73" s="263">
        <f t="shared" si="10"/>
        <v>162972</v>
      </c>
      <c r="Q73" s="241"/>
    </row>
    <row r="74" spans="2:17" ht="26.25" customHeight="1" outlineLevel="1" x14ac:dyDescent="0.2">
      <c r="B74" s="203">
        <v>29</v>
      </c>
      <c r="C74" s="204">
        <f>RESUMEN!C43</f>
        <v>29</v>
      </c>
      <c r="D74" s="205" t="str">
        <f>VLOOKUP(C74,RESUMEN!$C$15:$D$52,2,0)</f>
        <v>JM SECURITY ADVISORS LTDA</v>
      </c>
      <c r="E74" s="206">
        <f>IF(ISTEXT('VR-PROP'!$CM$18),"DESCARTADO",'VR-PROP'!$CM$18)</f>
        <v>32591407</v>
      </c>
      <c r="F74" s="207">
        <f t="shared" si="0"/>
        <v>3.2591407000000003E-2</v>
      </c>
      <c r="G74" s="206">
        <f t="shared" si="7"/>
        <v>32591407</v>
      </c>
      <c r="H74" s="244">
        <f t="shared" si="1"/>
        <v>-1.1018339795726306E-2</v>
      </c>
      <c r="I74" s="223">
        <f t="shared" si="8"/>
        <v>699.99993556583797</v>
      </c>
      <c r="J74" s="83"/>
      <c r="K74" s="84"/>
      <c r="L74" s="84"/>
      <c r="M74" s="84"/>
      <c r="N74" s="84"/>
      <c r="O74" s="262">
        <f t="shared" si="6"/>
        <v>6</v>
      </c>
      <c r="P74" s="263">
        <f t="shared" si="10"/>
        <v>219393</v>
      </c>
      <c r="Q74" s="241"/>
    </row>
    <row r="75" spans="2:17" ht="26.25" customHeight="1" outlineLevel="1" x14ac:dyDescent="0.2">
      <c r="B75" s="203">
        <v>30</v>
      </c>
      <c r="C75" s="204">
        <f>RESUMEN!C44</f>
        <v>30</v>
      </c>
      <c r="D75" s="205" t="str">
        <f>VLOOKUP(C75,RESUMEN!$C$15:$D$52,2,0)</f>
        <v>LIRA SEGURIDAD LTDA</v>
      </c>
      <c r="E75" s="206">
        <f>IF(ISTEXT('VR-PROP'!$CP$18),"DESCARTADO",'VR-PROP'!$CP$18)</f>
        <v>32810800</v>
      </c>
      <c r="F75" s="207">
        <f t="shared" si="0"/>
        <v>3.2810800000000001E-2</v>
      </c>
      <c r="G75" s="206">
        <f t="shared" si="7"/>
        <v>32810800</v>
      </c>
      <c r="H75" s="244">
        <f t="shared" si="1"/>
        <v>-4.3608900766270997E-3</v>
      </c>
      <c r="I75" s="223">
        <f t="shared" si="8"/>
        <v>695.3193094956539</v>
      </c>
      <c r="J75" s="83"/>
      <c r="K75" s="84"/>
      <c r="L75" s="84"/>
      <c r="M75" s="84"/>
      <c r="N75" s="84"/>
      <c r="O75" s="262">
        <f t="shared" si="6"/>
        <v>1</v>
      </c>
      <c r="P75" s="263">
        <f t="shared" si="10"/>
        <v>219396</v>
      </c>
      <c r="Q75" s="241"/>
    </row>
    <row r="76" spans="2:17" ht="26.25" customHeight="1" outlineLevel="1" x14ac:dyDescent="0.2">
      <c r="B76" s="203">
        <v>31</v>
      </c>
      <c r="C76" s="204">
        <f>RESUMEN!C45</f>
        <v>31</v>
      </c>
      <c r="D76" s="205" t="str">
        <f>VLOOKUP(C76,RESUMEN!$C$15:$D$52,2,0)</f>
        <v>COMPAÑÍA DE VIGILANCIA Y SEGURIDAD PRIVADA ANUBIS LTDA</v>
      </c>
      <c r="E76" s="206">
        <f>IF(ISTEXT('VR-PROP'!$CS$18),"DESCARTADO",'VR-PROP'!$CS$18)</f>
        <v>32591404</v>
      </c>
      <c r="F76" s="207">
        <f t="shared" si="0"/>
        <v>3.2591403999999997E-2</v>
      </c>
      <c r="G76" s="206">
        <f t="shared" si="7"/>
        <v>32591404</v>
      </c>
      <c r="H76" s="244">
        <f t="shared" si="1"/>
        <v>-1.1018430830304182E-2</v>
      </c>
      <c r="I76" s="223">
        <f t="shared" si="8"/>
        <v>700</v>
      </c>
      <c r="J76" s="83"/>
      <c r="K76" s="84"/>
      <c r="L76" s="84"/>
      <c r="M76" s="84"/>
      <c r="N76" s="84"/>
      <c r="O76" s="262">
        <f t="shared" si="6"/>
        <v>4</v>
      </c>
      <c r="P76" s="263">
        <f t="shared" si="10"/>
        <v>27491</v>
      </c>
      <c r="Q76" s="241"/>
    </row>
    <row r="77" spans="2:17" ht="26.25" customHeight="1" outlineLevel="1" x14ac:dyDescent="0.2">
      <c r="B77" s="203">
        <v>32</v>
      </c>
      <c r="C77" s="204">
        <f>RESUMEN!C46</f>
        <v>32</v>
      </c>
      <c r="D77" s="205" t="str">
        <f>VLOOKUP(C77,RESUMEN!$C$15:$D$52,2,0)</f>
        <v>WEST ARMY SECURITY LTDA</v>
      </c>
      <c r="E77" s="206">
        <f>IF(ISTEXT('VR-PROP'!$CV$18),"DESCARTADO",'VR-PROP'!$CV$18)</f>
        <v>32618895</v>
      </c>
      <c r="F77" s="207">
        <f t="shared" si="0"/>
        <v>3.2618895000000002E-2</v>
      </c>
      <c r="G77" s="206">
        <f t="shared" si="7"/>
        <v>32618895</v>
      </c>
      <c r="H77" s="244">
        <f t="shared" si="1"/>
        <v>-1.0184220302950298E-2</v>
      </c>
      <c r="I77" s="223">
        <f t="shared" si="8"/>
        <v>699.41004439298138</v>
      </c>
      <c r="J77" s="83"/>
      <c r="K77" s="84"/>
      <c r="L77" s="84"/>
      <c r="M77" s="84"/>
      <c r="N77" s="84"/>
      <c r="O77" s="262">
        <f t="shared" si="6"/>
        <v>1</v>
      </c>
      <c r="P77" s="263">
        <f t="shared" si="10"/>
        <v>27488</v>
      </c>
      <c r="Q77" s="241"/>
    </row>
    <row r="78" spans="2:17" ht="38.25" outlineLevel="1" x14ac:dyDescent="0.2">
      <c r="B78" s="203">
        <v>33</v>
      </c>
      <c r="C78" s="204">
        <f>RESUMEN!C47</f>
        <v>33</v>
      </c>
      <c r="D78" s="205" t="str">
        <f>VLOOKUP(C78,RESUMEN!$C$15:$D$52,2,0)</f>
        <v>GCSI GRUPO COLOMBIANO DE SEGURIDAD INTEGRAL ADVISEGAR LTDA SEGURIDAD PRIVADA</v>
      </c>
      <c r="E78" s="206">
        <f>IF(ISTEXT('VR-PROP'!$CY$18),"DESCARTADO",'VR-PROP'!$CY$18)</f>
        <v>32591407</v>
      </c>
      <c r="F78" s="207">
        <f t="shared" si="0"/>
        <v>3.2591407000000003E-2</v>
      </c>
      <c r="G78" s="206">
        <f t="shared" si="7"/>
        <v>32591407</v>
      </c>
      <c r="H78" s="244">
        <f t="shared" si="1"/>
        <v>-1.1018339795726306E-2</v>
      </c>
      <c r="I78" s="223">
        <f t="shared" si="8"/>
        <v>699.99993556583797</v>
      </c>
      <c r="J78" s="83"/>
      <c r="K78" s="84"/>
      <c r="L78" s="84"/>
      <c r="M78" s="84"/>
      <c r="N78" s="84"/>
      <c r="O78" s="262">
        <f t="shared" si="6"/>
        <v>6</v>
      </c>
      <c r="P78" s="263">
        <f t="shared" si="10"/>
        <v>1</v>
      </c>
      <c r="Q78" s="241"/>
    </row>
    <row r="79" spans="2:17" ht="26.25" customHeight="1" outlineLevel="1" x14ac:dyDescent="0.2">
      <c r="B79" s="203">
        <v>34</v>
      </c>
      <c r="C79" s="204">
        <f>RESUMEN!C48</f>
        <v>34</v>
      </c>
      <c r="D79" s="205" t="str">
        <f>VLOOKUP(C79,RESUMEN!$C$15:$D$52,2,0)</f>
        <v>CUIDAR LIMITADA</v>
      </c>
      <c r="E79" s="206">
        <f>IF(ISTEXT('VR-PROP'!$DB$18),"DESCARTADO",'VR-PROP'!$DB$18)</f>
        <v>32591408</v>
      </c>
      <c r="F79" s="207">
        <f t="shared" si="0"/>
        <v>3.2591408000000002E-2</v>
      </c>
      <c r="G79" s="206">
        <f t="shared" si="7"/>
        <v>32591408</v>
      </c>
      <c r="H79" s="244">
        <f t="shared" si="1"/>
        <v>-1.1018309450867014E-2</v>
      </c>
      <c r="I79" s="223">
        <f t="shared" si="8"/>
        <v>699.99991408778658</v>
      </c>
      <c r="J79" s="83"/>
      <c r="K79" s="84"/>
      <c r="L79" s="84"/>
      <c r="M79" s="84"/>
      <c r="N79" s="84"/>
      <c r="O79" s="262">
        <f t="shared" si="6"/>
        <v>6</v>
      </c>
      <c r="P79" s="263">
        <f t="shared" si="10"/>
        <v>70010</v>
      </c>
      <c r="Q79" s="241"/>
    </row>
    <row r="80" spans="2:17" ht="26.25" customHeight="1" outlineLevel="1" x14ac:dyDescent="0.2">
      <c r="B80" s="203">
        <v>35</v>
      </c>
      <c r="C80" s="204">
        <f>RESUMEN!C49</f>
        <v>35</v>
      </c>
      <c r="D80" s="205" t="str">
        <f>VLOOKUP(C80,RESUMEN!$C$15:$D$52,2,0)</f>
        <v>UNION TEMPORAL A360</v>
      </c>
      <c r="E80" s="206">
        <f>IF(ISTEXT('VR-PROP'!$DE$18),"DESCARTADO",'VR-PROP'!$DE$18)</f>
        <v>32661418</v>
      </c>
      <c r="F80" s="207">
        <f t="shared" si="0"/>
        <v>3.2661417999999998E-2</v>
      </c>
      <c r="G80" s="206">
        <f t="shared" si="7"/>
        <v>32661418</v>
      </c>
      <c r="H80" s="244">
        <f t="shared" si="1"/>
        <v>-8.8938658504141843E-3</v>
      </c>
      <c r="I80" s="223">
        <f t="shared" si="8"/>
        <v>698.49945890285596</v>
      </c>
      <c r="J80" s="83"/>
      <c r="K80" s="84"/>
      <c r="L80" s="84"/>
      <c r="M80" s="84"/>
      <c r="N80" s="84"/>
      <c r="O80" s="262">
        <f t="shared" si="6"/>
        <v>1</v>
      </c>
      <c r="P80" s="263">
        <f t="shared" si="10"/>
        <v>290078</v>
      </c>
      <c r="Q80" s="241"/>
    </row>
    <row r="81" spans="2:17" ht="26.25" customHeight="1" outlineLevel="1" x14ac:dyDescent="0.2">
      <c r="B81" s="203">
        <v>36</v>
      </c>
      <c r="C81" s="204">
        <f>RESUMEN!C50</f>
        <v>36</v>
      </c>
      <c r="D81" s="205" t="str">
        <f>VLOOKUP(C81,RESUMEN!$C$15:$D$52,2,0)</f>
        <v>SEGURIDAD SELECTA LTDA</v>
      </c>
      <c r="E81" s="206">
        <f>IF(ISTEXT('VR-PROP'!$DH$18),"DESCARTADO",'VR-PROP'!$DH$18)</f>
        <v>32951496</v>
      </c>
      <c r="F81" s="207">
        <f t="shared" si="0"/>
        <v>3.2951495999999997E-2</v>
      </c>
      <c r="G81" s="206">
        <f t="shared" si="7"/>
        <v>32951496</v>
      </c>
      <c r="H81" s="244">
        <f t="shared" si="1"/>
        <v>-9.1489750826512228E-5</v>
      </c>
      <c r="I81" s="223">
        <f t="shared" si="8"/>
        <v>692.35044138815431</v>
      </c>
      <c r="J81" s="83"/>
      <c r="K81" s="84"/>
      <c r="L81" s="84"/>
      <c r="M81" s="84"/>
      <c r="N81" s="84"/>
      <c r="O81" s="262">
        <f t="shared" si="6"/>
        <v>1</v>
      </c>
      <c r="P81" s="263">
        <f t="shared" si="10"/>
        <v>3015</v>
      </c>
      <c r="Q81" s="241"/>
    </row>
    <row r="82" spans="2:17" ht="26.25" customHeight="1" outlineLevel="1" x14ac:dyDescent="0.2">
      <c r="B82" s="203">
        <v>37</v>
      </c>
      <c r="C82" s="204">
        <f>RESUMEN!C51</f>
        <v>37</v>
      </c>
      <c r="D82" s="205" t="str">
        <f>VLOOKUP(C82,RESUMEN!$C$15:$D$52,2,0)</f>
        <v>SEGURIDAD SCANNER LTDA</v>
      </c>
      <c r="E82" s="206">
        <f>IF(ISTEXT('VR-PROP'!$DK$18),"DESCARTADO",'VR-PROP'!$DK$18)</f>
        <v>32954511</v>
      </c>
      <c r="F82" s="207">
        <f t="shared" si="0"/>
        <v>3.2954510999999999E-2</v>
      </c>
      <c r="G82" s="206">
        <f t="shared" si="7"/>
        <v>32954511</v>
      </c>
      <c r="H82" s="244">
        <f t="shared" si="1"/>
        <v>0</v>
      </c>
      <c r="I82" s="223">
        <f t="shared" si="8"/>
        <v>692.28709841878708</v>
      </c>
      <c r="J82" s="83"/>
      <c r="K82" s="84"/>
      <c r="L82" s="84"/>
      <c r="M82" s="84"/>
      <c r="N82" s="84"/>
      <c r="O82" s="262">
        <f t="shared" si="6"/>
        <v>2</v>
      </c>
      <c r="P82" s="263" t="e">
        <f>IF(E82="DESCARTADO","",ABS(E82-#REF!))</f>
        <v>#REF!</v>
      </c>
      <c r="Q82" s="241"/>
    </row>
    <row r="83" spans="2:17" customFormat="1" ht="13.5" outlineLevel="1" thickBot="1" x14ac:dyDescent="0.25">
      <c r="O83" s="234"/>
      <c r="P83" s="216"/>
      <c r="Q83" s="214"/>
    </row>
    <row r="84" spans="2:17" customFormat="1" ht="15" x14ac:dyDescent="0.2">
      <c r="B84" s="338" t="s">
        <v>64</v>
      </c>
      <c r="C84" s="339"/>
      <c r="D84" s="339"/>
      <c r="E84" s="339"/>
      <c r="F84" s="339"/>
      <c r="G84" s="339"/>
      <c r="H84" s="339"/>
      <c r="I84" s="340"/>
      <c r="P84" s="216"/>
      <c r="Q84" s="214"/>
    </row>
    <row r="85" spans="2:17" customFormat="1" x14ac:dyDescent="0.2">
      <c r="B85" s="360" t="s">
        <v>65</v>
      </c>
      <c r="C85" s="361"/>
      <c r="D85" s="361"/>
      <c r="E85" s="361"/>
      <c r="F85" s="361"/>
      <c r="G85" s="361"/>
      <c r="H85" s="361"/>
      <c r="I85" s="111" t="s">
        <v>66</v>
      </c>
      <c r="P85" s="214"/>
      <c r="Q85" s="214"/>
    </row>
    <row r="86" spans="2:17" customFormat="1" x14ac:dyDescent="0.2">
      <c r="B86" s="345" t="s">
        <v>67</v>
      </c>
      <c r="C86" s="346"/>
      <c r="D86" s="346"/>
      <c r="E86" s="346"/>
      <c r="F86" s="346"/>
      <c r="G86" s="346"/>
      <c r="H86" s="346"/>
      <c r="I86" s="112">
        <f>COUNTIF(I46:I82,"DESCARTADO")</f>
        <v>5</v>
      </c>
      <c r="M86" s="39"/>
      <c r="N86" s="39"/>
      <c r="P86" s="214"/>
      <c r="Q86" s="214"/>
    </row>
    <row r="87" spans="2:17" ht="13.15" customHeight="1" x14ac:dyDescent="0.2">
      <c r="B87" s="345" t="s">
        <v>69</v>
      </c>
      <c r="C87" s="346"/>
      <c r="D87" s="346"/>
      <c r="E87" s="346"/>
      <c r="F87" s="346"/>
      <c r="G87" s="346"/>
      <c r="H87" s="346"/>
      <c r="I87" s="113">
        <f>COUNTIF(E46:E82,"&lt;="&amp;I40)</f>
        <v>0</v>
      </c>
      <c r="J87"/>
      <c r="K87"/>
      <c r="L87"/>
    </row>
    <row r="88" spans="2:17" ht="13.15" customHeight="1" x14ac:dyDescent="0.2">
      <c r="B88" s="345" t="s">
        <v>68</v>
      </c>
      <c r="C88" s="346"/>
      <c r="D88" s="346"/>
      <c r="E88" s="346"/>
      <c r="F88" s="346"/>
      <c r="G88" s="346"/>
      <c r="H88" s="346"/>
      <c r="I88" s="113">
        <f>COUNTIF(E46:E82,"&gt;"&amp;I40)</f>
        <v>0</v>
      </c>
      <c r="J88"/>
      <c r="K88"/>
      <c r="L88"/>
    </row>
    <row r="89" spans="2:17" ht="13.15" customHeight="1" x14ac:dyDescent="0.2">
      <c r="B89" s="345" t="s">
        <v>70</v>
      </c>
      <c r="C89" s="346"/>
      <c r="D89" s="346"/>
      <c r="E89" s="346"/>
      <c r="F89" s="346"/>
      <c r="G89" s="346"/>
      <c r="H89" s="346"/>
      <c r="I89" s="114">
        <f>DMIN(H44:I82,1,H93:I94)</f>
        <v>-1.1018430830304182E-2</v>
      </c>
      <c r="J89"/>
      <c r="K89"/>
      <c r="L89"/>
      <c r="M89"/>
      <c r="N89"/>
      <c r="O89"/>
    </row>
    <row r="90" spans="2:17" ht="13.9" customHeight="1" x14ac:dyDescent="0.2">
      <c r="B90" s="345" t="s">
        <v>72</v>
      </c>
      <c r="C90" s="346"/>
      <c r="D90" s="346"/>
      <c r="E90" s="346"/>
      <c r="F90" s="346"/>
      <c r="G90" s="346"/>
      <c r="H90" s="346"/>
      <c r="I90" s="118" t="e">
        <f>IF(I18=0,"",DGET(C44:I82,1,I93:I94))</f>
        <v>#NUM!</v>
      </c>
      <c r="J90"/>
      <c r="K90"/>
      <c r="L90"/>
      <c r="M90"/>
      <c r="N90"/>
      <c r="O90"/>
    </row>
    <row r="91" spans="2:17" s="38" customFormat="1" ht="13.5" thickBot="1" x14ac:dyDescent="0.25">
      <c r="B91" s="343" t="s">
        <v>71</v>
      </c>
      <c r="C91" s="344"/>
      <c r="D91" s="344"/>
      <c r="E91" s="344"/>
      <c r="F91" s="344"/>
      <c r="G91" s="344"/>
      <c r="H91" s="344"/>
      <c r="I91" s="115" t="e">
        <f>IF(I18=0,"",DGET(C44:N82,2,I93:I94))</f>
        <v>#NUM!</v>
      </c>
      <c r="J91" s="163"/>
      <c r="K91" s="163"/>
      <c r="L91" s="163"/>
      <c r="M91" s="163"/>
      <c r="N91" s="163"/>
      <c r="O91" s="163"/>
      <c r="P91" s="215"/>
      <c r="Q91" s="215"/>
    </row>
    <row r="92" spans="2:17" ht="13.5" customHeight="1" x14ac:dyDescent="0.2">
      <c r="B92"/>
      <c r="C92"/>
      <c r="D92"/>
      <c r="E92"/>
      <c r="F92"/>
      <c r="G92"/>
      <c r="I92" s="39"/>
      <c r="J92" s="39"/>
      <c r="K92"/>
      <c r="L92"/>
      <c r="M92"/>
      <c r="N92"/>
      <c r="O92"/>
    </row>
    <row r="93" spans="2:17" ht="22.5" hidden="1" x14ac:dyDescent="0.2">
      <c r="B93"/>
      <c r="C93"/>
      <c r="D93"/>
      <c r="E93"/>
      <c r="F93"/>
      <c r="G93"/>
      <c r="H93" s="116" t="s">
        <v>27</v>
      </c>
      <c r="I93" s="116" t="s">
        <v>4</v>
      </c>
      <c r="J93" s="39"/>
      <c r="K93"/>
      <c r="L93"/>
      <c r="M93"/>
      <c r="N93"/>
      <c r="O93"/>
    </row>
    <row r="94" spans="2:17" ht="13.5" hidden="1" customHeight="1" thickBot="1" x14ac:dyDescent="0.25">
      <c r="B94"/>
      <c r="C94"/>
      <c r="D94"/>
      <c r="E94"/>
      <c r="F94"/>
      <c r="G94"/>
      <c r="H94" s="43" t="s">
        <v>14</v>
      </c>
      <c r="I94" s="117">
        <f>MAX(I46:I82)</f>
        <v>700</v>
      </c>
      <c r="J94" s="39"/>
      <c r="K94"/>
      <c r="L94"/>
      <c r="M94"/>
      <c r="N94"/>
      <c r="O94"/>
    </row>
    <row r="95" spans="2:17" x14ac:dyDescent="0.2">
      <c r="B95"/>
      <c r="C95"/>
      <c r="D95"/>
      <c r="E95"/>
      <c r="F95"/>
      <c r="G95"/>
      <c r="I95" s="39"/>
      <c r="J95" s="39"/>
      <c r="K95"/>
      <c r="L95"/>
      <c r="M95"/>
      <c r="N95"/>
      <c r="O95"/>
    </row>
    <row r="96" spans="2:17" ht="13.5" customHeight="1" x14ac:dyDescent="0.2">
      <c r="B96"/>
      <c r="C96"/>
      <c r="D96"/>
      <c r="E96"/>
      <c r="F96"/>
      <c r="G96"/>
      <c r="I96" s="39"/>
      <c r="J96" s="39"/>
      <c r="K96"/>
      <c r="L96"/>
      <c r="M96"/>
      <c r="N96"/>
      <c r="O96"/>
    </row>
    <row r="97" spans="2:39" ht="13.5" customHeight="1" x14ac:dyDescent="0.2">
      <c r="B97"/>
      <c r="C97"/>
      <c r="D97"/>
      <c r="E97"/>
      <c r="F97"/>
      <c r="G97"/>
      <c r="I97" s="39"/>
      <c r="J97" s="39"/>
      <c r="K97"/>
      <c r="L97"/>
      <c r="M97"/>
      <c r="N97"/>
      <c r="O97"/>
    </row>
    <row r="98" spans="2:39" ht="13.5" customHeight="1" x14ac:dyDescent="0.2">
      <c r="B98"/>
      <c r="C98"/>
      <c r="D98"/>
      <c r="E98"/>
      <c r="F98"/>
      <c r="G98"/>
      <c r="I98" s="39"/>
      <c r="J98" s="39"/>
      <c r="K98"/>
      <c r="L98"/>
      <c r="M98"/>
      <c r="N98"/>
      <c r="O98"/>
    </row>
    <row r="99" spans="2:39" ht="16.5" customHeight="1" x14ac:dyDescent="0.2">
      <c r="B99"/>
      <c r="C99"/>
      <c r="D99"/>
      <c r="E99"/>
      <c r="F99"/>
      <c r="G99"/>
      <c r="I99" s="39"/>
      <c r="J99" s="39"/>
      <c r="K99"/>
      <c r="L99"/>
      <c r="M99"/>
      <c r="N99"/>
      <c r="O99"/>
    </row>
    <row r="100" spans="2:39" s="237" customFormat="1" x14ac:dyDescent="0.2">
      <c r="B100" s="236"/>
      <c r="C100" s="236"/>
      <c r="K100" s="238"/>
      <c r="L100" s="236"/>
      <c r="M100" s="236"/>
      <c r="N100" s="236"/>
      <c r="O100" s="236"/>
      <c r="P100" s="239"/>
      <c r="Q100" s="239"/>
      <c r="R100" s="240">
        <v>246500889410</v>
      </c>
      <c r="S100" s="240">
        <v>242851543086</v>
      </c>
      <c r="T100" s="240">
        <v>255815367666</v>
      </c>
      <c r="U100" s="240">
        <v>229461585210</v>
      </c>
      <c r="V100" s="240">
        <v>251294023456</v>
      </c>
      <c r="W100" s="240">
        <v>256143018798</v>
      </c>
      <c r="X100" s="240">
        <v>254559622968</v>
      </c>
      <c r="Y100" s="240">
        <v>259137028741</v>
      </c>
      <c r="Z100" s="240">
        <v>248849829575</v>
      </c>
      <c r="AA100" s="240">
        <v>246405951109</v>
      </c>
      <c r="AB100" s="240">
        <v>241537467742</v>
      </c>
      <c r="AC100" s="240">
        <v>248820873611</v>
      </c>
      <c r="AD100" s="240">
        <v>236679277932</v>
      </c>
      <c r="AE100" s="240">
        <v>231590047547</v>
      </c>
      <c r="AF100" s="240">
        <v>227321068593</v>
      </c>
      <c r="AG100" s="240">
        <v>249585224523</v>
      </c>
      <c r="AH100" s="240">
        <v>259120341261</v>
      </c>
      <c r="AI100" s="240">
        <v>250076291918</v>
      </c>
      <c r="AJ100" s="240">
        <v>260048521564</v>
      </c>
      <c r="AK100" s="240">
        <v>239541109341</v>
      </c>
      <c r="AL100" s="240">
        <v>250814634168</v>
      </c>
      <c r="AM100" s="240">
        <v>242211742393</v>
      </c>
    </row>
    <row r="101" spans="2:39" x14ac:dyDescent="0.2">
      <c r="L101"/>
      <c r="M101"/>
      <c r="N101"/>
      <c r="O101"/>
    </row>
    <row r="102" spans="2:39" x14ac:dyDescent="0.2">
      <c r="H102" s="42"/>
      <c r="L102"/>
      <c r="M102"/>
      <c r="N102"/>
      <c r="O102"/>
    </row>
    <row r="103" spans="2:39" x14ac:dyDescent="0.2">
      <c r="L103"/>
      <c r="M103"/>
      <c r="N103"/>
      <c r="O103"/>
    </row>
    <row r="104" spans="2:39" x14ac:dyDescent="0.2">
      <c r="L104"/>
      <c r="M104"/>
      <c r="N104"/>
      <c r="O104"/>
    </row>
    <row r="105" spans="2:39" x14ac:dyDescent="0.2">
      <c r="L105"/>
      <c r="M105"/>
      <c r="N105"/>
      <c r="O105"/>
    </row>
    <row r="106" spans="2:39" x14ac:dyDescent="0.2">
      <c r="L106"/>
      <c r="M106"/>
      <c r="N106"/>
      <c r="O106"/>
    </row>
    <row r="107" spans="2:39" x14ac:dyDescent="0.2">
      <c r="L107"/>
      <c r="M107"/>
      <c r="N107"/>
      <c r="O107"/>
    </row>
    <row r="108" spans="2:39" x14ac:dyDescent="0.2">
      <c r="L108"/>
      <c r="M108"/>
      <c r="N108"/>
      <c r="O108"/>
    </row>
    <row r="109" spans="2:39" x14ac:dyDescent="0.2">
      <c r="L109"/>
      <c r="M109"/>
      <c r="N109"/>
      <c r="O109"/>
    </row>
    <row r="110" spans="2:39" x14ac:dyDescent="0.2">
      <c r="L110"/>
      <c r="M110"/>
      <c r="N110"/>
      <c r="O110"/>
    </row>
    <row r="111" spans="2:39" x14ac:dyDescent="0.2">
      <c r="L111"/>
      <c r="M111"/>
      <c r="N111"/>
      <c r="O111"/>
    </row>
    <row r="112" spans="2:39" x14ac:dyDescent="0.2">
      <c r="L112"/>
      <c r="M112"/>
      <c r="N112"/>
      <c r="O112"/>
    </row>
  </sheetData>
  <sheetProtection selectLockedCells="1"/>
  <dataConsolidate/>
  <mergeCells count="40">
    <mergeCell ref="B86:H86"/>
    <mergeCell ref="B87:H87"/>
    <mergeCell ref="B88:H88"/>
    <mergeCell ref="B44:B45"/>
    <mergeCell ref="C44:C45"/>
    <mergeCell ref="D44:D45"/>
    <mergeCell ref="B91:H91"/>
    <mergeCell ref="B90:H90"/>
    <mergeCell ref="B12:I12"/>
    <mergeCell ref="B28:H28"/>
    <mergeCell ref="B30:H30"/>
    <mergeCell ref="B17:I17"/>
    <mergeCell ref="B37:H37"/>
    <mergeCell ref="B40:D40"/>
    <mergeCell ref="B32:H32"/>
    <mergeCell ref="B33:H33"/>
    <mergeCell ref="B34:H34"/>
    <mergeCell ref="B35:H35"/>
    <mergeCell ref="E15:I15"/>
    <mergeCell ref="B84:I84"/>
    <mergeCell ref="B89:H89"/>
    <mergeCell ref="B85:H85"/>
    <mergeCell ref="N44:N45"/>
    <mergeCell ref="B27:I27"/>
    <mergeCell ref="B29:I29"/>
    <mergeCell ref="B31:I31"/>
    <mergeCell ref="E40:H40"/>
    <mergeCell ref="M44:M45"/>
    <mergeCell ref="L44:L45"/>
    <mergeCell ref="B43:I43"/>
    <mergeCell ref="J44:J45"/>
    <mergeCell ref="K44:K45"/>
    <mergeCell ref="B7:I7"/>
    <mergeCell ref="B9:I9"/>
    <mergeCell ref="B10:I10"/>
    <mergeCell ref="B1:I1"/>
    <mergeCell ref="B2:I2"/>
    <mergeCell ref="B3:I3"/>
    <mergeCell ref="B4:I4"/>
    <mergeCell ref="B5:I5"/>
  </mergeCells>
  <conditionalFormatting sqref="B46:I82">
    <cfRule type="expression" dxfId="8" priority="14" stopIfTrue="1">
      <formula>MOD(ROW(),2)</formula>
    </cfRule>
  </conditionalFormatting>
  <conditionalFormatting sqref="E46:G82">
    <cfRule type="cellIs" dxfId="7" priority="13" stopIfTrue="1" operator="equal">
      <formula>"NO ADMISIBLE"</formula>
    </cfRule>
  </conditionalFormatting>
  <conditionalFormatting sqref="E46:G82">
    <cfRule type="cellIs" dxfId="6" priority="12" stopIfTrue="1" operator="equal">
      <formula>"DESCARTADO"</formula>
    </cfRule>
  </conditionalFormatting>
  <dataValidations disablePrompts="1" count="1">
    <dataValidation type="list" allowBlank="1" showInputMessage="1" showErrorMessage="1" sqref="P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
&amp;A&amp;C&amp;P de &amp;N&amp;R&amp;9INSTITUTO NACIONAL DE VIAS
&amp;D</oddFooter>
  </headerFooter>
  <rowBreaks count="1" manualBreakCount="1">
    <brk id="40" min="1" max="6" man="1"/>
  </rowBreaks>
  <ignoredErrors>
    <ignoredError sqref="I19:I20 I22:I2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Y56"/>
  <sheetViews>
    <sheetView showGridLines="0" topLeftCell="A38" zoomScaleNormal="100" zoomScaleSheetLayoutView="100" workbookViewId="0">
      <selection activeCell="D55" sqref="D55"/>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bestFit="1" customWidth="1"/>
    <col min="7" max="7" width="16" style="2" customWidth="1"/>
    <col min="8" max="8" width="15.28515625" style="2" bestFit="1" customWidth="1"/>
    <col min="9" max="9" width="12.28515625" style="2" customWidth="1"/>
    <col min="10" max="11" width="11.85546875" style="2" customWidth="1"/>
    <col min="12" max="12" width="12.7109375" style="2" hidden="1" customWidth="1"/>
    <col min="13" max="13" width="12.85546875" style="2" customWidth="1"/>
    <col min="14" max="14" width="11.42578125" style="2" hidden="1" customWidth="1"/>
    <col min="15" max="15" width="4.7109375" style="2" hidden="1" customWidth="1"/>
    <col min="16" max="16" width="4.7109375" style="2" customWidth="1"/>
    <col min="17" max="17" width="16" style="3" hidden="1" customWidth="1"/>
    <col min="18" max="18" width="9.28515625" style="3" bestFit="1" customWidth="1"/>
    <col min="19" max="19" width="71.5703125" style="2" customWidth="1"/>
    <col min="20" max="20" width="20" style="2" customWidth="1"/>
    <col min="21" max="21" width="20.140625" style="2" bestFit="1" customWidth="1"/>
    <col min="22" max="22" width="5.28515625" style="2" customWidth="1"/>
    <col min="23" max="23" width="11.42578125" style="261" customWidth="1"/>
    <col min="24" max="25" width="11.42578125" style="261"/>
    <col min="26" max="16384" width="11.42578125" style="2"/>
  </cols>
  <sheetData>
    <row r="1" spans="2:21" ht="18" x14ac:dyDescent="0.2">
      <c r="B1" s="276" t="str">
        <f>RESUMEN!B1</f>
        <v>AGENCIA NACIONAL DE INFRAESTUCTURA</v>
      </c>
      <c r="C1" s="276"/>
      <c r="D1" s="276"/>
      <c r="E1" s="276"/>
      <c r="F1" s="276"/>
      <c r="G1" s="276"/>
      <c r="H1" s="276"/>
      <c r="I1" s="276"/>
      <c r="J1" s="276"/>
      <c r="K1" s="276"/>
      <c r="L1" s="276"/>
      <c r="M1" s="276"/>
      <c r="N1" s="1"/>
      <c r="R1" s="276" t="str">
        <f t="shared" ref="R1:R8" si="0">B1</f>
        <v>AGENCIA NACIONAL DE INFRAESTUCTURA</v>
      </c>
      <c r="S1" s="276"/>
      <c r="T1" s="276"/>
      <c r="U1" s="276"/>
    </row>
    <row r="2" spans="2:21" ht="15.75" x14ac:dyDescent="0.2">
      <c r="B2" s="277"/>
      <c r="C2" s="277"/>
      <c r="D2" s="277"/>
      <c r="E2" s="277"/>
      <c r="F2" s="277"/>
      <c r="G2" s="277"/>
      <c r="H2" s="277"/>
      <c r="I2" s="277"/>
      <c r="J2" s="277"/>
      <c r="K2" s="277"/>
      <c r="L2" s="277"/>
      <c r="M2" s="277"/>
      <c r="N2" s="4"/>
      <c r="R2" s="277"/>
      <c r="S2" s="277"/>
      <c r="T2" s="277"/>
      <c r="U2" s="277"/>
    </row>
    <row r="3" spans="2:21" x14ac:dyDescent="0.2">
      <c r="B3" s="277" t="str">
        <f>RESUMEN!B3</f>
        <v>GIT DE CONTRATACIÓN</v>
      </c>
      <c r="C3" s="277"/>
      <c r="D3" s="277"/>
      <c r="E3" s="277"/>
      <c r="F3" s="277"/>
      <c r="G3" s="277"/>
      <c r="H3" s="277"/>
      <c r="I3" s="277"/>
      <c r="J3" s="277"/>
      <c r="K3" s="277"/>
      <c r="L3" s="277"/>
      <c r="M3" s="277"/>
      <c r="N3" s="5"/>
      <c r="R3" s="277" t="str">
        <f t="shared" si="0"/>
        <v>GIT DE CONTRATACIÓN</v>
      </c>
      <c r="S3" s="277"/>
      <c r="T3" s="277"/>
      <c r="U3" s="277"/>
    </row>
    <row r="4" spans="2:21" x14ac:dyDescent="0.2">
      <c r="B4" s="277"/>
      <c r="C4" s="277"/>
      <c r="D4" s="277"/>
      <c r="E4" s="277"/>
      <c r="F4" s="277"/>
      <c r="G4" s="277"/>
      <c r="H4" s="277"/>
      <c r="I4" s="277"/>
      <c r="J4" s="277"/>
      <c r="K4" s="277"/>
      <c r="L4" s="277"/>
      <c r="M4" s="277"/>
      <c r="N4" s="5"/>
      <c r="R4" s="277"/>
      <c r="S4" s="277"/>
      <c r="T4" s="277"/>
      <c r="U4" s="277"/>
    </row>
    <row r="5" spans="2:21" x14ac:dyDescent="0.2">
      <c r="B5" s="277" t="str">
        <f>RESUMEN!B5</f>
        <v>SELECCIÓN ABREVIADA DE MENOR CUANTÍA No. VJ-VAF-SA-009-2016</v>
      </c>
      <c r="C5" s="277"/>
      <c r="D5" s="277"/>
      <c r="E5" s="277"/>
      <c r="F5" s="277"/>
      <c r="G5" s="277"/>
      <c r="H5" s="277"/>
      <c r="I5" s="277"/>
      <c r="J5" s="277"/>
      <c r="K5" s="277"/>
      <c r="L5" s="277"/>
      <c r="M5" s="277"/>
      <c r="N5" s="5"/>
      <c r="R5" s="277" t="str">
        <f t="shared" si="0"/>
        <v>SELECCIÓN ABREVIADA DE MENOR CUANTÍA No. VJ-VAF-SA-009-2016</v>
      </c>
      <c r="S5" s="277"/>
      <c r="T5" s="277"/>
      <c r="U5" s="277"/>
    </row>
    <row r="6" spans="2:21" x14ac:dyDescent="0.2">
      <c r="B6" s="45"/>
      <c r="C6" s="45"/>
      <c r="D6" s="5"/>
      <c r="E6" s="5"/>
      <c r="F6" s="5"/>
      <c r="G6" s="5"/>
      <c r="H6" s="5"/>
      <c r="I6" s="5"/>
      <c r="J6" s="5"/>
      <c r="K6" s="5"/>
      <c r="L6" s="5"/>
      <c r="M6" s="5"/>
      <c r="N6" s="5"/>
      <c r="R6" s="45"/>
      <c r="S6" s="5"/>
      <c r="T6" s="5"/>
      <c r="U6" s="5"/>
    </row>
    <row r="7" spans="2:21" ht="28.5" customHeight="1" x14ac:dyDescent="0.2">
      <c r="B7" s="277" t="str">
        <f>RESUMEN!B7</f>
        <v>OBJETO: PRESTAR EL SERVICIO DE VIGILANCIA Y SEGURIDAD PRIVADA DE LA AGENCIA NACIONAL DE INFRAESTRUCTURA, UBICADAS EN LA CALLE 24A NO. 59 - 42 TORRE 4 PISOS 2, 6, 7 Y TORRE 3 PISO 8 DE LA CIUDAD DE BOGOTÁ</v>
      </c>
      <c r="C7" s="277"/>
      <c r="D7" s="277"/>
      <c r="E7" s="277"/>
      <c r="F7" s="277"/>
      <c r="G7" s="277"/>
      <c r="H7" s="277"/>
      <c r="I7" s="277"/>
      <c r="J7" s="277"/>
      <c r="K7" s="277"/>
      <c r="L7" s="277"/>
      <c r="M7" s="277"/>
      <c r="N7" s="6"/>
      <c r="R7" s="277" t="str">
        <f t="shared" si="0"/>
        <v>OBJETO: PRESTAR EL SERVICIO DE VIGILANCIA Y SEGURIDAD PRIVADA DE LA AGENCIA NACIONAL DE INFRAESTRUCTURA, UBICADAS EN LA CALLE 24A NO. 59 - 42 TORRE 4 PISOS 2, 6, 7 Y TORRE 3 PISO 8 DE LA CIUDAD DE BOGOTÁ</v>
      </c>
      <c r="S7" s="277"/>
      <c r="T7" s="277"/>
      <c r="U7" s="277"/>
    </row>
    <row r="8" spans="2:21" x14ac:dyDescent="0.2">
      <c r="B8" s="45" t="str">
        <f>IF(RESUMEN!B8="","",RESUMEN!B8)</f>
        <v/>
      </c>
      <c r="C8" s="45"/>
      <c r="D8" s="6"/>
      <c r="E8" s="6"/>
      <c r="F8" s="6"/>
      <c r="G8" s="6"/>
      <c r="H8" s="6"/>
      <c r="I8" s="6"/>
      <c r="J8" s="6"/>
      <c r="K8" s="6"/>
      <c r="L8" s="6"/>
      <c r="M8" s="6"/>
      <c r="N8" s="6"/>
      <c r="R8" s="45" t="str">
        <f t="shared" si="0"/>
        <v/>
      </c>
      <c r="S8" s="5"/>
      <c r="T8" s="5"/>
      <c r="U8" s="5"/>
    </row>
    <row r="9" spans="2:21" x14ac:dyDescent="0.2">
      <c r="B9" s="296" t="s">
        <v>29</v>
      </c>
      <c r="C9" s="296"/>
      <c r="D9" s="296"/>
      <c r="E9" s="296"/>
      <c r="F9" s="296"/>
      <c r="G9" s="296"/>
      <c r="H9" s="296"/>
      <c r="I9" s="296"/>
      <c r="J9" s="296"/>
      <c r="K9" s="296"/>
      <c r="L9" s="296"/>
      <c r="M9" s="296"/>
      <c r="N9" s="7"/>
      <c r="R9" s="45"/>
      <c r="S9" s="5"/>
      <c r="T9" s="5"/>
      <c r="U9" s="5"/>
    </row>
    <row r="10" spans="2:21" x14ac:dyDescent="0.2">
      <c r="B10" s="277" t="s">
        <v>31</v>
      </c>
      <c r="C10" s="277"/>
      <c r="D10" s="277"/>
      <c r="E10" s="277"/>
      <c r="F10" s="277"/>
      <c r="G10" s="277"/>
      <c r="H10" s="277"/>
      <c r="I10" s="277"/>
      <c r="J10" s="277"/>
      <c r="K10" s="277"/>
      <c r="L10" s="277"/>
      <c r="M10" s="277"/>
      <c r="N10" s="7"/>
      <c r="R10" s="277" t="s">
        <v>35</v>
      </c>
      <c r="S10" s="277"/>
      <c r="T10" s="277"/>
      <c r="U10" s="277"/>
    </row>
    <row r="11" spans="2:21" ht="13.5" thickBot="1" x14ac:dyDescent="0.25">
      <c r="B11" s="124"/>
      <c r="C11" s="124"/>
      <c r="D11" s="124"/>
      <c r="E11" s="124"/>
      <c r="F11" s="124"/>
      <c r="G11" s="124"/>
      <c r="H11" s="124"/>
      <c r="I11" s="125"/>
      <c r="J11" s="124"/>
      <c r="K11" s="124"/>
      <c r="L11" s="124"/>
      <c r="M11" s="124" t="s">
        <v>3</v>
      </c>
      <c r="N11" s="124"/>
      <c r="Q11" s="376" t="s">
        <v>9</v>
      </c>
    </row>
    <row r="12" spans="2:21" ht="24.75" customHeight="1" thickTop="1" x14ac:dyDescent="0.2">
      <c r="B12" s="371" t="s">
        <v>37</v>
      </c>
      <c r="C12" s="368" t="s">
        <v>30</v>
      </c>
      <c r="D12" s="368" t="s">
        <v>5</v>
      </c>
      <c r="E12" s="368" t="s">
        <v>110</v>
      </c>
      <c r="F12" s="368" t="s">
        <v>109</v>
      </c>
      <c r="G12" s="385" t="s">
        <v>111</v>
      </c>
      <c r="H12" s="385" t="s">
        <v>27</v>
      </c>
      <c r="I12" s="390" t="s">
        <v>17</v>
      </c>
      <c r="J12" s="390"/>
      <c r="K12" s="390"/>
      <c r="L12" s="390"/>
      <c r="M12" s="391" t="s">
        <v>33</v>
      </c>
      <c r="N12" s="387" t="s">
        <v>34</v>
      </c>
      <c r="Q12" s="376"/>
      <c r="R12" s="377" t="s">
        <v>36</v>
      </c>
      <c r="S12" s="378"/>
      <c r="T12" s="379"/>
      <c r="U12" s="380"/>
    </row>
    <row r="13" spans="2:21" ht="52.5" customHeight="1" x14ac:dyDescent="0.2">
      <c r="B13" s="372"/>
      <c r="C13" s="369"/>
      <c r="D13" s="369"/>
      <c r="E13" s="369"/>
      <c r="F13" s="369"/>
      <c r="G13" s="386"/>
      <c r="H13" s="386"/>
      <c r="I13" s="167" t="s">
        <v>32</v>
      </c>
      <c r="J13" s="168" t="s">
        <v>73</v>
      </c>
      <c r="K13" s="167" t="s">
        <v>83</v>
      </c>
      <c r="L13" s="167"/>
      <c r="M13" s="392"/>
      <c r="N13" s="388"/>
      <c r="Q13" s="376"/>
      <c r="R13" s="381" t="e">
        <f ca="1">VLOOKUP(S16,D16:F52,3,FALSE)</f>
        <v>#N/A</v>
      </c>
      <c r="S13" s="382"/>
      <c r="T13" s="383"/>
      <c r="U13" s="384"/>
    </row>
    <row r="14" spans="2:21" ht="15" x14ac:dyDescent="0.25">
      <c r="B14" s="373"/>
      <c r="C14" s="370"/>
      <c r="D14" s="370"/>
      <c r="E14" s="235" t="s">
        <v>26</v>
      </c>
      <c r="F14" s="169" t="s">
        <v>26</v>
      </c>
      <c r="G14" s="145" t="s">
        <v>13</v>
      </c>
      <c r="H14" s="145" t="s">
        <v>13</v>
      </c>
      <c r="I14" s="170">
        <f>FORMULA!I25:I25</f>
        <v>700</v>
      </c>
      <c r="J14" s="170">
        <v>100</v>
      </c>
      <c r="K14" s="170">
        <v>100</v>
      </c>
      <c r="L14" s="171"/>
      <c r="M14" s="172">
        <f>SUM(I14:L14)</f>
        <v>900</v>
      </c>
      <c r="N14" s="389"/>
      <c r="Q14" s="376"/>
      <c r="R14" s="158" t="s">
        <v>82</v>
      </c>
      <c r="S14" s="159" t="s">
        <v>5</v>
      </c>
      <c r="T14" s="209" t="s">
        <v>81</v>
      </c>
      <c r="U14" s="160" t="s">
        <v>4</v>
      </c>
    </row>
    <row r="15" spans="2:21" ht="5.25" customHeight="1" x14ac:dyDescent="0.2">
      <c r="B15" s="137"/>
      <c r="C15" s="132"/>
      <c r="D15" s="133"/>
      <c r="E15" s="133"/>
      <c r="F15" s="134"/>
      <c r="G15" s="135"/>
      <c r="H15" s="135"/>
      <c r="I15" s="136"/>
      <c r="J15" s="136"/>
      <c r="K15" s="136"/>
      <c r="L15" s="136"/>
      <c r="M15" s="138"/>
      <c r="N15" s="138"/>
      <c r="R15" s="153"/>
      <c r="S15" s="152"/>
      <c r="T15" s="152"/>
      <c r="U15" s="154"/>
    </row>
    <row r="16" spans="2:21" ht="18" x14ac:dyDescent="0.2">
      <c r="B16" s="146">
        <v>1</v>
      </c>
      <c r="C16" s="147">
        <f>RESUMEN!C15</f>
        <v>1</v>
      </c>
      <c r="D16" s="110" t="str">
        <f>VLOOKUP(C16,RESUMEN!$C$15:$D$52,2,0)</f>
        <v>VIGIAS DE COLOMBIA SRL LTDA</v>
      </c>
      <c r="E16" s="148">
        <f>VLOOKUP(C16,FORMULA!$C$46:$I$82,3,0)</f>
        <v>32591406</v>
      </c>
      <c r="F16" s="148">
        <f>VLOOKUP(C16,FORMULA!$C$46:$I$82,4,0)</f>
        <v>3.2591406000000003E-2</v>
      </c>
      <c r="G16" s="245">
        <f>VLOOKUP(C16,FORMULA!$C$46:$I$82,5,0)</f>
        <v>32591406</v>
      </c>
      <c r="H16" s="245">
        <f>VLOOKUP(C16,FORMULA!$C$46:$I$82,7,0)</f>
        <v>699.99995704389062</v>
      </c>
      <c r="I16" s="224" t="e">
        <f>VLOOKUP(C16,FORMULA!$C$46:$I$82,8,0)</f>
        <v>#REF!</v>
      </c>
      <c r="J16" s="149">
        <f>VLOOKUP($C16,RESUMEN!$C$15:$I$52,4,FALSE)</f>
        <v>0</v>
      </c>
      <c r="K16" s="149">
        <f>VLOOKUP($C16,RESUMEN!$C$15:$I$52,5,FALSE)</f>
        <v>0</v>
      </c>
      <c r="L16" s="149"/>
      <c r="M16" s="225" t="e">
        <f>IF(F16="DESCARTADO",-N16,SUM(I16:K16,-N16))</f>
        <v>#REF!</v>
      </c>
      <c r="N16" s="150">
        <v>1.0000000000000001E-9</v>
      </c>
      <c r="O16" s="210">
        <f>C16</f>
        <v>1</v>
      </c>
      <c r="Q16" s="71" t="e">
        <f t="shared" ref="Q16:Q52" si="1">RANK(M16,$M$16:$M$52,0)</f>
        <v>#REF!</v>
      </c>
      <c r="R16" s="161">
        <v>1</v>
      </c>
      <c r="S16" s="162" t="e">
        <f t="shared" ref="S16:S52" ca="1" si="2">IF(R16="","",OFFSET($D$15,MATCH(B16,$Q$16:$Q$52,0),0))</f>
        <v>#N/A</v>
      </c>
      <c r="T16" s="211" t="e">
        <f t="shared" ref="T16:T52" ca="1" si="3">IF(S16="","",VLOOKUP(S16,$D$16:$O$52,12,FALSE))</f>
        <v>#N/A</v>
      </c>
      <c r="U16" s="222" t="e">
        <f t="shared" ref="U16:U52" ca="1" si="4">IF(S16="","",VLOOKUP(S16,$D$16:$M$52,10,FALSE))</f>
        <v>#N/A</v>
      </c>
    </row>
    <row r="17" spans="2:21" ht="18" x14ac:dyDescent="0.2">
      <c r="B17" s="146">
        <v>2</v>
      </c>
      <c r="C17" s="147">
        <f>RESUMEN!C16</f>
        <v>2</v>
      </c>
      <c r="D17" s="110" t="str">
        <f>VLOOKUP(C17,RESUMEN!$C$15:$D$52,2,0)</f>
        <v>MEGASEGURIDAD LA PROVEEDORA LTDA</v>
      </c>
      <c r="E17" s="148">
        <f>VLOOKUP(C17,FORMULA!$C$46:$I$82,3,0)</f>
        <v>32591408</v>
      </c>
      <c r="F17" s="148">
        <f>VLOOKUP(C17,FORMULA!$C$46:$I$82,4,0)</f>
        <v>3.2591408000000002E-2</v>
      </c>
      <c r="G17" s="245">
        <f>VLOOKUP(C17,FORMULA!$C$46:$I$82,5,0)</f>
        <v>32591408</v>
      </c>
      <c r="H17" s="245">
        <f>VLOOKUP(C17,FORMULA!$C$46:$I$82,7,0)</f>
        <v>699.99991408778658</v>
      </c>
      <c r="I17" s="224" t="e">
        <f>VLOOKUP(C17,FORMULA!$C$46:$I$82,8,0)</f>
        <v>#REF!</v>
      </c>
      <c r="J17" s="149">
        <f>VLOOKUP($C17,RESUMEN!$C$15:$I$52,4,FALSE)</f>
        <v>0</v>
      </c>
      <c r="K17" s="149">
        <f>VLOOKUP($C17,RESUMEN!$C$15:$I$52,5,FALSE)</f>
        <v>0</v>
      </c>
      <c r="L17" s="149"/>
      <c r="M17" s="225" t="e">
        <f t="shared" ref="M17:M52" si="5">IF(F17="DESCARTADO",-N17,SUM(I17:K17,-N17))</f>
        <v>#REF!</v>
      </c>
      <c r="N17" s="150">
        <v>1.0999999999999999E-9</v>
      </c>
      <c r="O17" s="210">
        <f t="shared" ref="O17:O53" si="6">C17</f>
        <v>2</v>
      </c>
      <c r="Q17" s="71" t="e">
        <f t="shared" si="1"/>
        <v>#REF!</v>
      </c>
      <c r="R17" s="161">
        <f>R16+1</f>
        <v>2</v>
      </c>
      <c r="S17" s="162" t="e">
        <f t="shared" ca="1" si="2"/>
        <v>#N/A</v>
      </c>
      <c r="T17" s="211" t="e">
        <f t="shared" ca="1" si="3"/>
        <v>#N/A</v>
      </c>
      <c r="U17" s="222" t="e">
        <f t="shared" ca="1" si="4"/>
        <v>#N/A</v>
      </c>
    </row>
    <row r="18" spans="2:21" ht="18" x14ac:dyDescent="0.2">
      <c r="B18" s="146">
        <v>3</v>
      </c>
      <c r="C18" s="147">
        <f>RESUMEN!C17</f>
        <v>3</v>
      </c>
      <c r="D18" s="110" t="str">
        <f>VLOOKUP(C18,RESUMEN!$C$15:$D$52,2,0)</f>
        <v>VIGILANCIA Y SEGURIDAD CELTAS LTDA</v>
      </c>
      <c r="E18" s="148">
        <f>VLOOKUP(C18,FORMULA!$C$46:$I$82,3,0)</f>
        <v>32591404</v>
      </c>
      <c r="F18" s="148">
        <f>VLOOKUP(C18,FORMULA!$C$46:$I$82,4,0)</f>
        <v>3.2591403999999997E-2</v>
      </c>
      <c r="G18" s="245">
        <f>VLOOKUP(C18,FORMULA!$C$46:$I$82,5,0)</f>
        <v>32591404</v>
      </c>
      <c r="H18" s="245">
        <f>VLOOKUP(C18,FORMULA!$C$46:$I$82,7,0)</f>
        <v>700</v>
      </c>
      <c r="I18" s="224" t="e">
        <f>VLOOKUP(C18,FORMULA!$C$46:$I$82,8,0)</f>
        <v>#REF!</v>
      </c>
      <c r="J18" s="149">
        <f>VLOOKUP($C18,RESUMEN!$C$15:$I$52,4,FALSE)</f>
        <v>0</v>
      </c>
      <c r="K18" s="149">
        <f>VLOOKUP($C18,RESUMEN!$C$15:$I$52,5,FALSE)</f>
        <v>0</v>
      </c>
      <c r="L18" s="149"/>
      <c r="M18" s="225" t="e">
        <f t="shared" si="5"/>
        <v>#REF!</v>
      </c>
      <c r="N18" s="150">
        <v>1.2E-9</v>
      </c>
      <c r="O18" s="210">
        <f t="shared" si="6"/>
        <v>3</v>
      </c>
      <c r="Q18" s="71" t="e">
        <f t="shared" si="1"/>
        <v>#REF!</v>
      </c>
      <c r="R18" s="161">
        <f t="shared" ref="R18:R52" si="7">R17+1</f>
        <v>3</v>
      </c>
      <c r="S18" s="162" t="e">
        <f t="shared" ca="1" si="2"/>
        <v>#N/A</v>
      </c>
      <c r="T18" s="211" t="e">
        <f t="shared" ca="1" si="3"/>
        <v>#N/A</v>
      </c>
      <c r="U18" s="222" t="e">
        <f t="shared" ca="1" si="4"/>
        <v>#N/A</v>
      </c>
    </row>
    <row r="19" spans="2:21" ht="18" x14ac:dyDescent="0.2">
      <c r="B19" s="146">
        <v>4</v>
      </c>
      <c r="C19" s="147">
        <f>RESUMEN!C18</f>
        <v>4</v>
      </c>
      <c r="D19" s="110" t="str">
        <f>VLOOKUP(C19,RESUMEN!$C$15:$D$52,2,0)</f>
        <v>UNION TEMPORAL ANI SEGURA</v>
      </c>
      <c r="E19" s="148">
        <f>VLOOKUP(C19,FORMULA!$C$46:$I$82,3,0)</f>
        <v>32841406</v>
      </c>
      <c r="F19" s="148">
        <f>VLOOKUP(C19,FORMULA!$C$46:$I$82,4,0)</f>
        <v>3.2841405999999997E-2</v>
      </c>
      <c r="G19" s="245">
        <f>VLOOKUP(C19,FORMULA!$C$46:$I$82,5,0)</f>
        <v>32841406</v>
      </c>
      <c r="H19" s="245">
        <f>VLOOKUP(C19,FORMULA!$C$46:$I$82,7,0)</f>
        <v>694.67131827425419</v>
      </c>
      <c r="I19" s="224" t="e">
        <f>VLOOKUP(C19,FORMULA!$C$46:$I$82,8,0)</f>
        <v>#REF!</v>
      </c>
      <c r="J19" s="149">
        <f>VLOOKUP($C19,RESUMEN!$C$15:$I$52,4,FALSE)</f>
        <v>0</v>
      </c>
      <c r="K19" s="149">
        <f>VLOOKUP($C19,RESUMEN!$C$15:$I$52,5,FALSE)</f>
        <v>0</v>
      </c>
      <c r="L19" s="149"/>
      <c r="M19" s="225" t="e">
        <f t="shared" si="5"/>
        <v>#REF!</v>
      </c>
      <c r="N19" s="150">
        <v>1.3000000000000001E-9</v>
      </c>
      <c r="O19" s="210">
        <f t="shared" si="6"/>
        <v>4</v>
      </c>
      <c r="Q19" s="71" t="e">
        <f t="shared" si="1"/>
        <v>#REF!</v>
      </c>
      <c r="R19" s="161">
        <f t="shared" si="7"/>
        <v>4</v>
      </c>
      <c r="S19" s="162" t="e">
        <f t="shared" ca="1" si="2"/>
        <v>#N/A</v>
      </c>
      <c r="T19" s="211" t="e">
        <f t="shared" ca="1" si="3"/>
        <v>#N/A</v>
      </c>
      <c r="U19" s="222" t="e">
        <f t="shared" ca="1" si="4"/>
        <v>#N/A</v>
      </c>
    </row>
    <row r="20" spans="2:21" ht="18" x14ac:dyDescent="0.2">
      <c r="B20" s="146">
        <v>5</v>
      </c>
      <c r="C20" s="147">
        <f>RESUMEN!C19</f>
        <v>5</v>
      </c>
      <c r="D20" s="110" t="str">
        <f>VLOOKUP(C20,RESUMEN!$C$15:$D$52,2,0)</f>
        <v>COVISUR DE COLOMBIA LTDA</v>
      </c>
      <c r="E20" s="148" t="str">
        <f>VLOOKUP(C20,FORMULA!$C$46:$I$82,3,0)</f>
        <v>DESCARTADO</v>
      </c>
      <c r="F20" s="148" t="str">
        <f>VLOOKUP(C20,FORMULA!$C$46:$I$82,4,0)</f>
        <v/>
      </c>
      <c r="G20" s="245" t="str">
        <f>VLOOKUP(C20,FORMULA!$C$46:$I$82,5,0)</f>
        <v>DESCARTADO</v>
      </c>
      <c r="H20" s="245" t="str">
        <f>VLOOKUP(C20,FORMULA!$C$46:$I$82,7,0)</f>
        <v>DESCARTADO</v>
      </c>
      <c r="I20" s="224" t="e">
        <f>VLOOKUP(C20,FORMULA!$C$46:$I$82,8,0)</f>
        <v>#REF!</v>
      </c>
      <c r="J20" s="149">
        <f>VLOOKUP($C20,RESUMEN!$C$15:$I$52,4,FALSE)</f>
        <v>0</v>
      </c>
      <c r="K20" s="149">
        <f>VLOOKUP($C20,RESUMEN!$C$15:$I$52,5,FALSE)</f>
        <v>0</v>
      </c>
      <c r="L20" s="149"/>
      <c r="M20" s="225" t="e">
        <f t="shared" si="5"/>
        <v>#REF!</v>
      </c>
      <c r="N20" s="150">
        <v>1.3999999999999999E-9</v>
      </c>
      <c r="O20" s="210">
        <f t="shared" si="6"/>
        <v>5</v>
      </c>
      <c r="Q20" s="71" t="e">
        <f t="shared" si="1"/>
        <v>#REF!</v>
      </c>
      <c r="R20" s="161">
        <f t="shared" si="7"/>
        <v>5</v>
      </c>
      <c r="S20" s="162" t="e">
        <f t="shared" ca="1" si="2"/>
        <v>#N/A</v>
      </c>
      <c r="T20" s="211" t="e">
        <f t="shared" ca="1" si="3"/>
        <v>#N/A</v>
      </c>
      <c r="U20" s="222" t="e">
        <f t="shared" ca="1" si="4"/>
        <v>#N/A</v>
      </c>
    </row>
    <row r="21" spans="2:21" ht="18" x14ac:dyDescent="0.2">
      <c r="B21" s="146">
        <v>6</v>
      </c>
      <c r="C21" s="147">
        <f>RESUMEN!C20</f>
        <v>6</v>
      </c>
      <c r="D21" s="110" t="str">
        <f>VLOOKUP(C21,RESUMEN!$C$15:$D$52,2,0)</f>
        <v>SEGURIDAD NUEVA ERA LTDA</v>
      </c>
      <c r="E21" s="148">
        <f>VLOOKUP(C21,FORMULA!$C$46:$I$82,3,0)</f>
        <v>32591407</v>
      </c>
      <c r="F21" s="148">
        <f>VLOOKUP(C21,FORMULA!$C$46:$I$82,4,0)</f>
        <v>3.2591407000000003E-2</v>
      </c>
      <c r="G21" s="245">
        <f>VLOOKUP(C21,FORMULA!$C$46:$I$82,5,0)</f>
        <v>32591407</v>
      </c>
      <c r="H21" s="245">
        <f>VLOOKUP(C21,FORMULA!$C$46:$I$82,7,0)</f>
        <v>699.99993556583797</v>
      </c>
      <c r="I21" s="224" t="e">
        <f>VLOOKUP(C21,FORMULA!$C$46:$I$82,8,0)</f>
        <v>#REF!</v>
      </c>
      <c r="J21" s="149">
        <f>VLOOKUP($C21,RESUMEN!$C$15:$I$52,4,FALSE)</f>
        <v>0</v>
      </c>
      <c r="K21" s="149">
        <f>VLOOKUP($C21,RESUMEN!$C$15:$I$52,5,FALSE)</f>
        <v>0</v>
      </c>
      <c r="L21" s="149"/>
      <c r="M21" s="225" t="e">
        <f t="shared" si="5"/>
        <v>#REF!</v>
      </c>
      <c r="N21" s="150">
        <v>1.5E-9</v>
      </c>
      <c r="O21" s="210">
        <f t="shared" si="6"/>
        <v>6</v>
      </c>
      <c r="Q21" s="71" t="e">
        <f t="shared" si="1"/>
        <v>#REF!</v>
      </c>
      <c r="R21" s="161">
        <f t="shared" si="7"/>
        <v>6</v>
      </c>
      <c r="S21" s="162" t="e">
        <f t="shared" ca="1" si="2"/>
        <v>#N/A</v>
      </c>
      <c r="T21" s="211" t="e">
        <f t="shared" ca="1" si="3"/>
        <v>#N/A</v>
      </c>
      <c r="U21" s="222" t="e">
        <f t="shared" ca="1" si="4"/>
        <v>#N/A</v>
      </c>
    </row>
    <row r="22" spans="2:21" ht="18" x14ac:dyDescent="0.2">
      <c r="B22" s="146">
        <v>7</v>
      </c>
      <c r="C22" s="147">
        <f>RESUMEN!C21</f>
        <v>7</v>
      </c>
      <c r="D22" s="110" t="str">
        <f>VLOOKUP(C22,RESUMEN!$C$15:$D$52,2,0)</f>
        <v>UNION TEMPORAL MP ANI 2016</v>
      </c>
      <c r="E22" s="148">
        <f>VLOOKUP(C22,FORMULA!$C$46:$I$82,3,0)</f>
        <v>32591407</v>
      </c>
      <c r="F22" s="148">
        <f>VLOOKUP(C22,FORMULA!$C$46:$I$82,4,0)</f>
        <v>3.2591407000000003E-2</v>
      </c>
      <c r="G22" s="245">
        <f>VLOOKUP(C22,FORMULA!$C$46:$I$82,5,0)</f>
        <v>32591407</v>
      </c>
      <c r="H22" s="245">
        <f>VLOOKUP(C22,FORMULA!$C$46:$I$82,7,0)</f>
        <v>699.99993556583797</v>
      </c>
      <c r="I22" s="224" t="e">
        <f>VLOOKUP(C22,FORMULA!$C$46:$I$82,8,0)</f>
        <v>#REF!</v>
      </c>
      <c r="J22" s="149">
        <f>VLOOKUP($C22,RESUMEN!$C$15:$I$52,4,FALSE)</f>
        <v>0</v>
      </c>
      <c r="K22" s="149">
        <f>VLOOKUP($C22,RESUMEN!$C$15:$I$52,5,FALSE)</f>
        <v>0</v>
      </c>
      <c r="L22" s="149"/>
      <c r="M22" s="225" t="e">
        <f t="shared" si="5"/>
        <v>#REF!</v>
      </c>
      <c r="N22" s="150">
        <v>1.6000000000000001E-9</v>
      </c>
      <c r="O22" s="210">
        <f t="shared" si="6"/>
        <v>7</v>
      </c>
      <c r="Q22" s="71" t="e">
        <f t="shared" si="1"/>
        <v>#REF!</v>
      </c>
      <c r="R22" s="161">
        <f t="shared" si="7"/>
        <v>7</v>
      </c>
      <c r="S22" s="162" t="e">
        <f t="shared" ca="1" si="2"/>
        <v>#N/A</v>
      </c>
      <c r="T22" s="211" t="e">
        <f t="shared" ca="1" si="3"/>
        <v>#N/A</v>
      </c>
      <c r="U22" s="222" t="e">
        <f t="shared" ca="1" si="4"/>
        <v>#N/A</v>
      </c>
    </row>
    <row r="23" spans="2:21" ht="22.5" x14ac:dyDescent="0.2">
      <c r="B23" s="146">
        <v>8</v>
      </c>
      <c r="C23" s="147">
        <f>RESUMEN!C22</f>
        <v>8</v>
      </c>
      <c r="D23" s="110" t="str">
        <f>VLOOKUP(C23,RESUMEN!$C$15:$D$52,2,0)</f>
        <v>COMPAÑÍA DE SEGURIDAD PRIVADA SERSECOL LTDA</v>
      </c>
      <c r="E23" s="148">
        <f>VLOOKUP(C23,FORMULA!$C$46:$I$82,3,0)</f>
        <v>32591404</v>
      </c>
      <c r="F23" s="148">
        <f>VLOOKUP(C23,FORMULA!$C$46:$I$82,4,0)</f>
        <v>3.2591403999999997E-2</v>
      </c>
      <c r="G23" s="245">
        <f>VLOOKUP(C23,FORMULA!$C$46:$I$82,5,0)</f>
        <v>32591404</v>
      </c>
      <c r="H23" s="245">
        <f>VLOOKUP(C23,FORMULA!$C$46:$I$82,7,0)</f>
        <v>700</v>
      </c>
      <c r="I23" s="224" t="e">
        <f>VLOOKUP(C23,FORMULA!$C$46:$I$82,8,0)</f>
        <v>#REF!</v>
      </c>
      <c r="J23" s="149">
        <f>VLOOKUP($C23,RESUMEN!$C$15:$I$52,4,FALSE)</f>
        <v>0</v>
      </c>
      <c r="K23" s="149">
        <f>VLOOKUP($C23,RESUMEN!$C$15:$I$52,5,FALSE)</f>
        <v>0</v>
      </c>
      <c r="L23" s="149"/>
      <c r="M23" s="225" t="e">
        <f t="shared" si="5"/>
        <v>#REF!</v>
      </c>
      <c r="N23" s="150">
        <v>1.6999999999999999E-9</v>
      </c>
      <c r="O23" s="210">
        <f t="shared" si="6"/>
        <v>8</v>
      </c>
      <c r="Q23" s="71" t="e">
        <f t="shared" si="1"/>
        <v>#REF!</v>
      </c>
      <c r="R23" s="161">
        <f t="shared" si="7"/>
        <v>8</v>
      </c>
      <c r="S23" s="162" t="e">
        <f t="shared" ca="1" si="2"/>
        <v>#N/A</v>
      </c>
      <c r="T23" s="211" t="e">
        <f t="shared" ca="1" si="3"/>
        <v>#N/A</v>
      </c>
      <c r="U23" s="222" t="e">
        <f t="shared" ca="1" si="4"/>
        <v>#N/A</v>
      </c>
    </row>
    <row r="24" spans="2:21" ht="18" x14ac:dyDescent="0.2">
      <c r="B24" s="146">
        <v>9</v>
      </c>
      <c r="C24" s="147">
        <f>RESUMEN!C23</f>
        <v>9</v>
      </c>
      <c r="D24" s="110" t="str">
        <f>VLOOKUP(C24,RESUMEN!$C$15:$D$52,2,0)</f>
        <v>SEGURIDAD ATEMPI LTDA</v>
      </c>
      <c r="E24" s="148">
        <f>VLOOKUP(C24,FORMULA!$C$46:$I$82,3,0)</f>
        <v>32756682</v>
      </c>
      <c r="F24" s="148">
        <f>VLOOKUP(C24,FORMULA!$C$46:$I$82,4,0)</f>
        <v>3.2756682000000002E-2</v>
      </c>
      <c r="G24" s="245">
        <f>VLOOKUP(C24,FORMULA!$C$46:$I$82,5,0)</f>
        <v>32756682</v>
      </c>
      <c r="H24" s="245">
        <f>VLOOKUP(C24,FORMULA!$C$46:$I$82,7,0)</f>
        <v>696.46806108140015</v>
      </c>
      <c r="I24" s="224" t="e">
        <f>VLOOKUP(C24,FORMULA!$C$46:$I$82,8,0)</f>
        <v>#REF!</v>
      </c>
      <c r="J24" s="149">
        <f>VLOOKUP($C24,RESUMEN!$C$15:$I$52,4,FALSE)</f>
        <v>0</v>
      </c>
      <c r="K24" s="149">
        <f>VLOOKUP($C24,RESUMEN!$C$15:$I$52,5,FALSE)</f>
        <v>0</v>
      </c>
      <c r="L24" s="149"/>
      <c r="M24" s="225" t="e">
        <f t="shared" si="5"/>
        <v>#REF!</v>
      </c>
      <c r="N24" s="150">
        <v>1.8E-9</v>
      </c>
      <c r="O24" s="210">
        <f t="shared" si="6"/>
        <v>9</v>
      </c>
      <c r="Q24" s="71" t="e">
        <f t="shared" si="1"/>
        <v>#REF!</v>
      </c>
      <c r="R24" s="161">
        <f t="shared" si="7"/>
        <v>9</v>
      </c>
      <c r="S24" s="162" t="e">
        <f t="shared" ca="1" si="2"/>
        <v>#N/A</v>
      </c>
      <c r="T24" s="211" t="e">
        <f t="shared" ca="1" si="3"/>
        <v>#N/A</v>
      </c>
      <c r="U24" s="222" t="e">
        <f t="shared" ca="1" si="4"/>
        <v>#N/A</v>
      </c>
    </row>
    <row r="25" spans="2:21" ht="18" x14ac:dyDescent="0.2">
      <c r="B25" s="146">
        <v>10</v>
      </c>
      <c r="C25" s="147">
        <f>RESUMEN!C24</f>
        <v>10</v>
      </c>
      <c r="D25" s="110" t="str">
        <f>VLOOKUP(C25,RESUMEN!$C$15:$D$52,2,0)</f>
        <v>SU OPORTUNO SERVICIO LTDA</v>
      </c>
      <c r="E25" s="148" t="str">
        <f>VLOOKUP(C25,FORMULA!$C$46:$I$82,3,0)</f>
        <v>DESCARTADO</v>
      </c>
      <c r="F25" s="148" t="str">
        <f>VLOOKUP(C25,FORMULA!$C$46:$I$82,4,0)</f>
        <v/>
      </c>
      <c r="G25" s="245" t="str">
        <f>VLOOKUP(C25,FORMULA!$C$46:$I$82,5,0)</f>
        <v>DESCARTADO</v>
      </c>
      <c r="H25" s="245" t="str">
        <f>VLOOKUP(C25,FORMULA!$C$46:$I$82,7,0)</f>
        <v>DESCARTADO</v>
      </c>
      <c r="I25" s="224" t="e">
        <f>VLOOKUP(C25,FORMULA!$C$46:$I$82,8,0)</f>
        <v>#REF!</v>
      </c>
      <c r="J25" s="149">
        <f>VLOOKUP($C25,RESUMEN!$C$15:$I$52,4,FALSE)</f>
        <v>0</v>
      </c>
      <c r="K25" s="149">
        <f>VLOOKUP($C25,RESUMEN!$C$15:$I$52,5,FALSE)</f>
        <v>0</v>
      </c>
      <c r="L25" s="149"/>
      <c r="M25" s="225" t="e">
        <f t="shared" si="5"/>
        <v>#REF!</v>
      </c>
      <c r="N25" s="150">
        <v>1.9000000000000001E-9</v>
      </c>
      <c r="O25" s="210">
        <f t="shared" si="6"/>
        <v>10</v>
      </c>
      <c r="Q25" s="71" t="e">
        <f t="shared" si="1"/>
        <v>#REF!</v>
      </c>
      <c r="R25" s="161">
        <f t="shared" si="7"/>
        <v>10</v>
      </c>
      <c r="S25" s="162" t="e">
        <f t="shared" ca="1" si="2"/>
        <v>#N/A</v>
      </c>
      <c r="T25" s="211" t="e">
        <f t="shared" ca="1" si="3"/>
        <v>#N/A</v>
      </c>
      <c r="U25" s="222" t="e">
        <f t="shared" ca="1" si="4"/>
        <v>#N/A</v>
      </c>
    </row>
    <row r="26" spans="2:21" ht="18" x14ac:dyDescent="0.2">
      <c r="B26" s="146">
        <v>11</v>
      </c>
      <c r="C26" s="147">
        <f>RESUMEN!C25</f>
        <v>11</v>
      </c>
      <c r="D26" s="110" t="str">
        <f>VLOOKUP(C26,RESUMEN!$C$15:$D$52,2,0)</f>
        <v>INTERGLOBAL SEGURIDAD Y VIGILANCIA LTDA</v>
      </c>
      <c r="E26" s="148">
        <f>VLOOKUP(C26,FORMULA!$C$46:$I$82,3,0)</f>
        <v>32591408</v>
      </c>
      <c r="F26" s="148">
        <f>VLOOKUP(C26,FORMULA!$C$46:$I$82,4,0)</f>
        <v>3.2591408000000002E-2</v>
      </c>
      <c r="G26" s="245">
        <f>VLOOKUP(C26,FORMULA!$C$46:$I$82,5,0)</f>
        <v>32591408</v>
      </c>
      <c r="H26" s="245">
        <f>VLOOKUP(C26,FORMULA!$C$46:$I$82,7,0)</f>
        <v>699.99991408778658</v>
      </c>
      <c r="I26" s="224" t="e">
        <f>VLOOKUP(C26,FORMULA!$C$46:$I$82,8,0)</f>
        <v>#REF!</v>
      </c>
      <c r="J26" s="149">
        <f>VLOOKUP($C26,RESUMEN!$C$15:$I$52,4,FALSE)</f>
        <v>0</v>
      </c>
      <c r="K26" s="149">
        <f>VLOOKUP($C26,RESUMEN!$C$15:$I$52,5,FALSE)</f>
        <v>0</v>
      </c>
      <c r="L26" s="149"/>
      <c r="M26" s="225" t="e">
        <f t="shared" si="5"/>
        <v>#REF!</v>
      </c>
      <c r="N26" s="150">
        <v>2.0000000000000001E-9</v>
      </c>
      <c r="O26" s="210">
        <f t="shared" si="6"/>
        <v>11</v>
      </c>
      <c r="Q26" s="71" t="e">
        <f t="shared" si="1"/>
        <v>#REF!</v>
      </c>
      <c r="R26" s="161">
        <f t="shared" si="7"/>
        <v>11</v>
      </c>
      <c r="S26" s="162" t="e">
        <f t="shared" ca="1" si="2"/>
        <v>#N/A</v>
      </c>
      <c r="T26" s="211" t="e">
        <f t="shared" ca="1" si="3"/>
        <v>#N/A</v>
      </c>
      <c r="U26" s="222" t="e">
        <f t="shared" ca="1" si="4"/>
        <v>#N/A</v>
      </c>
    </row>
    <row r="27" spans="2:21" ht="18" x14ac:dyDescent="0.2">
      <c r="B27" s="146">
        <v>12</v>
      </c>
      <c r="C27" s="147">
        <f>RESUMEN!C26</f>
        <v>12</v>
      </c>
      <c r="D27" s="110" t="str">
        <f>VLOOKUP(C27,RESUMEN!$C$15:$D$52,2,0)</f>
        <v>ZONA DE SEGURIDAD LDTA</v>
      </c>
      <c r="E27" s="148">
        <f>VLOOKUP(C27,FORMULA!$C$46:$I$82,3,0)</f>
        <v>32898188</v>
      </c>
      <c r="F27" s="148">
        <f>VLOOKUP(C27,FORMULA!$C$46:$I$82,4,0)</f>
        <v>3.2898188000000002E-2</v>
      </c>
      <c r="G27" s="245">
        <f>VLOOKUP(C27,FORMULA!$C$46:$I$82,5,0)</f>
        <v>32898188</v>
      </c>
      <c r="H27" s="245">
        <f>VLOOKUP(C27,FORMULA!$C$46:$I$82,7,0)</f>
        <v>693.47232133271291</v>
      </c>
      <c r="I27" s="224" t="e">
        <f>VLOOKUP(C27,FORMULA!$C$46:$I$82,8,0)</f>
        <v>#REF!</v>
      </c>
      <c r="J27" s="149">
        <f>VLOOKUP($C27,RESUMEN!$C$15:$I$52,4,FALSE)</f>
        <v>0</v>
      </c>
      <c r="K27" s="149">
        <f>VLOOKUP($C27,RESUMEN!$C$15:$I$52,5,FALSE)</f>
        <v>0</v>
      </c>
      <c r="L27" s="149"/>
      <c r="M27" s="225" t="e">
        <f t="shared" si="5"/>
        <v>#REF!</v>
      </c>
      <c r="N27" s="150">
        <v>2.1000000000000002E-9</v>
      </c>
      <c r="O27" s="210">
        <f t="shared" si="6"/>
        <v>12</v>
      </c>
      <c r="Q27" s="71" t="e">
        <f t="shared" si="1"/>
        <v>#REF!</v>
      </c>
      <c r="R27" s="161">
        <f t="shared" si="7"/>
        <v>12</v>
      </c>
      <c r="S27" s="162" t="e">
        <f t="shared" ca="1" si="2"/>
        <v>#N/A</v>
      </c>
      <c r="T27" s="211" t="e">
        <f t="shared" ca="1" si="3"/>
        <v>#N/A</v>
      </c>
      <c r="U27" s="222" t="e">
        <f t="shared" ca="1" si="4"/>
        <v>#N/A</v>
      </c>
    </row>
    <row r="28" spans="2:21" ht="18" x14ac:dyDescent="0.2">
      <c r="B28" s="146">
        <v>13</v>
      </c>
      <c r="C28" s="147">
        <f>RESUMEN!C27</f>
        <v>13</v>
      </c>
      <c r="D28" s="110" t="str">
        <f>VLOOKUP(C28,RESUMEN!$C$15:$D$52,2,0)</f>
        <v>ACON SECURITY LIMITADA</v>
      </c>
      <c r="E28" s="148">
        <f>VLOOKUP(C28,FORMULA!$C$46:$I$82,3,0)</f>
        <v>32591405</v>
      </c>
      <c r="F28" s="148">
        <f>VLOOKUP(C28,FORMULA!$C$46:$I$82,4,0)</f>
        <v>3.2591404999999997E-2</v>
      </c>
      <c r="G28" s="245">
        <f>VLOOKUP(C28,FORMULA!$C$46:$I$82,5,0)</f>
        <v>32591405</v>
      </c>
      <c r="H28" s="245">
        <f>VLOOKUP(C28,FORMULA!$C$46:$I$82,7,0)</f>
        <v>699.99997852194463</v>
      </c>
      <c r="I28" s="224" t="e">
        <f>VLOOKUP(C28,FORMULA!$C$46:$I$82,8,0)</f>
        <v>#REF!</v>
      </c>
      <c r="J28" s="149">
        <f>VLOOKUP($C28,RESUMEN!$C$15:$I$52,4,FALSE)</f>
        <v>0</v>
      </c>
      <c r="K28" s="149">
        <f>VLOOKUP($C28,RESUMEN!$C$15:$I$52,5,FALSE)</f>
        <v>0</v>
      </c>
      <c r="L28" s="149"/>
      <c r="M28" s="225" t="e">
        <f t="shared" si="5"/>
        <v>#REF!</v>
      </c>
      <c r="N28" s="150">
        <v>2.1999999999999998E-9</v>
      </c>
      <c r="O28" s="210">
        <f t="shared" si="6"/>
        <v>13</v>
      </c>
      <c r="Q28" s="71" t="e">
        <f t="shared" si="1"/>
        <v>#REF!</v>
      </c>
      <c r="R28" s="161">
        <f t="shared" si="7"/>
        <v>13</v>
      </c>
      <c r="S28" s="162" t="e">
        <f t="shared" ca="1" si="2"/>
        <v>#N/A</v>
      </c>
      <c r="T28" s="211" t="e">
        <f t="shared" ca="1" si="3"/>
        <v>#N/A</v>
      </c>
      <c r="U28" s="222" t="e">
        <f t="shared" ca="1" si="4"/>
        <v>#N/A</v>
      </c>
    </row>
    <row r="29" spans="2:21" ht="18" x14ac:dyDescent="0.2">
      <c r="B29" s="146">
        <v>14</v>
      </c>
      <c r="C29" s="147">
        <f>RESUMEN!C28</f>
        <v>14</v>
      </c>
      <c r="D29" s="110" t="str">
        <f>VLOOKUP(C29,RESUMEN!$C$15:$D$52,2,0)</f>
        <v>UNION TEMPORAL ESTATAL-IVAEST 2016</v>
      </c>
      <c r="E29" s="148">
        <f>VLOOKUP(C29,FORMULA!$C$46:$I$82,3,0)</f>
        <v>32954511</v>
      </c>
      <c r="F29" s="148">
        <f>VLOOKUP(C29,FORMULA!$C$46:$I$82,4,0)</f>
        <v>3.2954510999999999E-2</v>
      </c>
      <c r="G29" s="245">
        <f>VLOOKUP(C29,FORMULA!$C$46:$I$82,5,0)</f>
        <v>32954511</v>
      </c>
      <c r="H29" s="245">
        <f>VLOOKUP(C29,FORMULA!$C$46:$I$82,7,0)</f>
        <v>692.28709841878708</v>
      </c>
      <c r="I29" s="224" t="e">
        <f>VLOOKUP(C29,FORMULA!$C$46:$I$82,8,0)</f>
        <v>#REF!</v>
      </c>
      <c r="J29" s="149">
        <f>VLOOKUP($C29,RESUMEN!$C$15:$I$52,4,FALSE)</f>
        <v>0</v>
      </c>
      <c r="K29" s="149">
        <f>VLOOKUP($C29,RESUMEN!$C$15:$I$52,5,FALSE)</f>
        <v>0</v>
      </c>
      <c r="L29" s="149"/>
      <c r="M29" s="225" t="e">
        <f t="shared" si="5"/>
        <v>#REF!</v>
      </c>
      <c r="N29" s="150">
        <v>2.2999999999999999E-9</v>
      </c>
      <c r="O29" s="210">
        <f t="shared" si="6"/>
        <v>14</v>
      </c>
      <c r="Q29" s="71" t="e">
        <f t="shared" si="1"/>
        <v>#REF!</v>
      </c>
      <c r="R29" s="161">
        <f t="shared" si="7"/>
        <v>14</v>
      </c>
      <c r="S29" s="162" t="e">
        <f t="shared" ca="1" si="2"/>
        <v>#N/A</v>
      </c>
      <c r="T29" s="211" t="e">
        <f t="shared" ca="1" si="3"/>
        <v>#N/A</v>
      </c>
      <c r="U29" s="222" t="e">
        <f t="shared" ca="1" si="4"/>
        <v>#N/A</v>
      </c>
    </row>
    <row r="30" spans="2:21" ht="18" x14ac:dyDescent="0.2">
      <c r="B30" s="146">
        <v>15</v>
      </c>
      <c r="C30" s="147">
        <f>RESUMEN!C29</f>
        <v>15</v>
      </c>
      <c r="D30" s="110" t="str">
        <f>VLOOKUP(C30,RESUMEN!$C$15:$D$52,2,0)</f>
        <v>SERVISION DE COLOMBIA Y CIA LTDA</v>
      </c>
      <c r="E30" s="148">
        <f>VLOOKUP(C30,FORMULA!$C$46:$I$82,3,0)</f>
        <v>32591406</v>
      </c>
      <c r="F30" s="148">
        <f>VLOOKUP(C30,FORMULA!$C$46:$I$82,4,0)</f>
        <v>3.2591406000000003E-2</v>
      </c>
      <c r="G30" s="245">
        <f>VLOOKUP(C30,FORMULA!$C$46:$I$82,5,0)</f>
        <v>32591406</v>
      </c>
      <c r="H30" s="245">
        <f>VLOOKUP(C30,FORMULA!$C$46:$I$82,7,0)</f>
        <v>699.99995704389062</v>
      </c>
      <c r="I30" s="224" t="e">
        <f>VLOOKUP(C30,FORMULA!$C$46:$I$82,8,0)</f>
        <v>#REF!</v>
      </c>
      <c r="J30" s="149">
        <f>VLOOKUP($C30,RESUMEN!$C$15:$I$52,4,FALSE)</f>
        <v>0</v>
      </c>
      <c r="K30" s="149">
        <f>VLOOKUP($C30,RESUMEN!$C$15:$I$52,5,FALSE)</f>
        <v>0</v>
      </c>
      <c r="L30" s="149"/>
      <c r="M30" s="225" t="e">
        <f t="shared" si="5"/>
        <v>#REF!</v>
      </c>
      <c r="N30" s="150">
        <v>2.4E-9</v>
      </c>
      <c r="O30" s="210">
        <f t="shared" si="6"/>
        <v>15</v>
      </c>
      <c r="Q30" s="71" t="e">
        <f t="shared" si="1"/>
        <v>#REF!</v>
      </c>
      <c r="R30" s="161">
        <f t="shared" si="7"/>
        <v>15</v>
      </c>
      <c r="S30" s="162" t="e">
        <f t="shared" ca="1" si="2"/>
        <v>#N/A</v>
      </c>
      <c r="T30" s="211" t="e">
        <f t="shared" ca="1" si="3"/>
        <v>#N/A</v>
      </c>
      <c r="U30" s="222" t="e">
        <f t="shared" ca="1" si="4"/>
        <v>#N/A</v>
      </c>
    </row>
    <row r="31" spans="2:21" ht="18" x14ac:dyDescent="0.2">
      <c r="B31" s="146">
        <v>16</v>
      </c>
      <c r="C31" s="147">
        <f>RESUMEN!C30</f>
        <v>16</v>
      </c>
      <c r="D31" s="110" t="str">
        <f>VLOOKUP(C31,RESUMEN!$C$15:$D$52,2,0)</f>
        <v>SEGURIDAD Y VIGILANCIA SERVICONCEL LTDA</v>
      </c>
      <c r="E31" s="148">
        <f>VLOOKUP(C31,FORMULA!$C$46:$I$82,3,0)</f>
        <v>32591407</v>
      </c>
      <c r="F31" s="148">
        <f>VLOOKUP(C31,FORMULA!$C$46:$I$82,4,0)</f>
        <v>3.2591407000000003E-2</v>
      </c>
      <c r="G31" s="245">
        <f>VLOOKUP(C31,FORMULA!$C$46:$I$82,5,0)</f>
        <v>32591407</v>
      </c>
      <c r="H31" s="245">
        <f>VLOOKUP(C31,FORMULA!$C$46:$I$82,7,0)</f>
        <v>699.99993556583797</v>
      </c>
      <c r="I31" s="224" t="e">
        <f>VLOOKUP(C31,FORMULA!$C$46:$I$82,8,0)</f>
        <v>#REF!</v>
      </c>
      <c r="J31" s="149">
        <f>VLOOKUP($C31,RESUMEN!$C$15:$I$52,4,FALSE)</f>
        <v>0</v>
      </c>
      <c r="K31" s="149">
        <f>VLOOKUP($C31,RESUMEN!$C$15:$I$52,5,FALSE)</f>
        <v>0</v>
      </c>
      <c r="L31" s="149"/>
      <c r="M31" s="225" t="e">
        <f t="shared" si="5"/>
        <v>#REF!</v>
      </c>
      <c r="N31" s="150">
        <v>2.5000000000000001E-9</v>
      </c>
      <c r="O31" s="210">
        <f t="shared" si="6"/>
        <v>16</v>
      </c>
      <c r="Q31" s="71" t="e">
        <f t="shared" si="1"/>
        <v>#REF!</v>
      </c>
      <c r="R31" s="161">
        <f t="shared" si="7"/>
        <v>16</v>
      </c>
      <c r="S31" s="162" t="e">
        <f t="shared" ca="1" si="2"/>
        <v>#N/A</v>
      </c>
      <c r="T31" s="211" t="e">
        <f t="shared" ca="1" si="3"/>
        <v>#N/A</v>
      </c>
      <c r="U31" s="222" t="e">
        <f t="shared" ca="1" si="4"/>
        <v>#N/A</v>
      </c>
    </row>
    <row r="32" spans="2:21" ht="22.5" x14ac:dyDescent="0.2">
      <c r="B32" s="146">
        <v>17</v>
      </c>
      <c r="C32" s="147">
        <f>RESUMEN!C31</f>
        <v>17</v>
      </c>
      <c r="D32" s="110" t="str">
        <f>VLOOKUP(C32,RESUMEN!$C$15:$D$52,2,0)</f>
        <v>COOPERTAIVA DE VIGILANCIA Y SERVICIOS DE BUCARAMANGA CTA - COOVIAM CTA</v>
      </c>
      <c r="E32" s="148" t="str">
        <f>VLOOKUP(C32,FORMULA!$C$46:$I$82,3,0)</f>
        <v>DESCARTADO</v>
      </c>
      <c r="F32" s="148" t="str">
        <f>VLOOKUP(C32,FORMULA!$C$46:$I$82,4,0)</f>
        <v/>
      </c>
      <c r="G32" s="245" t="str">
        <f>VLOOKUP(C32,FORMULA!$C$46:$I$82,5,0)</f>
        <v>DESCARTADO</v>
      </c>
      <c r="H32" s="245" t="str">
        <f>VLOOKUP(C32,FORMULA!$C$46:$I$82,7,0)</f>
        <v>DESCARTADO</v>
      </c>
      <c r="I32" s="224" t="e">
        <f>VLOOKUP(C32,FORMULA!$C$46:$I$82,8,0)</f>
        <v>#REF!</v>
      </c>
      <c r="J32" s="149">
        <f>VLOOKUP($C32,RESUMEN!$C$15:$I$52,4,FALSE)</f>
        <v>0</v>
      </c>
      <c r="K32" s="149">
        <f>VLOOKUP($C32,RESUMEN!$C$15:$I$52,5,FALSE)</f>
        <v>0</v>
      </c>
      <c r="L32" s="149"/>
      <c r="M32" s="225" t="e">
        <f t="shared" si="5"/>
        <v>#REF!</v>
      </c>
      <c r="N32" s="150">
        <v>2.6000000000000001E-9</v>
      </c>
      <c r="O32" s="210">
        <f t="shared" si="6"/>
        <v>17</v>
      </c>
      <c r="Q32" s="71" t="e">
        <f t="shared" si="1"/>
        <v>#REF!</v>
      </c>
      <c r="R32" s="161">
        <f t="shared" si="7"/>
        <v>17</v>
      </c>
      <c r="S32" s="162" t="e">
        <f t="shared" ca="1" si="2"/>
        <v>#N/A</v>
      </c>
      <c r="T32" s="211" t="e">
        <f t="shared" ca="1" si="3"/>
        <v>#N/A</v>
      </c>
      <c r="U32" s="222" t="e">
        <f t="shared" ca="1" si="4"/>
        <v>#N/A</v>
      </c>
    </row>
    <row r="33" spans="2:21" ht="18" x14ac:dyDescent="0.2">
      <c r="B33" s="146">
        <v>18</v>
      </c>
      <c r="C33" s="147">
        <f>RESUMEN!C32</f>
        <v>18</v>
      </c>
      <c r="D33" s="110" t="str">
        <f>VLOOKUP(C33,RESUMEN!$C$15:$D$52,2,0)</f>
        <v>SERACIS LTDA</v>
      </c>
      <c r="E33" s="148">
        <f>VLOOKUP(C33,FORMULA!$C$46:$I$82,3,0)</f>
        <v>32606400</v>
      </c>
      <c r="F33" s="148">
        <f>VLOOKUP(C33,FORMULA!$C$46:$I$82,4,0)</f>
        <v>3.2606400000000001E-2</v>
      </c>
      <c r="G33" s="245">
        <f>VLOOKUP(C33,FORMULA!$C$46:$I$82,5,0)</f>
        <v>32606400</v>
      </c>
      <c r="H33" s="245">
        <f>VLOOKUP(C33,FORMULA!$C$46:$I$82,7,0)</f>
        <v>699.67806320231614</v>
      </c>
      <c r="I33" s="224" t="e">
        <f>VLOOKUP(C33,FORMULA!$C$46:$I$82,8,0)</f>
        <v>#REF!</v>
      </c>
      <c r="J33" s="149">
        <f>VLOOKUP($C33,RESUMEN!$C$15:$I$52,4,FALSE)</f>
        <v>0</v>
      </c>
      <c r="K33" s="149">
        <f>VLOOKUP($C33,RESUMEN!$C$15:$I$52,5,FALSE)</f>
        <v>0</v>
      </c>
      <c r="L33" s="149"/>
      <c r="M33" s="225" t="e">
        <f t="shared" si="5"/>
        <v>#REF!</v>
      </c>
      <c r="N33" s="150">
        <v>2.7000000000000002E-9</v>
      </c>
      <c r="O33" s="210">
        <f t="shared" si="6"/>
        <v>18</v>
      </c>
      <c r="Q33" s="71" t="e">
        <f t="shared" si="1"/>
        <v>#REF!</v>
      </c>
      <c r="R33" s="161">
        <f t="shared" si="7"/>
        <v>18</v>
      </c>
      <c r="S33" s="162" t="e">
        <f t="shared" ca="1" si="2"/>
        <v>#N/A</v>
      </c>
      <c r="T33" s="211" t="e">
        <f t="shared" ca="1" si="3"/>
        <v>#N/A</v>
      </c>
      <c r="U33" s="222" t="e">
        <f t="shared" ca="1" si="4"/>
        <v>#N/A</v>
      </c>
    </row>
    <row r="34" spans="2:21" ht="22.5" x14ac:dyDescent="0.2">
      <c r="B34" s="146">
        <v>19</v>
      </c>
      <c r="C34" s="147">
        <f>RESUMEN!C33</f>
        <v>19</v>
      </c>
      <c r="D34" s="110" t="str">
        <f>VLOOKUP(C34,RESUMEN!$C$15:$D$52,2,0)</f>
        <v>SEGURIDAD EL PENTAGONO COLOMBIANO LIMTADA SEPECOL LTDA</v>
      </c>
      <c r="E34" s="148">
        <f>VLOOKUP(C34,FORMULA!$C$46:$I$82,3,0)</f>
        <v>32591408</v>
      </c>
      <c r="F34" s="148">
        <f>VLOOKUP(C34,FORMULA!$C$46:$I$82,4,0)</f>
        <v>3.2591408000000002E-2</v>
      </c>
      <c r="G34" s="245">
        <f>VLOOKUP(C34,FORMULA!$C$46:$I$82,5,0)</f>
        <v>32591408</v>
      </c>
      <c r="H34" s="245">
        <f>VLOOKUP(C34,FORMULA!$C$46:$I$82,7,0)</f>
        <v>699.99991408778658</v>
      </c>
      <c r="I34" s="224" t="e">
        <f>VLOOKUP(C34,FORMULA!$C$46:$I$82,8,0)</f>
        <v>#REF!</v>
      </c>
      <c r="J34" s="149">
        <f>VLOOKUP($C34,RESUMEN!$C$15:$I$52,4,FALSE)</f>
        <v>0</v>
      </c>
      <c r="K34" s="149">
        <f>VLOOKUP($C34,RESUMEN!$C$15:$I$52,5,FALSE)</f>
        <v>0</v>
      </c>
      <c r="L34" s="149"/>
      <c r="M34" s="225" t="e">
        <f t="shared" si="5"/>
        <v>#REF!</v>
      </c>
      <c r="N34" s="150">
        <v>2.7999999999999998E-9</v>
      </c>
      <c r="O34" s="210">
        <f t="shared" si="6"/>
        <v>19</v>
      </c>
      <c r="Q34" s="71" t="e">
        <f t="shared" si="1"/>
        <v>#REF!</v>
      </c>
      <c r="R34" s="161">
        <f t="shared" si="7"/>
        <v>19</v>
      </c>
      <c r="S34" s="162" t="e">
        <f t="shared" ca="1" si="2"/>
        <v>#N/A</v>
      </c>
      <c r="T34" s="211" t="e">
        <f t="shared" ca="1" si="3"/>
        <v>#N/A</v>
      </c>
      <c r="U34" s="222" t="e">
        <f t="shared" ca="1" si="4"/>
        <v>#N/A</v>
      </c>
    </row>
    <row r="35" spans="2:21" ht="33.75" x14ac:dyDescent="0.2">
      <c r="B35" s="146">
        <v>20</v>
      </c>
      <c r="C35" s="147">
        <f>RESUMEN!C34</f>
        <v>20</v>
      </c>
      <c r="D35" s="110" t="str">
        <f>VLOOKUP(C35,RESUMEN!$C$15:$D$52,2,0)</f>
        <v>COMPAÑÍA DE SERVICIOS DE VIGILANCIA PRIVADA PORTILLA Y PORTILLA - COSERVIPP LTDA</v>
      </c>
      <c r="E35" s="148">
        <f>VLOOKUP(C35,FORMULA!$C$46:$I$82,3,0)</f>
        <v>32591408</v>
      </c>
      <c r="F35" s="148">
        <f>VLOOKUP(C35,FORMULA!$C$46:$I$82,4,0)</f>
        <v>3.2591408000000002E-2</v>
      </c>
      <c r="G35" s="245">
        <f>VLOOKUP(C35,FORMULA!$C$46:$I$82,5,0)</f>
        <v>32591408</v>
      </c>
      <c r="H35" s="245">
        <f>VLOOKUP(C35,FORMULA!$C$46:$I$82,7,0)</f>
        <v>699.99991408778658</v>
      </c>
      <c r="I35" s="224" t="e">
        <f>VLOOKUP(C35,FORMULA!$C$46:$I$82,8,0)</f>
        <v>#REF!</v>
      </c>
      <c r="J35" s="149">
        <f>VLOOKUP($C35,RESUMEN!$C$15:$I$52,4,FALSE)</f>
        <v>0</v>
      </c>
      <c r="K35" s="149">
        <f>VLOOKUP($C35,RESUMEN!$C$15:$I$52,5,FALSE)</f>
        <v>0</v>
      </c>
      <c r="L35" s="149"/>
      <c r="M35" s="225" t="e">
        <f t="shared" si="5"/>
        <v>#REF!</v>
      </c>
      <c r="N35" s="150">
        <v>2.8999999999999999E-9</v>
      </c>
      <c r="O35" s="210">
        <f t="shared" si="6"/>
        <v>20</v>
      </c>
      <c r="Q35" s="71" t="e">
        <f t="shared" si="1"/>
        <v>#REF!</v>
      </c>
      <c r="R35" s="161">
        <f t="shared" si="7"/>
        <v>20</v>
      </c>
      <c r="S35" s="162" t="e">
        <f t="shared" ca="1" si="2"/>
        <v>#N/A</v>
      </c>
      <c r="T35" s="211" t="e">
        <f t="shared" ca="1" si="3"/>
        <v>#N/A</v>
      </c>
      <c r="U35" s="222" t="e">
        <f t="shared" ca="1" si="4"/>
        <v>#N/A</v>
      </c>
    </row>
    <row r="36" spans="2:21" ht="18" x14ac:dyDescent="0.2">
      <c r="B36" s="146">
        <v>21</v>
      </c>
      <c r="C36" s="147">
        <f>RESUMEN!C35</f>
        <v>21</v>
      </c>
      <c r="D36" s="110" t="str">
        <f>VLOOKUP(C36,RESUMEN!$C$15:$D$52,2,0)</f>
        <v>HELAM SEGURIDAD LTDA</v>
      </c>
      <c r="E36" s="148">
        <f>VLOOKUP(C36,FORMULA!$C$46:$I$82,3,0)</f>
        <v>32591411</v>
      </c>
      <c r="F36" s="148">
        <f>VLOOKUP(C36,FORMULA!$C$46:$I$82,4,0)</f>
        <v>3.2591411000000001E-2</v>
      </c>
      <c r="G36" s="245">
        <f>VLOOKUP(C36,FORMULA!$C$46:$I$82,5,0)</f>
        <v>32591411</v>
      </c>
      <c r="H36" s="245">
        <f>VLOOKUP(C36,FORMULA!$C$46:$I$82,7,0)</f>
        <v>699.99984965364035</v>
      </c>
      <c r="I36" s="224" t="e">
        <f>VLOOKUP(C36,FORMULA!$C$46:$I$82,8,0)</f>
        <v>#REF!</v>
      </c>
      <c r="J36" s="149">
        <f>VLOOKUP($C36,RESUMEN!$C$15:$I$52,4,FALSE)</f>
        <v>0</v>
      </c>
      <c r="K36" s="149">
        <f>VLOOKUP($C36,RESUMEN!$C$15:$I$52,5,FALSE)</f>
        <v>0</v>
      </c>
      <c r="L36" s="149"/>
      <c r="M36" s="225" t="e">
        <f t="shared" si="5"/>
        <v>#REF!</v>
      </c>
      <c r="N36" s="150">
        <v>3E-9</v>
      </c>
      <c r="O36" s="210">
        <f t="shared" si="6"/>
        <v>21</v>
      </c>
      <c r="Q36" s="71" t="e">
        <f t="shared" si="1"/>
        <v>#REF!</v>
      </c>
      <c r="R36" s="161">
        <f t="shared" si="7"/>
        <v>21</v>
      </c>
      <c r="S36" s="162" t="e">
        <f t="shared" ca="1" si="2"/>
        <v>#N/A</v>
      </c>
      <c r="T36" s="211" t="e">
        <f t="shared" ca="1" si="3"/>
        <v>#N/A</v>
      </c>
      <c r="U36" s="222" t="e">
        <f t="shared" ca="1" si="4"/>
        <v>#N/A</v>
      </c>
    </row>
    <row r="37" spans="2:21" ht="18" x14ac:dyDescent="0.2">
      <c r="B37" s="146">
        <v>22</v>
      </c>
      <c r="C37" s="147">
        <f>RESUMEN!C36</f>
        <v>22</v>
      </c>
      <c r="D37" s="110" t="str">
        <f>VLOOKUP(C37,RESUMEN!$C$15:$D$52,2,0)</f>
        <v>INTERCOM SECURITY DE COLOMBIA LTDA</v>
      </c>
      <c r="E37" s="148">
        <f>VLOOKUP(C37,FORMULA!$C$46:$I$82,3,0)</f>
        <v>32591404</v>
      </c>
      <c r="F37" s="148">
        <f>VLOOKUP(C37,FORMULA!$C$46:$I$82,4,0)</f>
        <v>3.2591403999999997E-2</v>
      </c>
      <c r="G37" s="245">
        <f>VLOOKUP(C37,FORMULA!$C$46:$I$82,5,0)</f>
        <v>32591404</v>
      </c>
      <c r="H37" s="245">
        <f>VLOOKUP(C37,FORMULA!$C$46:$I$82,7,0)</f>
        <v>700</v>
      </c>
      <c r="I37" s="224" t="e">
        <f>VLOOKUP(C37,FORMULA!$C$46:$I$82,8,0)</f>
        <v>#REF!</v>
      </c>
      <c r="J37" s="149">
        <f>VLOOKUP($C37,RESUMEN!$C$15:$I$52,4,FALSE)</f>
        <v>0</v>
      </c>
      <c r="K37" s="149">
        <f>VLOOKUP($C37,RESUMEN!$C$15:$I$52,5,FALSE)</f>
        <v>0</v>
      </c>
      <c r="L37" s="149"/>
      <c r="M37" s="225" t="e">
        <f t="shared" si="5"/>
        <v>#REF!</v>
      </c>
      <c r="N37" s="150">
        <v>3.1E-9</v>
      </c>
      <c r="O37" s="210">
        <f t="shared" si="6"/>
        <v>22</v>
      </c>
      <c r="Q37" s="71" t="e">
        <f t="shared" si="1"/>
        <v>#REF!</v>
      </c>
      <c r="R37" s="161">
        <f t="shared" si="7"/>
        <v>22</v>
      </c>
      <c r="S37" s="162" t="e">
        <f t="shared" ca="1" si="2"/>
        <v>#N/A</v>
      </c>
      <c r="T37" s="211" t="e">
        <f t="shared" ca="1" si="3"/>
        <v>#N/A</v>
      </c>
      <c r="U37" s="222" t="e">
        <f t="shared" ca="1" si="4"/>
        <v>#N/A</v>
      </c>
    </row>
    <row r="38" spans="2:21" ht="18" x14ac:dyDescent="0.2">
      <c r="B38" s="146">
        <v>23</v>
      </c>
      <c r="C38" s="147">
        <f>RESUMEN!C37</f>
        <v>23</v>
      </c>
      <c r="D38" s="110" t="str">
        <f>VLOOKUP(C38,RESUMEN!$C$15:$D$52,2,0)</f>
        <v>SEGURIDAD CENTRAL LIMITADA</v>
      </c>
      <c r="E38" s="148" t="str">
        <f>VLOOKUP(C38,FORMULA!$C$46:$I$82,3,0)</f>
        <v>DESCARTADO</v>
      </c>
      <c r="F38" s="148" t="str">
        <f>VLOOKUP(C38,FORMULA!$C$46:$I$82,4,0)</f>
        <v/>
      </c>
      <c r="G38" s="245" t="str">
        <f>VLOOKUP(C38,FORMULA!$C$46:$I$82,5,0)</f>
        <v>DESCARTADO</v>
      </c>
      <c r="H38" s="245" t="str">
        <f>VLOOKUP(C38,FORMULA!$C$46:$I$82,7,0)</f>
        <v>DESCARTADO</v>
      </c>
      <c r="I38" s="224" t="e">
        <f>VLOOKUP(C38,FORMULA!$C$46:$I$82,8,0)</f>
        <v>#REF!</v>
      </c>
      <c r="J38" s="149">
        <f>VLOOKUP($C38,RESUMEN!$C$15:$I$52,4,FALSE)</f>
        <v>0</v>
      </c>
      <c r="K38" s="149">
        <f>VLOOKUP($C38,RESUMEN!$C$15:$I$52,5,FALSE)</f>
        <v>0</v>
      </c>
      <c r="L38" s="149"/>
      <c r="M38" s="225" t="e">
        <f t="shared" si="5"/>
        <v>#REF!</v>
      </c>
      <c r="N38" s="150">
        <v>3.2000000000000001E-9</v>
      </c>
      <c r="O38" s="210">
        <f t="shared" si="6"/>
        <v>23</v>
      </c>
      <c r="Q38" s="71" t="e">
        <f t="shared" si="1"/>
        <v>#REF!</v>
      </c>
      <c r="R38" s="161">
        <f t="shared" si="7"/>
        <v>23</v>
      </c>
      <c r="S38" s="162" t="e">
        <f t="shared" ca="1" si="2"/>
        <v>#N/A</v>
      </c>
      <c r="T38" s="211" t="e">
        <f t="shared" ca="1" si="3"/>
        <v>#N/A</v>
      </c>
      <c r="U38" s="222" t="e">
        <f t="shared" ca="1" si="4"/>
        <v>#N/A</v>
      </c>
    </row>
    <row r="39" spans="2:21" ht="18" x14ac:dyDescent="0.2">
      <c r="B39" s="146">
        <v>24</v>
      </c>
      <c r="C39" s="147">
        <f>RESUMEN!C38</f>
        <v>24</v>
      </c>
      <c r="D39" s="110" t="str">
        <f>VLOOKUP(C39,RESUMEN!$C$15:$D$52,2,0)</f>
        <v>AUTENTICA SEGURIDAD LTDA</v>
      </c>
      <c r="E39" s="148">
        <f>VLOOKUP(C39,FORMULA!$C$46:$I$82,3,0)</f>
        <v>32658071</v>
      </c>
      <c r="F39" s="148">
        <f>VLOOKUP(C39,FORMULA!$C$46:$I$82,4,0)</f>
        <v>3.2658070999999997E-2</v>
      </c>
      <c r="G39" s="245">
        <f>VLOOKUP(C39,FORMULA!$C$46:$I$82,5,0)</f>
        <v>32658071</v>
      </c>
      <c r="H39" s="245">
        <f>VLOOKUP(C39,FORMULA!$C$46:$I$82,7,0)</f>
        <v>698.57104542396269</v>
      </c>
      <c r="I39" s="224" t="e">
        <f>VLOOKUP(C39,FORMULA!$C$46:$I$82,8,0)</f>
        <v>#REF!</v>
      </c>
      <c r="J39" s="149">
        <f>VLOOKUP($C39,RESUMEN!$C$15:$I$52,4,FALSE)</f>
        <v>0</v>
      </c>
      <c r="K39" s="149">
        <f>VLOOKUP($C39,RESUMEN!$C$15:$I$52,5,FALSE)</f>
        <v>0</v>
      </c>
      <c r="L39" s="149"/>
      <c r="M39" s="225" t="e">
        <f t="shared" si="5"/>
        <v>#REF!</v>
      </c>
      <c r="N39" s="150">
        <v>3.3000000000000002E-9</v>
      </c>
      <c r="O39" s="210">
        <f t="shared" si="6"/>
        <v>24</v>
      </c>
      <c r="Q39" s="71" t="e">
        <f t="shared" si="1"/>
        <v>#REF!</v>
      </c>
      <c r="R39" s="161">
        <f t="shared" si="7"/>
        <v>24</v>
      </c>
      <c r="S39" s="162" t="e">
        <f t="shared" ca="1" si="2"/>
        <v>#N/A</v>
      </c>
      <c r="T39" s="211" t="e">
        <f t="shared" ca="1" si="3"/>
        <v>#N/A</v>
      </c>
      <c r="U39" s="222" t="e">
        <f t="shared" ca="1" si="4"/>
        <v>#N/A</v>
      </c>
    </row>
    <row r="40" spans="2:21" ht="22.5" x14ac:dyDescent="0.2">
      <c r="B40" s="146">
        <v>25</v>
      </c>
      <c r="C40" s="147">
        <f>RESUMEN!C39</f>
        <v>25</v>
      </c>
      <c r="D40" s="110" t="str">
        <f>VLOOKUP(C40,RESUMEN!$C$15:$D$52,2,0)</f>
        <v>COMPAÑÍA DE SEGURIDAD NACIONAL COMSENAL LTDA</v>
      </c>
      <c r="E40" s="148">
        <f>VLOOKUP(C40,FORMULA!$C$46:$I$82,3,0)</f>
        <v>32591407</v>
      </c>
      <c r="F40" s="148">
        <f>VLOOKUP(C40,FORMULA!$C$46:$I$82,4,0)</f>
        <v>3.2591407000000003E-2</v>
      </c>
      <c r="G40" s="245">
        <f>VLOOKUP(C40,FORMULA!$C$46:$I$82,5,0)</f>
        <v>32591407</v>
      </c>
      <c r="H40" s="245">
        <f>VLOOKUP(C40,FORMULA!$C$46:$I$82,7,0)</f>
        <v>699.99993556583797</v>
      </c>
      <c r="I40" s="224" t="e">
        <f>VLOOKUP(C40,FORMULA!$C$46:$I$82,8,0)</f>
        <v>#REF!</v>
      </c>
      <c r="J40" s="149">
        <f>VLOOKUP($C40,RESUMEN!$C$15:$I$52,4,FALSE)</f>
        <v>0</v>
      </c>
      <c r="K40" s="149">
        <f>VLOOKUP($C40,RESUMEN!$C$15:$I$52,5,FALSE)</f>
        <v>0</v>
      </c>
      <c r="L40" s="149"/>
      <c r="M40" s="225" t="e">
        <f t="shared" si="5"/>
        <v>#REF!</v>
      </c>
      <c r="N40" s="150">
        <v>3.3999999999999998E-9</v>
      </c>
      <c r="O40" s="210">
        <f t="shared" si="6"/>
        <v>25</v>
      </c>
      <c r="Q40" s="71" t="e">
        <f t="shared" si="1"/>
        <v>#REF!</v>
      </c>
      <c r="R40" s="161">
        <f t="shared" si="7"/>
        <v>25</v>
      </c>
      <c r="S40" s="162" t="e">
        <f t="shared" ca="1" si="2"/>
        <v>#N/A</v>
      </c>
      <c r="T40" s="211" t="e">
        <f t="shared" ca="1" si="3"/>
        <v>#N/A</v>
      </c>
      <c r="U40" s="222" t="e">
        <f t="shared" ca="1" si="4"/>
        <v>#N/A</v>
      </c>
    </row>
    <row r="41" spans="2:21" ht="18" x14ac:dyDescent="0.2">
      <c r="B41" s="146">
        <v>26</v>
      </c>
      <c r="C41" s="147">
        <f>RESUMEN!C40</f>
        <v>26</v>
      </c>
      <c r="D41" s="110" t="str">
        <f>VLOOKUP(C41,RESUMEN!$C$15:$D$52,2,0)</f>
        <v>CUSTODIAR LIMITADA</v>
      </c>
      <c r="E41" s="148">
        <f>VLOOKUP(C41,FORMULA!$C$46:$I$82,3,0)</f>
        <v>32591408</v>
      </c>
      <c r="F41" s="148">
        <f>VLOOKUP(C41,FORMULA!$C$46:$I$82,4,0)</f>
        <v>3.2591408000000002E-2</v>
      </c>
      <c r="G41" s="245">
        <f>VLOOKUP(C41,FORMULA!$C$46:$I$82,5,0)</f>
        <v>32591408</v>
      </c>
      <c r="H41" s="245">
        <f>VLOOKUP(C41,FORMULA!$C$46:$I$82,7,0)</f>
        <v>699.99991408778658</v>
      </c>
      <c r="I41" s="224" t="e">
        <f>VLOOKUP(C41,FORMULA!$C$46:$I$82,8,0)</f>
        <v>#REF!</v>
      </c>
      <c r="J41" s="149">
        <f>VLOOKUP($C41,RESUMEN!$C$15:$I$52,4,FALSE)</f>
        <v>0</v>
      </c>
      <c r="K41" s="149">
        <f>VLOOKUP($C41,RESUMEN!$C$15:$I$52,5,FALSE)</f>
        <v>0</v>
      </c>
      <c r="L41" s="149"/>
      <c r="M41" s="225" t="e">
        <f t="shared" si="5"/>
        <v>#REF!</v>
      </c>
      <c r="N41" s="150">
        <v>3.4999999999999999E-9</v>
      </c>
      <c r="O41" s="210">
        <f t="shared" si="6"/>
        <v>26</v>
      </c>
      <c r="Q41" s="71" t="e">
        <f t="shared" si="1"/>
        <v>#REF!</v>
      </c>
      <c r="R41" s="161">
        <f t="shared" si="7"/>
        <v>26</v>
      </c>
      <c r="S41" s="162" t="e">
        <f t="shared" ca="1" si="2"/>
        <v>#N/A</v>
      </c>
      <c r="T41" s="211" t="e">
        <f t="shared" ca="1" si="3"/>
        <v>#N/A</v>
      </c>
      <c r="U41" s="222" t="e">
        <f t="shared" ca="1" si="4"/>
        <v>#N/A</v>
      </c>
    </row>
    <row r="42" spans="2:21" ht="18" x14ac:dyDescent="0.2">
      <c r="B42" s="146">
        <v>27</v>
      </c>
      <c r="C42" s="147">
        <f>RESUMEN!C41</f>
        <v>27</v>
      </c>
      <c r="D42" s="110" t="str">
        <f>VLOOKUP(C42,RESUMEN!$C$15:$D$52,2,0)</f>
        <v>SEGURIDAD DIGITAL LTDA</v>
      </c>
      <c r="E42" s="148" t="str">
        <f>VLOOKUP(C42,FORMULA!$C$46:$I$82,3,0)</f>
        <v>DESCARTADO</v>
      </c>
      <c r="F42" s="148" t="str">
        <f>VLOOKUP(C42,FORMULA!$C$46:$I$82,4,0)</f>
        <v/>
      </c>
      <c r="G42" s="245" t="str">
        <f>VLOOKUP(C42,FORMULA!$C$46:$I$82,5,0)</f>
        <v>DESCARTADO</v>
      </c>
      <c r="H42" s="245" t="str">
        <f>VLOOKUP(C42,FORMULA!$C$46:$I$82,7,0)</f>
        <v>DESCARTADO</v>
      </c>
      <c r="I42" s="224" t="e">
        <f>VLOOKUP(C42,FORMULA!$C$46:$I$82,8,0)</f>
        <v>#REF!</v>
      </c>
      <c r="J42" s="149">
        <f>VLOOKUP($C42,RESUMEN!$C$15:$I$52,4,FALSE)</f>
        <v>0</v>
      </c>
      <c r="K42" s="149">
        <f>VLOOKUP($C42,RESUMEN!$C$15:$I$52,5,FALSE)</f>
        <v>0</v>
      </c>
      <c r="L42" s="149"/>
      <c r="M42" s="225" t="e">
        <f t="shared" si="5"/>
        <v>#REF!</v>
      </c>
      <c r="N42" s="150">
        <v>3.6E-9</v>
      </c>
      <c r="O42" s="210">
        <f t="shared" si="6"/>
        <v>27</v>
      </c>
      <c r="Q42" s="71" t="e">
        <f t="shared" si="1"/>
        <v>#REF!</v>
      </c>
      <c r="R42" s="161">
        <f t="shared" si="7"/>
        <v>27</v>
      </c>
      <c r="S42" s="162" t="e">
        <f t="shared" ca="1" si="2"/>
        <v>#N/A</v>
      </c>
      <c r="T42" s="211" t="e">
        <f t="shared" ca="1" si="3"/>
        <v>#N/A</v>
      </c>
      <c r="U42" s="222" t="e">
        <f t="shared" ca="1" si="4"/>
        <v>#N/A</v>
      </c>
    </row>
    <row r="43" spans="2:21" ht="18" x14ac:dyDescent="0.2">
      <c r="B43" s="146">
        <v>28</v>
      </c>
      <c r="C43" s="147">
        <f>RESUMEN!C42</f>
        <v>28</v>
      </c>
      <c r="D43" s="110" t="str">
        <f>VLOOKUP(C43,RESUMEN!$C$15:$D$52,2,0)</f>
        <v>SEGURIDAD DE COLOMBIA LTDA</v>
      </c>
      <c r="E43" s="148">
        <f>VLOOKUP(C43,FORMULA!$C$46:$I$82,3,0)</f>
        <v>32754379</v>
      </c>
      <c r="F43" s="148">
        <f>VLOOKUP(C43,FORMULA!$C$46:$I$82,4,0)</f>
        <v>3.2754379E-2</v>
      </c>
      <c r="G43" s="245">
        <f>VLOOKUP(C43,FORMULA!$C$46:$I$82,5,0)</f>
        <v>32754379</v>
      </c>
      <c r="H43" s="245">
        <f>VLOOKUP(C43,FORMULA!$C$46:$I$82,7,0)</f>
        <v>696.51703059306976</v>
      </c>
      <c r="I43" s="224" t="e">
        <f>VLOOKUP(C43,FORMULA!$C$46:$I$82,8,0)</f>
        <v>#REF!</v>
      </c>
      <c r="J43" s="149">
        <f>VLOOKUP($C43,RESUMEN!$C$15:$I$52,4,FALSE)</f>
        <v>0</v>
      </c>
      <c r="K43" s="149">
        <f>VLOOKUP($C43,RESUMEN!$C$15:$I$52,5,FALSE)</f>
        <v>0</v>
      </c>
      <c r="L43" s="149"/>
      <c r="M43" s="225" t="e">
        <f t="shared" si="5"/>
        <v>#REF!</v>
      </c>
      <c r="N43" s="150">
        <v>3.7E-9</v>
      </c>
      <c r="O43" s="210">
        <f t="shared" si="6"/>
        <v>28</v>
      </c>
      <c r="Q43" s="71" t="e">
        <f t="shared" si="1"/>
        <v>#REF!</v>
      </c>
      <c r="R43" s="161">
        <f t="shared" si="7"/>
        <v>28</v>
      </c>
      <c r="S43" s="162" t="e">
        <f t="shared" ca="1" si="2"/>
        <v>#N/A</v>
      </c>
      <c r="T43" s="211" t="e">
        <f t="shared" ca="1" si="3"/>
        <v>#N/A</v>
      </c>
      <c r="U43" s="222" t="e">
        <f t="shared" ca="1" si="4"/>
        <v>#N/A</v>
      </c>
    </row>
    <row r="44" spans="2:21" ht="18" x14ac:dyDescent="0.2">
      <c r="B44" s="146">
        <v>29</v>
      </c>
      <c r="C44" s="147">
        <f>RESUMEN!C43</f>
        <v>29</v>
      </c>
      <c r="D44" s="110" t="str">
        <f>VLOOKUP(C44,RESUMEN!$C$15:$D$52,2,0)</f>
        <v>JM SECURITY ADVISORS LTDA</v>
      </c>
      <c r="E44" s="148">
        <f>VLOOKUP(C44,FORMULA!$C$46:$I$82,3,0)</f>
        <v>32591407</v>
      </c>
      <c r="F44" s="148">
        <f>VLOOKUP(C44,FORMULA!$C$46:$I$82,4,0)</f>
        <v>3.2591407000000003E-2</v>
      </c>
      <c r="G44" s="245">
        <f>VLOOKUP(C44,FORMULA!$C$46:$I$82,5,0)</f>
        <v>32591407</v>
      </c>
      <c r="H44" s="245">
        <f>VLOOKUP(C44,FORMULA!$C$46:$I$82,7,0)</f>
        <v>699.99993556583797</v>
      </c>
      <c r="I44" s="224" t="e">
        <f>VLOOKUP(C44,FORMULA!$C$46:$I$82,8,0)</f>
        <v>#REF!</v>
      </c>
      <c r="J44" s="149">
        <f>VLOOKUP($C44,RESUMEN!$C$15:$I$52,4,FALSE)</f>
        <v>0</v>
      </c>
      <c r="K44" s="149">
        <f>VLOOKUP($C44,RESUMEN!$C$15:$I$52,5,FALSE)</f>
        <v>0</v>
      </c>
      <c r="L44" s="149"/>
      <c r="M44" s="225" t="e">
        <f t="shared" si="5"/>
        <v>#REF!</v>
      </c>
      <c r="N44" s="150">
        <v>3.8000000000000001E-9</v>
      </c>
      <c r="O44" s="210">
        <f t="shared" si="6"/>
        <v>29</v>
      </c>
      <c r="Q44" s="71" t="e">
        <f t="shared" si="1"/>
        <v>#REF!</v>
      </c>
      <c r="R44" s="161">
        <f t="shared" si="7"/>
        <v>29</v>
      </c>
      <c r="S44" s="162" t="e">
        <f t="shared" ca="1" si="2"/>
        <v>#N/A</v>
      </c>
      <c r="T44" s="211" t="e">
        <f t="shared" ca="1" si="3"/>
        <v>#N/A</v>
      </c>
      <c r="U44" s="222" t="e">
        <f t="shared" ca="1" si="4"/>
        <v>#N/A</v>
      </c>
    </row>
    <row r="45" spans="2:21" ht="18" x14ac:dyDescent="0.2">
      <c r="B45" s="146">
        <v>30</v>
      </c>
      <c r="C45" s="147">
        <f>RESUMEN!C44</f>
        <v>30</v>
      </c>
      <c r="D45" s="110" t="str">
        <f>VLOOKUP(C45,RESUMEN!$C$15:$D$52,2,0)</f>
        <v>LIRA SEGURIDAD LTDA</v>
      </c>
      <c r="E45" s="148">
        <f>VLOOKUP(C45,FORMULA!$C$46:$I$82,3,0)</f>
        <v>32810800</v>
      </c>
      <c r="F45" s="148">
        <f>VLOOKUP(C45,FORMULA!$C$46:$I$82,4,0)</f>
        <v>3.2810800000000001E-2</v>
      </c>
      <c r="G45" s="245">
        <f>VLOOKUP(C45,FORMULA!$C$46:$I$82,5,0)</f>
        <v>32810800</v>
      </c>
      <c r="H45" s="245">
        <f>VLOOKUP(C45,FORMULA!$C$46:$I$82,7,0)</f>
        <v>695.3193094956539</v>
      </c>
      <c r="I45" s="224" t="e">
        <f>VLOOKUP(C45,FORMULA!$C$46:$I$82,8,0)</f>
        <v>#REF!</v>
      </c>
      <c r="J45" s="149">
        <f>VLOOKUP($C45,RESUMEN!$C$15:$I$52,4,FALSE)</f>
        <v>0</v>
      </c>
      <c r="K45" s="149">
        <f>VLOOKUP($C45,RESUMEN!$C$15:$I$52,5,FALSE)</f>
        <v>0</v>
      </c>
      <c r="L45" s="149"/>
      <c r="M45" s="225" t="e">
        <f t="shared" si="5"/>
        <v>#REF!</v>
      </c>
      <c r="N45" s="150">
        <v>3.9000000000000002E-9</v>
      </c>
      <c r="O45" s="210">
        <f t="shared" si="6"/>
        <v>30</v>
      </c>
      <c r="Q45" s="71" t="e">
        <f t="shared" si="1"/>
        <v>#REF!</v>
      </c>
      <c r="R45" s="161">
        <f t="shared" si="7"/>
        <v>30</v>
      </c>
      <c r="S45" s="162" t="e">
        <f t="shared" ca="1" si="2"/>
        <v>#N/A</v>
      </c>
      <c r="T45" s="211" t="e">
        <f t="shared" ca="1" si="3"/>
        <v>#N/A</v>
      </c>
      <c r="U45" s="222" t="e">
        <f t="shared" ca="1" si="4"/>
        <v>#N/A</v>
      </c>
    </row>
    <row r="46" spans="2:21" ht="22.5" x14ac:dyDescent="0.2">
      <c r="B46" s="146">
        <v>31</v>
      </c>
      <c r="C46" s="147">
        <f>RESUMEN!C45</f>
        <v>31</v>
      </c>
      <c r="D46" s="110" t="str">
        <f>VLOOKUP(C46,RESUMEN!$C$15:$D$52,2,0)</f>
        <v>COMPAÑÍA DE VIGILANCIA Y SEGURIDAD PRIVADA ANUBIS LTDA</v>
      </c>
      <c r="E46" s="148">
        <f>VLOOKUP(C46,FORMULA!$C$46:$I$82,3,0)</f>
        <v>32591404</v>
      </c>
      <c r="F46" s="148">
        <f>VLOOKUP(C46,FORMULA!$C$46:$I$82,4,0)</f>
        <v>3.2591403999999997E-2</v>
      </c>
      <c r="G46" s="245">
        <f>VLOOKUP(C46,FORMULA!$C$46:$I$82,5,0)</f>
        <v>32591404</v>
      </c>
      <c r="H46" s="245">
        <f>VLOOKUP(C46,FORMULA!$C$46:$I$82,7,0)</f>
        <v>700</v>
      </c>
      <c r="I46" s="224" t="e">
        <f>VLOOKUP(C46,FORMULA!$C$46:$I$82,8,0)</f>
        <v>#REF!</v>
      </c>
      <c r="J46" s="149">
        <f>VLOOKUP($C46,RESUMEN!$C$15:$I$52,4,FALSE)</f>
        <v>0</v>
      </c>
      <c r="K46" s="149">
        <f>VLOOKUP($C46,RESUMEN!$C$15:$I$52,5,FALSE)</f>
        <v>0</v>
      </c>
      <c r="L46" s="149"/>
      <c r="M46" s="225" t="e">
        <f t="shared" si="5"/>
        <v>#REF!</v>
      </c>
      <c r="N46" s="150">
        <v>4.0000000000000002E-9</v>
      </c>
      <c r="O46" s="210">
        <f t="shared" si="6"/>
        <v>31</v>
      </c>
      <c r="Q46" s="71" t="e">
        <f t="shared" si="1"/>
        <v>#REF!</v>
      </c>
      <c r="R46" s="161">
        <f t="shared" si="7"/>
        <v>31</v>
      </c>
      <c r="S46" s="162" t="e">
        <f t="shared" ca="1" si="2"/>
        <v>#N/A</v>
      </c>
      <c r="T46" s="211" t="e">
        <f t="shared" ca="1" si="3"/>
        <v>#N/A</v>
      </c>
      <c r="U46" s="222" t="e">
        <f t="shared" ca="1" si="4"/>
        <v>#N/A</v>
      </c>
    </row>
    <row r="47" spans="2:21" ht="18" x14ac:dyDescent="0.2">
      <c r="B47" s="146">
        <v>32</v>
      </c>
      <c r="C47" s="147">
        <f>RESUMEN!C46</f>
        <v>32</v>
      </c>
      <c r="D47" s="110" t="str">
        <f>VLOOKUP(C47,RESUMEN!$C$15:$D$52,2,0)</f>
        <v>WEST ARMY SECURITY LTDA</v>
      </c>
      <c r="E47" s="148">
        <f>VLOOKUP(C47,FORMULA!$C$46:$I$82,3,0)</f>
        <v>32618895</v>
      </c>
      <c r="F47" s="148">
        <f>VLOOKUP(C47,FORMULA!$C$46:$I$82,4,0)</f>
        <v>3.2618895000000002E-2</v>
      </c>
      <c r="G47" s="245">
        <f>VLOOKUP(C47,FORMULA!$C$46:$I$82,5,0)</f>
        <v>32618895</v>
      </c>
      <c r="H47" s="245">
        <f>VLOOKUP(C47,FORMULA!$C$46:$I$82,7,0)</f>
        <v>699.41004439298138</v>
      </c>
      <c r="I47" s="224" t="e">
        <f>VLOOKUP(C47,FORMULA!$C$46:$I$82,8,0)</f>
        <v>#REF!</v>
      </c>
      <c r="J47" s="149">
        <f>VLOOKUP($C47,RESUMEN!$C$15:$I$52,4,FALSE)</f>
        <v>0</v>
      </c>
      <c r="K47" s="149">
        <f>VLOOKUP($C47,RESUMEN!$C$15:$I$52,5,FALSE)</f>
        <v>0</v>
      </c>
      <c r="L47" s="149"/>
      <c r="M47" s="225" t="e">
        <f t="shared" si="5"/>
        <v>#REF!</v>
      </c>
      <c r="N47" s="150">
        <v>4.1000000000000003E-9</v>
      </c>
      <c r="O47" s="210">
        <f t="shared" si="6"/>
        <v>32</v>
      </c>
      <c r="Q47" s="71" t="e">
        <f t="shared" si="1"/>
        <v>#REF!</v>
      </c>
      <c r="R47" s="161">
        <f t="shared" si="7"/>
        <v>32</v>
      </c>
      <c r="S47" s="162" t="e">
        <f t="shared" ca="1" si="2"/>
        <v>#N/A</v>
      </c>
      <c r="T47" s="211" t="e">
        <f t="shared" ca="1" si="3"/>
        <v>#N/A</v>
      </c>
      <c r="U47" s="222" t="e">
        <f t="shared" ca="1" si="4"/>
        <v>#N/A</v>
      </c>
    </row>
    <row r="48" spans="2:21" ht="33.75" x14ac:dyDescent="0.2">
      <c r="B48" s="146">
        <v>33</v>
      </c>
      <c r="C48" s="147">
        <f>RESUMEN!C47</f>
        <v>33</v>
      </c>
      <c r="D48" s="110" t="str">
        <f>VLOOKUP(C48,RESUMEN!$C$15:$D$52,2,0)</f>
        <v>GCSI GRUPO COLOMBIANO DE SEGURIDAD INTEGRAL ADVISEGAR LTDA SEGURIDAD PRIVADA</v>
      </c>
      <c r="E48" s="148">
        <f>VLOOKUP(C48,FORMULA!$C$46:$I$82,3,0)</f>
        <v>32591407</v>
      </c>
      <c r="F48" s="148">
        <f>VLOOKUP(C48,FORMULA!$C$46:$I$82,4,0)</f>
        <v>3.2591407000000003E-2</v>
      </c>
      <c r="G48" s="245">
        <f>VLOOKUP(C48,FORMULA!$C$46:$I$82,5,0)</f>
        <v>32591407</v>
      </c>
      <c r="H48" s="245">
        <f>VLOOKUP(C48,FORMULA!$C$46:$I$82,7,0)</f>
        <v>699.99993556583797</v>
      </c>
      <c r="I48" s="224" t="e">
        <f>VLOOKUP(C48,FORMULA!$C$46:$I$82,8,0)</f>
        <v>#REF!</v>
      </c>
      <c r="J48" s="149">
        <f>VLOOKUP($C48,RESUMEN!$C$15:$I$52,4,FALSE)</f>
        <v>0</v>
      </c>
      <c r="K48" s="149">
        <f>VLOOKUP($C48,RESUMEN!$C$15:$I$52,5,FALSE)</f>
        <v>0</v>
      </c>
      <c r="L48" s="149"/>
      <c r="M48" s="225" t="e">
        <f t="shared" si="5"/>
        <v>#REF!</v>
      </c>
      <c r="N48" s="150">
        <v>4.2000000000000004E-9</v>
      </c>
      <c r="O48" s="210">
        <f t="shared" si="6"/>
        <v>33</v>
      </c>
      <c r="Q48" s="71" t="e">
        <f t="shared" si="1"/>
        <v>#REF!</v>
      </c>
      <c r="R48" s="161">
        <f t="shared" si="7"/>
        <v>33</v>
      </c>
      <c r="S48" s="162" t="e">
        <f t="shared" ca="1" si="2"/>
        <v>#N/A</v>
      </c>
      <c r="T48" s="211" t="e">
        <f t="shared" ca="1" si="3"/>
        <v>#N/A</v>
      </c>
      <c r="U48" s="222" t="e">
        <f t="shared" ca="1" si="4"/>
        <v>#N/A</v>
      </c>
    </row>
    <row r="49" spans="2:21" ht="18" x14ac:dyDescent="0.2">
      <c r="B49" s="146">
        <v>34</v>
      </c>
      <c r="C49" s="147">
        <f>RESUMEN!C48</f>
        <v>34</v>
      </c>
      <c r="D49" s="110" t="str">
        <f>VLOOKUP(C49,RESUMEN!$C$15:$D$52,2,0)</f>
        <v>CUIDAR LIMITADA</v>
      </c>
      <c r="E49" s="148">
        <f>VLOOKUP(C49,FORMULA!$C$46:$I$82,3,0)</f>
        <v>32591408</v>
      </c>
      <c r="F49" s="148">
        <f>VLOOKUP(C49,FORMULA!$C$46:$I$82,4,0)</f>
        <v>3.2591408000000002E-2</v>
      </c>
      <c r="G49" s="245">
        <f>VLOOKUP(C49,FORMULA!$C$46:$I$82,5,0)</f>
        <v>32591408</v>
      </c>
      <c r="H49" s="245">
        <f>VLOOKUP(C49,FORMULA!$C$46:$I$82,7,0)</f>
        <v>699.99991408778658</v>
      </c>
      <c r="I49" s="224" t="e">
        <f>VLOOKUP(C49,FORMULA!$C$46:$I$82,8,0)</f>
        <v>#REF!</v>
      </c>
      <c r="J49" s="149">
        <f>VLOOKUP($C49,RESUMEN!$C$15:$I$52,4,FALSE)</f>
        <v>0</v>
      </c>
      <c r="K49" s="149">
        <f>VLOOKUP($C49,RESUMEN!$C$15:$I$52,5,FALSE)</f>
        <v>0</v>
      </c>
      <c r="L49" s="149"/>
      <c r="M49" s="225" t="e">
        <f t="shared" si="5"/>
        <v>#REF!</v>
      </c>
      <c r="N49" s="150">
        <v>4.2999999999999996E-9</v>
      </c>
      <c r="O49" s="210">
        <f t="shared" si="6"/>
        <v>34</v>
      </c>
      <c r="Q49" s="71" t="e">
        <f t="shared" si="1"/>
        <v>#REF!</v>
      </c>
      <c r="R49" s="161">
        <f t="shared" si="7"/>
        <v>34</v>
      </c>
      <c r="S49" s="162" t="e">
        <f t="shared" ca="1" si="2"/>
        <v>#N/A</v>
      </c>
      <c r="T49" s="211" t="e">
        <f t="shared" ca="1" si="3"/>
        <v>#N/A</v>
      </c>
      <c r="U49" s="222" t="e">
        <f t="shared" ca="1" si="4"/>
        <v>#N/A</v>
      </c>
    </row>
    <row r="50" spans="2:21" ht="18" x14ac:dyDescent="0.2">
      <c r="B50" s="146">
        <v>35</v>
      </c>
      <c r="C50" s="147">
        <f>RESUMEN!C49</f>
        <v>35</v>
      </c>
      <c r="D50" s="110" t="str">
        <f>VLOOKUP(C50,RESUMEN!$C$15:$D$52,2,0)</f>
        <v>UNION TEMPORAL A360</v>
      </c>
      <c r="E50" s="148">
        <f>VLOOKUP(C50,FORMULA!$C$46:$I$82,3,0)</f>
        <v>32661418</v>
      </c>
      <c r="F50" s="148">
        <f>VLOOKUP(C50,FORMULA!$C$46:$I$82,4,0)</f>
        <v>3.2661417999999998E-2</v>
      </c>
      <c r="G50" s="245">
        <f>VLOOKUP(C50,FORMULA!$C$46:$I$82,5,0)</f>
        <v>32661418</v>
      </c>
      <c r="H50" s="245">
        <f>VLOOKUP(C50,FORMULA!$C$46:$I$82,7,0)</f>
        <v>698.49945890285596</v>
      </c>
      <c r="I50" s="224" t="e">
        <f>VLOOKUP(C50,FORMULA!$C$46:$I$82,8,0)</f>
        <v>#REF!</v>
      </c>
      <c r="J50" s="149">
        <f>VLOOKUP($C50,RESUMEN!$C$15:$I$52,4,FALSE)</f>
        <v>0</v>
      </c>
      <c r="K50" s="149">
        <f>VLOOKUP($C50,RESUMEN!$C$15:$I$52,5,FALSE)</f>
        <v>0</v>
      </c>
      <c r="L50" s="149"/>
      <c r="M50" s="225" t="e">
        <f t="shared" si="5"/>
        <v>#REF!</v>
      </c>
      <c r="N50" s="150">
        <v>4.3999999999999997E-9</v>
      </c>
      <c r="O50" s="210">
        <f t="shared" si="6"/>
        <v>35</v>
      </c>
      <c r="Q50" s="71" t="e">
        <f t="shared" si="1"/>
        <v>#REF!</v>
      </c>
      <c r="R50" s="161">
        <f t="shared" si="7"/>
        <v>35</v>
      </c>
      <c r="S50" s="162" t="e">
        <f t="shared" ca="1" si="2"/>
        <v>#N/A</v>
      </c>
      <c r="T50" s="211" t="e">
        <f t="shared" ca="1" si="3"/>
        <v>#N/A</v>
      </c>
      <c r="U50" s="222" t="e">
        <f t="shared" ca="1" si="4"/>
        <v>#N/A</v>
      </c>
    </row>
    <row r="51" spans="2:21" ht="18" x14ac:dyDescent="0.2">
      <c r="B51" s="146">
        <v>36</v>
      </c>
      <c r="C51" s="147">
        <f>RESUMEN!C50</f>
        <v>36</v>
      </c>
      <c r="D51" s="110" t="str">
        <f>VLOOKUP(C51,RESUMEN!$C$15:$D$52,2,0)</f>
        <v>SEGURIDAD SELECTA LTDA</v>
      </c>
      <c r="E51" s="148">
        <f>VLOOKUP(C51,FORMULA!$C$46:$I$82,3,0)</f>
        <v>32951496</v>
      </c>
      <c r="F51" s="148">
        <f>VLOOKUP(C51,FORMULA!$C$46:$I$82,4,0)</f>
        <v>3.2951495999999997E-2</v>
      </c>
      <c r="G51" s="245">
        <f>VLOOKUP(C51,FORMULA!$C$46:$I$82,5,0)</f>
        <v>32951496</v>
      </c>
      <c r="H51" s="245">
        <f>VLOOKUP(C51,FORMULA!$C$46:$I$82,7,0)</f>
        <v>692.35044138815431</v>
      </c>
      <c r="I51" s="224" t="e">
        <f>VLOOKUP(C51,FORMULA!$C$46:$I$82,8,0)</f>
        <v>#REF!</v>
      </c>
      <c r="J51" s="149">
        <f>VLOOKUP($C51,RESUMEN!$C$15:$I$52,4,FALSE)</f>
        <v>0</v>
      </c>
      <c r="K51" s="149">
        <f>VLOOKUP($C51,RESUMEN!$C$15:$I$52,5,FALSE)</f>
        <v>0</v>
      </c>
      <c r="L51" s="149"/>
      <c r="M51" s="225" t="e">
        <f t="shared" si="5"/>
        <v>#REF!</v>
      </c>
      <c r="N51" s="150">
        <v>4.4999999999999998E-9</v>
      </c>
      <c r="O51" s="210">
        <f t="shared" si="6"/>
        <v>36</v>
      </c>
      <c r="Q51" s="71" t="e">
        <f t="shared" si="1"/>
        <v>#REF!</v>
      </c>
      <c r="R51" s="161">
        <f t="shared" si="7"/>
        <v>36</v>
      </c>
      <c r="S51" s="162" t="e">
        <f t="shared" ca="1" si="2"/>
        <v>#N/A</v>
      </c>
      <c r="T51" s="211" t="e">
        <f t="shared" ca="1" si="3"/>
        <v>#N/A</v>
      </c>
      <c r="U51" s="222" t="e">
        <f t="shared" ca="1" si="4"/>
        <v>#N/A</v>
      </c>
    </row>
    <row r="52" spans="2:21" ht="18" x14ac:dyDescent="0.2">
      <c r="B52" s="146">
        <v>37</v>
      </c>
      <c r="C52" s="147">
        <f>RESUMEN!C51</f>
        <v>37</v>
      </c>
      <c r="D52" s="110" t="str">
        <f>VLOOKUP(C52,RESUMEN!$C$15:$D$52,2,0)</f>
        <v>SEGURIDAD SCANNER LTDA</v>
      </c>
      <c r="E52" s="148">
        <f>VLOOKUP(C52,FORMULA!$C$46:$I$82,3,0)</f>
        <v>32954511</v>
      </c>
      <c r="F52" s="148">
        <f>VLOOKUP(C52,FORMULA!$C$46:$I$82,4,0)</f>
        <v>3.2954510999999999E-2</v>
      </c>
      <c r="G52" s="245">
        <f>VLOOKUP(C52,FORMULA!$C$46:$I$82,5,0)</f>
        <v>32954511</v>
      </c>
      <c r="H52" s="245">
        <f>VLOOKUP(C52,FORMULA!$C$46:$I$82,7,0)</f>
        <v>692.28709841878708</v>
      </c>
      <c r="I52" s="224" t="e">
        <f>VLOOKUP(C52,FORMULA!$C$46:$I$82,8,0)</f>
        <v>#REF!</v>
      </c>
      <c r="J52" s="149">
        <f>VLOOKUP($C52,RESUMEN!$C$15:$I$52,4,FALSE)</f>
        <v>0</v>
      </c>
      <c r="K52" s="149">
        <f>VLOOKUP($C52,RESUMEN!$C$15:$I$52,5,FALSE)</f>
        <v>0</v>
      </c>
      <c r="L52" s="149"/>
      <c r="M52" s="225" t="e">
        <f t="shared" si="5"/>
        <v>#REF!</v>
      </c>
      <c r="N52" s="150">
        <v>4.5999999999999998E-9</v>
      </c>
      <c r="O52" s="210">
        <f t="shared" si="6"/>
        <v>37</v>
      </c>
      <c r="Q52" s="71" t="e">
        <f t="shared" si="1"/>
        <v>#REF!</v>
      </c>
      <c r="R52" s="161">
        <f t="shared" si="7"/>
        <v>37</v>
      </c>
      <c r="S52" s="162" t="e">
        <f t="shared" ca="1" si="2"/>
        <v>#N/A</v>
      </c>
      <c r="T52" s="211" t="e">
        <f t="shared" ca="1" si="3"/>
        <v>#N/A</v>
      </c>
      <c r="U52" s="222" t="e">
        <f t="shared" ca="1" si="4"/>
        <v>#N/A</v>
      </c>
    </row>
    <row r="53" spans="2:21" ht="4.5" customHeight="1" thickBot="1" x14ac:dyDescent="0.3">
      <c r="B53" s="139"/>
      <c r="C53" s="140"/>
      <c r="D53" s="141"/>
      <c r="E53" s="141"/>
      <c r="F53" s="142"/>
      <c r="G53" s="142"/>
      <c r="H53" s="143"/>
      <c r="I53" s="143"/>
      <c r="J53" s="143"/>
      <c r="K53" s="143"/>
      <c r="L53" s="143"/>
      <c r="M53" s="151"/>
      <c r="N53" s="144"/>
      <c r="O53" s="210">
        <f t="shared" si="6"/>
        <v>0</v>
      </c>
      <c r="R53" s="155"/>
      <c r="S53" s="260"/>
      <c r="T53" s="156"/>
      <c r="U53" s="157"/>
    </row>
    <row r="54" spans="2:21" ht="7.5" customHeight="1" thickTop="1" x14ac:dyDescent="0.2">
      <c r="B54" s="126"/>
      <c r="C54" s="126"/>
      <c r="D54" s="127"/>
      <c r="E54" s="127"/>
      <c r="F54" s="128"/>
      <c r="G54" s="128"/>
      <c r="H54" s="129"/>
      <c r="I54" s="129"/>
      <c r="J54" s="129"/>
      <c r="K54" s="129"/>
      <c r="L54" s="129"/>
      <c r="M54" s="130"/>
      <c r="N54" s="131"/>
    </row>
    <row r="55" spans="2:21" x14ac:dyDescent="0.2">
      <c r="R55" s="375" t="e">
        <f ca="1">IF(R13="DESCARTADO","MODULO DESIERTO","")</f>
        <v>#N/A</v>
      </c>
      <c r="S55" s="375"/>
      <c r="T55" s="375"/>
      <c r="U55" s="375"/>
    </row>
    <row r="56" spans="2:21" x14ac:dyDescent="0.2">
      <c r="N56" s="374"/>
      <c r="O56" s="374"/>
      <c r="R56" s="375"/>
      <c r="S56" s="375"/>
      <c r="T56" s="375"/>
      <c r="U56" s="375"/>
    </row>
  </sheetData>
  <sheetProtection selectLockedCells="1"/>
  <mergeCells count="30">
    <mergeCell ref="D12:D14"/>
    <mergeCell ref="C12:C14"/>
    <mergeCell ref="B12:B14"/>
    <mergeCell ref="N56:O56"/>
    <mergeCell ref="R55:U56"/>
    <mergeCell ref="Q11:Q14"/>
    <mergeCell ref="R12:U12"/>
    <mergeCell ref="R13:U13"/>
    <mergeCell ref="F12:F13"/>
    <mergeCell ref="H12:H13"/>
    <mergeCell ref="N12:N14"/>
    <mergeCell ref="I12:L12"/>
    <mergeCell ref="M12:M13"/>
    <mergeCell ref="G12:G13"/>
    <mergeCell ref="E12:E13"/>
    <mergeCell ref="B7:M7"/>
    <mergeCell ref="B9:M9"/>
    <mergeCell ref="B10:M10"/>
    <mergeCell ref="R1:U1"/>
    <mergeCell ref="R2:U2"/>
    <mergeCell ref="R3:U3"/>
    <mergeCell ref="R4:U4"/>
    <mergeCell ref="R5:U5"/>
    <mergeCell ref="R7:U7"/>
    <mergeCell ref="R10:U10"/>
    <mergeCell ref="B1:M1"/>
    <mergeCell ref="B2:M2"/>
    <mergeCell ref="B3:M3"/>
    <mergeCell ref="B4:M4"/>
    <mergeCell ref="B5:M5"/>
  </mergeCells>
  <phoneticPr fontId="4" type="noConversion"/>
  <conditionalFormatting sqref="I16:M52">
    <cfRule type="cellIs" dxfId="5" priority="22" stopIfTrue="1" operator="greaterThan">
      <formula>0</formula>
    </cfRule>
    <cfRule type="cellIs" dxfId="4" priority="23" stopIfTrue="1" operator="equal">
      <formula>0</formula>
    </cfRule>
  </conditionalFormatting>
  <conditionalFormatting sqref="N18 N20 B22:C22 B28:C28 B34:C34 B40:C40 B46:C46 B52:C52 M16:N16 B16:F16 N24 N30 N36 N42 N48 N26 N32 N38 N44 N50 N22 N28 N34 N40 N46 N52 D17:F52 G16:L52 M17:M52 Q16:U16 Q17:R52 T17:U52 S17:S53">
    <cfRule type="expression" dxfId="3" priority="30" stopIfTrue="1">
      <formula>MOD(ROW(),2)</formula>
    </cfRule>
  </conditionalFormatting>
  <conditionalFormatting sqref="E17:E52 F16:I52">
    <cfRule type="cellIs" dxfId="2" priority="21" stopIfTrue="1" operator="equal">
      <formula>"DESCARTADO"</formula>
    </cfRule>
  </conditionalFormatting>
  <conditionalFormatting sqref="B17:C21 N17 N19 N21 B23:C27 B29:C33 B35:C39 B41:C45 B47:C51 N23 N29 N35 N41 N47 N25 N31 N37 N43 N49 N27 N33 N39 N45 N51">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
&amp;A&amp;C&amp;P de &amp;N&amp;R&amp;9INSTITUTO NACIONAL DE VIAS
&amp;D</oddFooter>
  </headerFooter>
  <rowBreaks count="1" manualBreakCount="1">
    <brk id="53" min="1" max="18" man="1"/>
  </rowBreaks>
  <colBreaks count="1" manualBreakCount="1">
    <brk id="15" max="1048575" man="1"/>
  </colBreaks>
  <ignoredErrors>
    <ignoredError sqref="I14:J14 J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A19" sqref="A19"/>
    </sheetView>
  </sheetViews>
  <sheetFormatPr baseColWidth="10" defaultRowHeight="12.75" x14ac:dyDescent="0.2"/>
  <cols>
    <col min="1" max="1" width="11.42578125" style="242"/>
    <col min="2" max="2" width="85.7109375" style="242" bestFit="1" customWidth="1"/>
    <col min="3" max="3" width="14.140625" style="242" bestFit="1" customWidth="1"/>
    <col min="4" max="4" width="47.42578125" style="242" bestFit="1" customWidth="1"/>
    <col min="5" max="16384" width="11.42578125" style="242"/>
  </cols>
  <sheetData>
    <row r="1" spans="1:4" ht="15.75" thickTop="1" x14ac:dyDescent="0.2">
      <c r="A1" s="59" t="s">
        <v>21</v>
      </c>
      <c r="B1" s="72" t="s">
        <v>20</v>
      </c>
      <c r="C1" s="72" t="s">
        <v>28</v>
      </c>
      <c r="D1" s="219" t="s">
        <v>88</v>
      </c>
    </row>
    <row r="2" spans="1:4" x14ac:dyDescent="0.2">
      <c r="A2" s="60">
        <v>1</v>
      </c>
      <c r="B2" s="68" t="s">
        <v>19</v>
      </c>
      <c r="C2" s="73" t="s">
        <v>8</v>
      </c>
      <c r="D2" s="73" t="s">
        <v>89</v>
      </c>
    </row>
    <row r="3" spans="1:4" x14ac:dyDescent="0.2">
      <c r="A3" s="61">
        <v>2</v>
      </c>
      <c r="B3" s="62" t="s">
        <v>93</v>
      </c>
      <c r="C3" s="74" t="s">
        <v>7</v>
      </c>
      <c r="D3" s="74" t="s">
        <v>90</v>
      </c>
    </row>
    <row r="4" spans="1:4" ht="13.5" thickBot="1" x14ac:dyDescent="0.25">
      <c r="A4" s="60">
        <v>3</v>
      </c>
      <c r="B4" s="62" t="s">
        <v>94</v>
      </c>
      <c r="C4" s="75" t="s">
        <v>12</v>
      </c>
      <c r="D4" s="74" t="s">
        <v>87</v>
      </c>
    </row>
    <row r="5" spans="1:4" ht="13.5" thickTop="1" x14ac:dyDescent="0.2">
      <c r="A5" s="61">
        <v>4</v>
      </c>
      <c r="B5" s="62" t="s">
        <v>95</v>
      </c>
      <c r="D5" s="221" t="s">
        <v>91</v>
      </c>
    </row>
    <row r="6" spans="1:4" ht="13.5" thickBot="1" x14ac:dyDescent="0.25">
      <c r="A6" s="60">
        <v>5</v>
      </c>
      <c r="B6" s="62" t="s">
        <v>96</v>
      </c>
      <c r="D6" s="75" t="s">
        <v>106</v>
      </c>
    </row>
    <row r="7" spans="1:4" ht="13.5" thickTop="1" x14ac:dyDescent="0.2">
      <c r="A7" s="61">
        <v>6</v>
      </c>
      <c r="B7" s="62" t="s">
        <v>97</v>
      </c>
    </row>
    <row r="8" spans="1:4" x14ac:dyDescent="0.2">
      <c r="A8" s="60">
        <v>7</v>
      </c>
      <c r="B8" s="62" t="s">
        <v>98</v>
      </c>
    </row>
    <row r="9" spans="1:4" x14ac:dyDescent="0.2">
      <c r="A9" s="61">
        <v>8</v>
      </c>
      <c r="B9" s="62" t="s">
        <v>99</v>
      </c>
    </row>
    <row r="10" spans="1:4" x14ac:dyDescent="0.2">
      <c r="A10" s="65">
        <v>9</v>
      </c>
      <c r="B10" s="66" t="s">
        <v>100</v>
      </c>
    </row>
    <row r="11" spans="1:4" x14ac:dyDescent="0.2">
      <c r="A11" s="65">
        <v>10</v>
      </c>
      <c r="B11" s="67" t="s">
        <v>101</v>
      </c>
    </row>
    <row r="12" spans="1:4" x14ac:dyDescent="0.2">
      <c r="A12" s="65">
        <v>11</v>
      </c>
      <c r="B12" s="67" t="s">
        <v>102</v>
      </c>
    </row>
    <row r="13" spans="1:4" x14ac:dyDescent="0.2">
      <c r="A13" s="65">
        <v>12</v>
      </c>
      <c r="B13" s="66" t="s">
        <v>103</v>
      </c>
    </row>
    <row r="14" spans="1:4" x14ac:dyDescent="0.2">
      <c r="A14" s="65">
        <v>13</v>
      </c>
      <c r="B14" s="66" t="s">
        <v>104</v>
      </c>
    </row>
    <row r="15" spans="1:4" x14ac:dyDescent="0.2">
      <c r="A15" s="65">
        <v>14</v>
      </c>
      <c r="B15" s="66" t="s">
        <v>105</v>
      </c>
    </row>
    <row r="16" spans="1:4" ht="13.5" thickBot="1" x14ac:dyDescent="0.25">
      <c r="A16" s="63">
        <v>15</v>
      </c>
      <c r="B16" s="64" t="s">
        <v>108</v>
      </c>
    </row>
    <row r="17" ht="13.5" thickTop="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topLeftCell="A21" workbookViewId="0">
      <selection activeCell="B34" sqref="B34"/>
    </sheetView>
  </sheetViews>
  <sheetFormatPr baseColWidth="10" defaultRowHeight="12.75" x14ac:dyDescent="0.2"/>
  <cols>
    <col min="1" max="1" width="11.42578125" style="266"/>
    <col min="2" max="2" width="18.42578125" style="266" bestFit="1" customWidth="1"/>
    <col min="3" max="4" width="17.42578125" style="266" bestFit="1" customWidth="1"/>
    <col min="5" max="16384" width="11.42578125" style="266"/>
  </cols>
  <sheetData>
    <row r="2" spans="2:7" x14ac:dyDescent="0.2">
      <c r="B2" s="266">
        <v>3974480.7</v>
      </c>
      <c r="C2" s="266">
        <f>+ROUND(B2,0)</f>
        <v>3974481</v>
      </c>
    </row>
    <row r="3" spans="2:7" x14ac:dyDescent="0.2">
      <c r="B3" s="266">
        <v>26629686.420000002</v>
      </c>
      <c r="C3" s="266">
        <f t="shared" ref="C3:C4" si="0">+ROUND(B3,0)</f>
        <v>26629686</v>
      </c>
    </row>
    <row r="4" spans="2:7" x14ac:dyDescent="0.2">
      <c r="B4" s="266">
        <v>1987240.35</v>
      </c>
      <c r="C4" s="266">
        <f t="shared" si="0"/>
        <v>1987240</v>
      </c>
    </row>
    <row r="6" spans="2:7" x14ac:dyDescent="0.2">
      <c r="C6" s="267">
        <f>SUM(C2:C5)</f>
        <v>32591407</v>
      </c>
      <c r="D6" s="268">
        <v>32591407</v>
      </c>
      <c r="F6" s="266">
        <f>+C6-D6</f>
        <v>0</v>
      </c>
      <c r="G6" s="266" t="str">
        <f>+IF(F6&lt;&gt;0,"ERROR","VALOR OK")</f>
        <v>VALOR OK</v>
      </c>
    </row>
    <row r="8" spans="2:7" x14ac:dyDescent="0.2">
      <c r="B8" s="274">
        <f>6067204+485376</f>
        <v>6552580</v>
      </c>
      <c r="C8" s="266">
        <f>+B8*4</f>
        <v>26210320</v>
      </c>
    </row>
    <row r="10" spans="2:7" x14ac:dyDescent="0.2">
      <c r="C10" s="266">
        <f>+C8*0.1</f>
        <v>2621032</v>
      </c>
    </row>
    <row r="12" spans="2:7" x14ac:dyDescent="0.2">
      <c r="C12" s="266">
        <f>+C8-C10</f>
        <v>23589288</v>
      </c>
    </row>
    <row r="14" spans="2:7" x14ac:dyDescent="0.2">
      <c r="B14" s="266">
        <f>20*B8</f>
        <v>131051600</v>
      </c>
    </row>
    <row r="15" spans="2:7" x14ac:dyDescent="0.2">
      <c r="B15" s="266">
        <f>+B14/30</f>
        <v>4368386.666666667</v>
      </c>
    </row>
    <row r="16" spans="2:7" x14ac:dyDescent="0.2">
      <c r="B16" s="266">
        <f>+B15*0.5</f>
        <v>2184193.3333333335</v>
      </c>
    </row>
    <row r="18" spans="2:2" x14ac:dyDescent="0.2">
      <c r="B18" s="266">
        <v>2053481</v>
      </c>
    </row>
    <row r="19" spans="2:2" x14ac:dyDescent="0.2">
      <c r="B19" s="266">
        <f>+B18*0.1</f>
        <v>205348.1</v>
      </c>
    </row>
    <row r="20" spans="2:2" x14ac:dyDescent="0.2">
      <c r="B20" s="266">
        <f>+B18-B19</f>
        <v>1848132.9</v>
      </c>
    </row>
    <row r="22" spans="2:2" x14ac:dyDescent="0.2">
      <c r="B22" s="266">
        <f>+B18*2</f>
        <v>4106962</v>
      </c>
    </row>
    <row r="23" spans="2:2" x14ac:dyDescent="0.2">
      <c r="B23" s="266">
        <f>+B22*0.1</f>
        <v>410696.2</v>
      </c>
    </row>
    <row r="24" spans="2:2" x14ac:dyDescent="0.2">
      <c r="B24" s="266">
        <f>+B22-B23</f>
        <v>3696265.8</v>
      </c>
    </row>
    <row r="27" spans="2:2" x14ac:dyDescent="0.2">
      <c r="B27" s="266">
        <v>5897322</v>
      </c>
    </row>
    <row r="28" spans="2:2" x14ac:dyDescent="0.2">
      <c r="B28" s="266">
        <f>20*B27</f>
        <v>117946440</v>
      </c>
    </row>
    <row r="29" spans="2:2" x14ac:dyDescent="0.2">
      <c r="B29" s="266">
        <f>+B28/30</f>
        <v>3931548</v>
      </c>
    </row>
    <row r="31" spans="2:2" x14ac:dyDescent="0.2">
      <c r="B31" s="266">
        <f>+B29/2</f>
        <v>1965774</v>
      </c>
    </row>
    <row r="32" spans="2:2" x14ac:dyDescent="0.2">
      <c r="B32" s="266">
        <f>+B31*2</f>
        <v>3931548</v>
      </c>
    </row>
    <row r="34" spans="2:2" x14ac:dyDescent="0.2">
      <c r="B34" s="266">
        <v>3931548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RESUMEN</vt:lpstr>
      <vt:lpstr>VR-PROP</vt:lpstr>
      <vt:lpstr>FORMULA</vt:lpstr>
      <vt:lpstr>ELEGIBILIDAD</vt:lpstr>
      <vt:lpstr>Hoja1</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2016</dc:creator>
  <cp:lastModifiedBy>Lissette Mendoza Tellez</cp:lastModifiedBy>
  <cp:lastPrinted>2012-04-17T13:34:03Z</cp:lastPrinted>
  <dcterms:created xsi:type="dcterms:W3CDTF">2003-08-04T15:33:07Z</dcterms:created>
  <dcterms:modified xsi:type="dcterms:W3CDTF">2016-10-20T19:48:57Z</dcterms:modified>
</cp:coreProperties>
</file>