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oro\Desktop\SOLICITUDES DE SUBSANE\"/>
    </mc:Choice>
  </mc:AlternateContent>
  <bookViews>
    <workbookView xWindow="0" yWindow="0" windowWidth="24000" windowHeight="10125" tabRatio="321" firstSheet="2" activeTab="2"/>
  </bookViews>
  <sheets>
    <sheet name="Datos Pacífico 3" sheetId="4" state="hidden" r:id="rId1"/>
    <sheet name="Math" sheetId="1" state="hidden" r:id="rId2"/>
    <sheet name="Tablero Adjudicación" sheetId="2" r:id="rId3"/>
    <sheet name="Puntaje Total" sheetId="6" r:id="rId4"/>
    <sheet name="Datos Grupo 4" sheetId="3" state="hidden" r:id="rId5"/>
  </sheets>
  <definedNames>
    <definedName name="_xlnm.Print_Area" localSheetId="2">'Tablero Adjudicación'!$A$1:$J$37</definedName>
  </definedNames>
  <calcPr calcId="152511" iterate="1" iterateCount="1000" concurrentCalc="0"/>
</workbook>
</file>

<file path=xl/calcChain.xml><?xml version="1.0" encoding="utf-8"?>
<calcChain xmlns="http://schemas.openxmlformats.org/spreadsheetml/2006/main">
  <c r="C9" i="6" l="1"/>
  <c r="C8" i="6"/>
  <c r="D6" i="4"/>
  <c r="E107" i="4"/>
  <c r="D107" i="4"/>
  <c r="E106" i="4"/>
  <c r="D106" i="4"/>
  <c r="E105" i="4"/>
  <c r="D105" i="4"/>
  <c r="E104" i="4"/>
  <c r="D104" i="4"/>
  <c r="E103" i="4"/>
  <c r="D103" i="4"/>
  <c r="E102" i="4"/>
  <c r="D102" i="4"/>
  <c r="E101" i="4"/>
  <c r="D101" i="4"/>
  <c r="E100" i="4"/>
  <c r="D100" i="4"/>
  <c r="E99" i="4"/>
  <c r="D99" i="4"/>
  <c r="E98" i="4"/>
  <c r="D98" i="4"/>
  <c r="E97" i="4"/>
  <c r="D97" i="4"/>
  <c r="E96" i="4"/>
  <c r="D96" i="4"/>
  <c r="E95" i="4"/>
  <c r="D95" i="4"/>
  <c r="E94" i="4"/>
  <c r="D94" i="4"/>
  <c r="E93" i="4"/>
  <c r="D93" i="4"/>
  <c r="E92" i="4"/>
  <c r="D92" i="4"/>
  <c r="E91" i="4"/>
  <c r="D91" i="4"/>
  <c r="E90" i="4"/>
  <c r="D90" i="4"/>
  <c r="E89" i="4"/>
  <c r="D89" i="4"/>
  <c r="E88" i="4"/>
  <c r="D88" i="4"/>
  <c r="E87" i="4"/>
  <c r="D87" i="4"/>
  <c r="E86" i="4"/>
  <c r="D86" i="4"/>
  <c r="E85" i="4"/>
  <c r="D85" i="4"/>
  <c r="E84" i="4"/>
  <c r="D84" i="4"/>
  <c r="E83" i="4"/>
  <c r="D83" i="4"/>
  <c r="E82" i="4"/>
  <c r="D82" i="4"/>
  <c r="J77" i="4"/>
  <c r="I77" i="4"/>
  <c r="H77" i="4"/>
  <c r="G77" i="4"/>
  <c r="F77" i="4"/>
  <c r="E77" i="4"/>
  <c r="D77" i="4"/>
  <c r="E108" i="4"/>
  <c r="N76" i="4"/>
  <c r="O76" i="4"/>
  <c r="M76" i="4"/>
  <c r="K76" i="4"/>
  <c r="N75" i="4"/>
  <c r="P75" i="4"/>
  <c r="K75" i="4"/>
  <c r="N74" i="4"/>
  <c r="Q74" i="4"/>
  <c r="K74" i="4"/>
  <c r="N73" i="4"/>
  <c r="R73" i="4"/>
  <c r="K73" i="4"/>
  <c r="N72" i="4"/>
  <c r="S72" i="4"/>
  <c r="K72" i="4"/>
  <c r="N71" i="4"/>
  <c r="T71" i="4"/>
  <c r="K71" i="4"/>
  <c r="N70" i="4"/>
  <c r="U70" i="4"/>
  <c r="K70" i="4"/>
  <c r="N69" i="4"/>
  <c r="V69" i="4"/>
  <c r="K69" i="4"/>
  <c r="N68" i="4"/>
  <c r="W68" i="4"/>
  <c r="K68" i="4"/>
  <c r="N67" i="4"/>
  <c r="X67" i="4"/>
  <c r="K67" i="4"/>
  <c r="N66" i="4"/>
  <c r="Y66" i="4"/>
  <c r="K66" i="4"/>
  <c r="N65" i="4"/>
  <c r="Z65" i="4"/>
  <c r="K65" i="4"/>
  <c r="N64" i="4"/>
  <c r="AA64" i="4"/>
  <c r="K64" i="4"/>
  <c r="N63" i="4"/>
  <c r="AB63" i="4"/>
  <c r="K63" i="4"/>
  <c r="N62" i="4"/>
  <c r="AC62" i="4"/>
  <c r="K62" i="4"/>
  <c r="N61" i="4"/>
  <c r="AD61" i="4"/>
  <c r="K61" i="4"/>
  <c r="N60" i="4"/>
  <c r="AE60" i="4"/>
  <c r="K60" i="4"/>
  <c r="N59" i="4"/>
  <c r="AF59" i="4"/>
  <c r="K59" i="4"/>
  <c r="N58" i="4"/>
  <c r="AG58" i="4"/>
  <c r="K58" i="4"/>
  <c r="N57" i="4"/>
  <c r="AH57" i="4"/>
  <c r="K57" i="4"/>
  <c r="N56" i="4"/>
  <c r="AI56" i="4"/>
  <c r="K56" i="4"/>
  <c r="N55" i="4"/>
  <c r="AJ55" i="4"/>
  <c r="K55" i="4"/>
  <c r="N54" i="4"/>
  <c r="AK54" i="4"/>
  <c r="K54" i="4"/>
  <c r="N53" i="4"/>
  <c r="AL53" i="4"/>
  <c r="K53" i="4"/>
  <c r="N52" i="4"/>
  <c r="AM52" i="4"/>
  <c r="K52" i="4"/>
  <c r="N51" i="4"/>
  <c r="AN51" i="4"/>
  <c r="K51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N50" i="4"/>
  <c r="J47" i="4"/>
  <c r="I47" i="4"/>
  <c r="H47" i="4"/>
  <c r="G47" i="4"/>
  <c r="F47" i="4"/>
  <c r="E47" i="4"/>
  <c r="D47" i="4"/>
  <c r="D108" i="4"/>
  <c r="BE46" i="4"/>
  <c r="BD46" i="4"/>
  <c r="BC46" i="4"/>
  <c r="BB46" i="4"/>
  <c r="BA46" i="4"/>
  <c r="AZ46" i="4"/>
  <c r="O46" i="4"/>
  <c r="X46" i="4"/>
  <c r="V46" i="4"/>
  <c r="BE45" i="4"/>
  <c r="BD45" i="4"/>
  <c r="BC45" i="4"/>
  <c r="BB45" i="4"/>
  <c r="BA45" i="4"/>
  <c r="AZ45" i="4"/>
  <c r="O45" i="4"/>
  <c r="W45" i="4"/>
  <c r="Y45" i="4"/>
  <c r="BE44" i="4"/>
  <c r="BD44" i="4"/>
  <c r="BC44" i="4"/>
  <c r="BB44" i="4"/>
  <c r="BA44" i="4"/>
  <c r="AZ44" i="4"/>
  <c r="O44" i="4"/>
  <c r="BE43" i="4"/>
  <c r="BD43" i="4"/>
  <c r="BC43" i="4"/>
  <c r="BB43" i="4"/>
  <c r="BA43" i="4"/>
  <c r="AZ43" i="4"/>
  <c r="O43" i="4"/>
  <c r="W43" i="4"/>
  <c r="AA43" i="4"/>
  <c r="BE42" i="4"/>
  <c r="BD42" i="4"/>
  <c r="BC42" i="4"/>
  <c r="BB42" i="4"/>
  <c r="BA42" i="4"/>
  <c r="AZ42" i="4"/>
  <c r="W42" i="4"/>
  <c r="AB42" i="4"/>
  <c r="O42" i="4"/>
  <c r="BE41" i="4"/>
  <c r="BD41" i="4"/>
  <c r="BC41" i="4"/>
  <c r="BB41" i="4"/>
  <c r="BA41" i="4"/>
  <c r="AZ41" i="4"/>
  <c r="O41" i="4"/>
  <c r="W41" i="4"/>
  <c r="AC41" i="4"/>
  <c r="BE40" i="4"/>
  <c r="BD40" i="4"/>
  <c r="BC40" i="4"/>
  <c r="BB40" i="4"/>
  <c r="BA40" i="4"/>
  <c r="AZ40" i="4"/>
  <c r="O40" i="4"/>
  <c r="BE39" i="4"/>
  <c r="BD39" i="4"/>
  <c r="BC39" i="4"/>
  <c r="BB39" i="4"/>
  <c r="BA39" i="4"/>
  <c r="AZ39" i="4"/>
  <c r="O39" i="4"/>
  <c r="W39" i="4"/>
  <c r="AE39" i="4"/>
  <c r="BE38" i="4"/>
  <c r="BD38" i="4"/>
  <c r="BC38" i="4"/>
  <c r="BB38" i="4"/>
  <c r="BA38" i="4"/>
  <c r="AZ38" i="4"/>
  <c r="O38" i="4"/>
  <c r="BE37" i="4"/>
  <c r="BD37" i="4"/>
  <c r="BC37" i="4"/>
  <c r="BB37" i="4"/>
  <c r="BA37" i="4"/>
  <c r="AZ37" i="4"/>
  <c r="O37" i="4"/>
  <c r="BE36" i="4"/>
  <c r="BD36" i="4"/>
  <c r="BC36" i="4"/>
  <c r="BB36" i="4"/>
  <c r="BA36" i="4"/>
  <c r="AZ36" i="4"/>
  <c r="O36" i="4"/>
  <c r="W36" i="4"/>
  <c r="AH36" i="4"/>
  <c r="BE35" i="4"/>
  <c r="BD35" i="4"/>
  <c r="BC35" i="4"/>
  <c r="BB35" i="4"/>
  <c r="BA35" i="4"/>
  <c r="AZ35" i="4"/>
  <c r="O35" i="4"/>
  <c r="W35" i="4"/>
  <c r="AI35" i="4"/>
  <c r="BE34" i="4"/>
  <c r="BD34" i="4"/>
  <c r="BC34" i="4"/>
  <c r="BB34" i="4"/>
  <c r="BA34" i="4"/>
  <c r="AZ34" i="4"/>
  <c r="O34" i="4"/>
  <c r="W34" i="4"/>
  <c r="AJ34" i="4"/>
  <c r="BE33" i="4"/>
  <c r="BD33" i="4"/>
  <c r="BC33" i="4"/>
  <c r="BB33" i="4"/>
  <c r="BA33" i="4"/>
  <c r="AZ33" i="4"/>
  <c r="O33" i="4"/>
  <c r="W33" i="4"/>
  <c r="AK33" i="4"/>
  <c r="BE32" i="4"/>
  <c r="BD32" i="4"/>
  <c r="BC32" i="4"/>
  <c r="BB32" i="4"/>
  <c r="BA32" i="4"/>
  <c r="AZ32" i="4"/>
  <c r="O32" i="4"/>
  <c r="W32" i="4"/>
  <c r="AL32" i="4"/>
  <c r="BE31" i="4"/>
  <c r="BD31" i="4"/>
  <c r="BC31" i="4"/>
  <c r="BB31" i="4"/>
  <c r="BA31" i="4"/>
  <c r="AZ31" i="4"/>
  <c r="O31" i="4"/>
  <c r="W31" i="4"/>
  <c r="AM31" i="4"/>
  <c r="BE30" i="4"/>
  <c r="BD30" i="4"/>
  <c r="BC30" i="4"/>
  <c r="BB30" i="4"/>
  <c r="BA30" i="4"/>
  <c r="AZ30" i="4"/>
  <c r="O30" i="4"/>
  <c r="BE29" i="4"/>
  <c r="BD29" i="4"/>
  <c r="BC29" i="4"/>
  <c r="BB29" i="4"/>
  <c r="BA29" i="4"/>
  <c r="AZ29" i="4"/>
  <c r="O29" i="4"/>
  <c r="BE28" i="4"/>
  <c r="BD28" i="4"/>
  <c r="BC28" i="4"/>
  <c r="BB28" i="4"/>
  <c r="BA28" i="4"/>
  <c r="AZ28" i="4"/>
  <c r="O28" i="4"/>
  <c r="W28" i="4"/>
  <c r="AP28" i="4"/>
  <c r="BE27" i="4"/>
  <c r="BD27" i="4"/>
  <c r="BC27" i="4"/>
  <c r="BB27" i="4"/>
  <c r="BA27" i="4"/>
  <c r="AZ27" i="4"/>
  <c r="O27" i="4"/>
  <c r="W27" i="4"/>
  <c r="AQ27" i="4"/>
  <c r="BE26" i="4"/>
  <c r="BD26" i="4"/>
  <c r="BC26" i="4"/>
  <c r="BB26" i="4"/>
  <c r="BA26" i="4"/>
  <c r="AZ26" i="4"/>
  <c r="O26" i="4"/>
  <c r="W26" i="4"/>
  <c r="AR26" i="4"/>
  <c r="BE25" i="4"/>
  <c r="BD25" i="4"/>
  <c r="BC25" i="4"/>
  <c r="BB25" i="4"/>
  <c r="BA25" i="4"/>
  <c r="AZ25" i="4"/>
  <c r="O25" i="4"/>
  <c r="W25" i="4"/>
  <c r="AS25" i="4"/>
  <c r="BE24" i="4"/>
  <c r="BD24" i="4"/>
  <c r="BC24" i="4"/>
  <c r="BB24" i="4"/>
  <c r="BA24" i="4"/>
  <c r="AZ24" i="4"/>
  <c r="O24" i="4"/>
  <c r="W24" i="4"/>
  <c r="AT24" i="4"/>
  <c r="W23" i="4"/>
  <c r="AU23" i="4"/>
  <c r="P23" i="4"/>
  <c r="Q23" i="4"/>
  <c r="O23" i="4"/>
  <c r="B23" i="4"/>
  <c r="B24" i="4"/>
  <c r="O22" i="4"/>
  <c r="W22" i="4"/>
  <c r="AV22" i="4"/>
  <c r="B22" i="4"/>
  <c r="P22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P21" i="4"/>
  <c r="O21" i="4"/>
  <c r="B21" i="4"/>
  <c r="A21" i="4"/>
  <c r="D8" i="4"/>
  <c r="W46" i="4"/>
  <c r="G78" i="4"/>
  <c r="F78" i="4"/>
  <c r="H78" i="4"/>
  <c r="I78" i="4"/>
  <c r="J78" i="4"/>
  <c r="B25" i="4"/>
  <c r="P24" i="4"/>
  <c r="D14" i="4"/>
  <c r="W38" i="4"/>
  <c r="AF38" i="4"/>
  <c r="D15" i="4"/>
  <c r="AV20" i="4"/>
  <c r="O47" i="4"/>
  <c r="D5" i="4"/>
  <c r="W21" i="4"/>
  <c r="AW21" i="4"/>
  <c r="AV21" i="4"/>
  <c r="Q22" i="4"/>
  <c r="R22" i="4"/>
  <c r="W29" i="4"/>
  <c r="AO29" i="4"/>
  <c r="W30" i="4"/>
  <c r="AN30" i="4"/>
  <c r="W40" i="4"/>
  <c r="AD40" i="4"/>
  <c r="W37" i="4"/>
  <c r="AG37" i="4"/>
  <c r="D12" i="4"/>
  <c r="Q21" i="4"/>
  <c r="R21" i="4"/>
  <c r="R23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AA63" i="4"/>
  <c r="AA62" i="4"/>
  <c r="AA61" i="4"/>
  <c r="AA60" i="4"/>
  <c r="AA59" i="4"/>
  <c r="AA58" i="4"/>
  <c r="AA57" i="4"/>
  <c r="AA56" i="4"/>
  <c r="AA55" i="4"/>
  <c r="AA54" i="4"/>
  <c r="AA53" i="4"/>
  <c r="AA52" i="4"/>
  <c r="AA51" i="4"/>
  <c r="AA50" i="4"/>
  <c r="AD60" i="4"/>
  <c r="AD59" i="4"/>
  <c r="AD58" i="4"/>
  <c r="AD57" i="4"/>
  <c r="AD56" i="4"/>
  <c r="AD55" i="4"/>
  <c r="AD54" i="4"/>
  <c r="AD53" i="4"/>
  <c r="AD52" i="4"/>
  <c r="AD51" i="4"/>
  <c r="AD50" i="4"/>
  <c r="AI55" i="4"/>
  <c r="AI54" i="4"/>
  <c r="AI53" i="4"/>
  <c r="AI52" i="4"/>
  <c r="AI51" i="4"/>
  <c r="AI50" i="4"/>
  <c r="O75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W67" i="4"/>
  <c r="W66" i="4"/>
  <c r="W65" i="4"/>
  <c r="W64" i="4"/>
  <c r="W63" i="4"/>
  <c r="W62" i="4"/>
  <c r="W61" i="4"/>
  <c r="W60" i="4"/>
  <c r="W59" i="4"/>
  <c r="W58" i="4"/>
  <c r="W57" i="4"/>
  <c r="W56" i="4"/>
  <c r="W55" i="4"/>
  <c r="W54" i="4"/>
  <c r="W53" i="4"/>
  <c r="W52" i="4"/>
  <c r="W51" i="4"/>
  <c r="W50" i="4"/>
  <c r="Z64" i="4"/>
  <c r="Z63" i="4"/>
  <c r="Z62" i="4"/>
  <c r="Z61" i="4"/>
  <c r="Z60" i="4"/>
  <c r="Z59" i="4"/>
  <c r="Z58" i="4"/>
  <c r="Z57" i="4"/>
  <c r="Z56" i="4"/>
  <c r="Z55" i="4"/>
  <c r="Z54" i="4"/>
  <c r="Z53" i="4"/>
  <c r="Z52" i="4"/>
  <c r="Z51" i="4"/>
  <c r="Z50" i="4"/>
  <c r="AE59" i="4"/>
  <c r="AE58" i="4"/>
  <c r="AE57" i="4"/>
  <c r="AE56" i="4"/>
  <c r="AE55" i="4"/>
  <c r="AE54" i="4"/>
  <c r="AE53" i="4"/>
  <c r="AE52" i="4"/>
  <c r="AE51" i="4"/>
  <c r="AE50" i="4"/>
  <c r="AH56" i="4"/>
  <c r="AH55" i="4"/>
  <c r="AH54" i="4"/>
  <c r="AH53" i="4"/>
  <c r="AH52" i="4"/>
  <c r="AH51" i="4"/>
  <c r="AH50" i="4"/>
  <c r="AF58" i="4"/>
  <c r="AF57" i="4"/>
  <c r="AF56" i="4"/>
  <c r="AF55" i="4"/>
  <c r="AF54" i="4"/>
  <c r="AF53" i="4"/>
  <c r="AF52" i="4"/>
  <c r="AF51" i="4"/>
  <c r="AF50" i="4"/>
  <c r="AG57" i="4"/>
  <c r="AG56" i="4"/>
  <c r="AG55" i="4"/>
  <c r="AG54" i="4"/>
  <c r="AG53" i="4"/>
  <c r="AG52" i="4"/>
  <c r="AG51" i="4"/>
  <c r="AG50" i="4"/>
  <c r="AJ54" i="4"/>
  <c r="AJ53" i="4"/>
  <c r="AJ52" i="4"/>
  <c r="AJ51" i="4"/>
  <c r="AJ50" i="4"/>
  <c r="AM51" i="4"/>
  <c r="AM50" i="4"/>
  <c r="AB62" i="4"/>
  <c r="AB61" i="4"/>
  <c r="AB60" i="4"/>
  <c r="AB59" i="4"/>
  <c r="AB58" i="4"/>
  <c r="AB57" i="4"/>
  <c r="AB56" i="4"/>
  <c r="AB55" i="4"/>
  <c r="AB54" i="4"/>
  <c r="AB53" i="4"/>
  <c r="AB52" i="4"/>
  <c r="AB51" i="4"/>
  <c r="AB50" i="4"/>
  <c r="AK53" i="4"/>
  <c r="AK52" i="4"/>
  <c r="AK51" i="4"/>
  <c r="AK50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AC61" i="4"/>
  <c r="AC60" i="4"/>
  <c r="AC59" i="4"/>
  <c r="AC58" i="4"/>
  <c r="AC57" i="4"/>
  <c r="AC56" i="4"/>
  <c r="AC55" i="4"/>
  <c r="AC54" i="4"/>
  <c r="AC53" i="4"/>
  <c r="AC52" i="4"/>
  <c r="AC51" i="4"/>
  <c r="AC50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AT23" i="4"/>
  <c r="AT22" i="4"/>
  <c r="AT21" i="4"/>
  <c r="AT20" i="4"/>
  <c r="AU22" i="4"/>
  <c r="AU21" i="4"/>
  <c r="AU20" i="4"/>
  <c r="D13" i="4"/>
  <c r="D9" i="4"/>
  <c r="X66" i="4"/>
  <c r="X65" i="4"/>
  <c r="X64" i="4"/>
  <c r="X63" i="4"/>
  <c r="X62" i="4"/>
  <c r="X61" i="4"/>
  <c r="X60" i="4"/>
  <c r="X59" i="4"/>
  <c r="X58" i="4"/>
  <c r="X57" i="4"/>
  <c r="X56" i="4"/>
  <c r="X55" i="4"/>
  <c r="X54" i="4"/>
  <c r="X53" i="4"/>
  <c r="X52" i="4"/>
  <c r="X51" i="4"/>
  <c r="X50" i="4"/>
  <c r="Y65" i="4"/>
  <c r="Y64" i="4"/>
  <c r="Y63" i="4"/>
  <c r="Y62" i="4"/>
  <c r="Y61" i="4"/>
  <c r="Y60" i="4"/>
  <c r="Y59" i="4"/>
  <c r="Y58" i="4"/>
  <c r="Y57" i="4"/>
  <c r="Y56" i="4"/>
  <c r="Y55" i="4"/>
  <c r="Y54" i="4"/>
  <c r="Y53" i="4"/>
  <c r="Y52" i="4"/>
  <c r="Y51" i="4"/>
  <c r="Y50" i="4"/>
  <c r="AL52" i="4"/>
  <c r="AL51" i="4"/>
  <c r="AL50" i="4"/>
  <c r="AN50" i="4"/>
  <c r="AW20" i="4"/>
  <c r="W44" i="4"/>
  <c r="Z44" i="4"/>
  <c r="K77" i="4"/>
  <c r="E78" i="4"/>
  <c r="P27" i="4"/>
  <c r="P26" i="4"/>
  <c r="P25" i="4"/>
  <c r="M75" i="4"/>
  <c r="O74" i="4"/>
  <c r="B26" i="4"/>
  <c r="AS24" i="4"/>
  <c r="AS23" i="4"/>
  <c r="AS22" i="4"/>
  <c r="AS21" i="4"/>
  <c r="AS20" i="4"/>
  <c r="E7" i="4"/>
  <c r="E11" i="4"/>
  <c r="Q24" i="4"/>
  <c r="R24" i="4"/>
  <c r="D10" i="6"/>
  <c r="B27" i="4"/>
  <c r="AR25" i="4"/>
  <c r="AR24" i="4"/>
  <c r="AR23" i="4"/>
  <c r="AR22" i="4"/>
  <c r="AR21" i="4"/>
  <c r="AR20" i="4"/>
  <c r="M74" i="4"/>
  <c r="O73" i="4"/>
  <c r="Q25" i="4"/>
  <c r="M73" i="4"/>
  <c r="O72" i="4"/>
  <c r="Q26" i="4"/>
  <c r="R26" i="4"/>
  <c r="R25" i="4"/>
  <c r="B28" i="4"/>
  <c r="AQ26" i="4"/>
  <c r="AQ25" i="4"/>
  <c r="AQ24" i="4"/>
  <c r="AQ23" i="4"/>
  <c r="AQ22" i="4"/>
  <c r="AQ21" i="4"/>
  <c r="AQ20" i="4"/>
  <c r="B29" i="4"/>
  <c r="P28" i="4"/>
  <c r="AP27" i="4"/>
  <c r="AP26" i="4"/>
  <c r="AP25" i="4"/>
  <c r="AP24" i="4"/>
  <c r="AP23" i="4"/>
  <c r="AP22" i="4"/>
  <c r="AP21" i="4"/>
  <c r="AP20" i="4"/>
  <c r="Q27" i="4"/>
  <c r="R27" i="4"/>
  <c r="M72" i="4"/>
  <c r="O71" i="4"/>
  <c r="M71" i="4"/>
  <c r="O70" i="4"/>
  <c r="P29" i="4"/>
  <c r="B30" i="4"/>
  <c r="AO28" i="4"/>
  <c r="AO27" i="4"/>
  <c r="AO26" i="4"/>
  <c r="AO25" i="4"/>
  <c r="AO24" i="4"/>
  <c r="AO23" i="4"/>
  <c r="AO22" i="4"/>
  <c r="AO21" i="4"/>
  <c r="AO20" i="4"/>
  <c r="Q28" i="4"/>
  <c r="R28" i="4"/>
  <c r="B31" i="4"/>
  <c r="P30" i="4"/>
  <c r="AN29" i="4"/>
  <c r="AN28" i="4"/>
  <c r="AN27" i="4"/>
  <c r="AN26" i="4"/>
  <c r="AN25" i="4"/>
  <c r="AN24" i="4"/>
  <c r="AN23" i="4"/>
  <c r="AN22" i="4"/>
  <c r="AN21" i="4"/>
  <c r="AN20" i="4"/>
  <c r="Q29" i="4"/>
  <c r="R29" i="4"/>
  <c r="M70" i="4"/>
  <c r="O69" i="4"/>
  <c r="M69" i="4"/>
  <c r="O68" i="4"/>
  <c r="Q30" i="4"/>
  <c r="R30" i="4"/>
  <c r="B32" i="4"/>
  <c r="P31" i="4"/>
  <c r="AM30" i="4"/>
  <c r="AM29" i="4"/>
  <c r="AM28" i="4"/>
  <c r="AM27" i="4"/>
  <c r="AM26" i="4"/>
  <c r="AM25" i="4"/>
  <c r="AM24" i="4"/>
  <c r="AM23" i="4"/>
  <c r="AM22" i="4"/>
  <c r="AM21" i="4"/>
  <c r="AM20" i="4"/>
  <c r="Q31" i="4"/>
  <c r="R31" i="4"/>
  <c r="M68" i="4"/>
  <c r="O67" i="4"/>
  <c r="P32" i="4"/>
  <c r="B33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Q32" i="4"/>
  <c r="R32" i="4"/>
  <c r="M67" i="4"/>
  <c r="O66" i="4"/>
  <c r="B34" i="4"/>
  <c r="P33" i="4"/>
  <c r="AK32" i="4"/>
  <c r="AK31" i="4"/>
  <c r="AK30" i="4"/>
  <c r="AK29" i="4"/>
  <c r="AK28" i="4"/>
  <c r="AK27" i="4"/>
  <c r="AK26" i="4"/>
  <c r="AK25" i="4"/>
  <c r="AK24" i="4"/>
  <c r="AK23" i="4"/>
  <c r="AK22" i="4"/>
  <c r="AK21" i="4"/>
  <c r="AK20" i="4"/>
  <c r="Q33" i="4"/>
  <c r="R33" i="4"/>
  <c r="P34" i="4"/>
  <c r="B35" i="4"/>
  <c r="AJ33" i="4"/>
  <c r="AJ32" i="4"/>
  <c r="AJ31" i="4"/>
  <c r="AJ30" i="4"/>
  <c r="AJ29" i="4"/>
  <c r="AJ28" i="4"/>
  <c r="AJ27" i="4"/>
  <c r="AJ26" i="4"/>
  <c r="AJ25" i="4"/>
  <c r="AJ24" i="4"/>
  <c r="AJ23" i="4"/>
  <c r="AJ22" i="4"/>
  <c r="AJ21" i="4"/>
  <c r="AJ20" i="4"/>
  <c r="M66" i="4"/>
  <c r="O65" i="4"/>
  <c r="M65" i="4"/>
  <c r="O64" i="4"/>
  <c r="B36" i="4"/>
  <c r="P35" i="4"/>
  <c r="AI34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Q34" i="4"/>
  <c r="R34" i="4"/>
  <c r="Q35" i="4"/>
  <c r="R35" i="4"/>
  <c r="B37" i="4"/>
  <c r="P36" i="4"/>
  <c r="AH35" i="4"/>
  <c r="AH34" i="4"/>
  <c r="AH33" i="4"/>
  <c r="AH32" i="4"/>
  <c r="AH31" i="4"/>
  <c r="AH30" i="4"/>
  <c r="AH29" i="4"/>
  <c r="AH28" i="4"/>
  <c r="AH27" i="4"/>
  <c r="AH26" i="4"/>
  <c r="AH25" i="4"/>
  <c r="AH24" i="4"/>
  <c r="AH23" i="4"/>
  <c r="AH22" i="4"/>
  <c r="AH21" i="4"/>
  <c r="AH20" i="4"/>
  <c r="M64" i="4"/>
  <c r="O63" i="4"/>
  <c r="M63" i="4"/>
  <c r="O62" i="4"/>
  <c r="Q36" i="4"/>
  <c r="R36" i="4"/>
  <c r="P37" i="4"/>
  <c r="B38" i="4"/>
  <c r="AG36" i="4"/>
  <c r="AG35" i="4"/>
  <c r="AG34" i="4"/>
  <c r="AG33" i="4"/>
  <c r="AG32" i="4"/>
  <c r="AG31" i="4"/>
  <c r="AG30" i="4"/>
  <c r="AG29" i="4"/>
  <c r="AG28" i="4"/>
  <c r="AG27" i="4"/>
  <c r="AG26" i="4"/>
  <c r="AG25" i="4"/>
  <c r="AG24" i="4"/>
  <c r="AG23" i="4"/>
  <c r="AG22" i="4"/>
  <c r="AG21" i="4"/>
  <c r="AG20" i="4"/>
  <c r="Q37" i="4"/>
  <c r="R37" i="4"/>
  <c r="B39" i="4"/>
  <c r="P38" i="4"/>
  <c r="AF37" i="4"/>
  <c r="AF36" i="4"/>
  <c r="AF35" i="4"/>
  <c r="AF34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M62" i="4"/>
  <c r="O61" i="4"/>
  <c r="Q38" i="4"/>
  <c r="R38" i="4"/>
  <c r="M61" i="4"/>
  <c r="O60" i="4"/>
  <c r="B40" i="4"/>
  <c r="P39" i="4"/>
  <c r="AE38" i="4"/>
  <c r="AE37" i="4"/>
  <c r="AE36" i="4"/>
  <c r="AE35" i="4"/>
  <c r="AE34" i="4"/>
  <c r="AE33" i="4"/>
  <c r="AE32" i="4"/>
  <c r="AE31" i="4"/>
  <c r="AE30" i="4"/>
  <c r="AE29" i="4"/>
  <c r="AE28" i="4"/>
  <c r="AE27" i="4"/>
  <c r="AE26" i="4"/>
  <c r="AE25" i="4"/>
  <c r="AE24" i="4"/>
  <c r="AE23" i="4"/>
  <c r="AE22" i="4"/>
  <c r="AE21" i="4"/>
  <c r="AE20" i="4"/>
  <c r="P40" i="4"/>
  <c r="B41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M60" i="4"/>
  <c r="O59" i="4"/>
  <c r="Q39" i="4"/>
  <c r="R39" i="4"/>
  <c r="M59" i="4"/>
  <c r="O58" i="4"/>
  <c r="B42" i="4"/>
  <c r="P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Q40" i="4"/>
  <c r="R40" i="4"/>
  <c r="Q41" i="4"/>
  <c r="R41" i="4"/>
  <c r="B43" i="4"/>
  <c r="P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M58" i="4"/>
  <c r="O57" i="4"/>
  <c r="Q42" i="4"/>
  <c r="R42" i="4"/>
  <c r="M57" i="4"/>
  <c r="O56" i="4"/>
  <c r="B44" i="4"/>
  <c r="P43" i="4"/>
  <c r="AA42" i="4"/>
  <c r="AA41" i="4"/>
  <c r="AA40" i="4"/>
  <c r="AA39" i="4"/>
  <c r="AA38" i="4"/>
  <c r="AA37" i="4"/>
  <c r="AA36" i="4"/>
  <c r="AA35" i="4"/>
  <c r="AA34" i="4"/>
  <c r="AA33" i="4"/>
  <c r="AA32" i="4"/>
  <c r="AA31" i="4"/>
  <c r="AA30" i="4"/>
  <c r="AA29" i="4"/>
  <c r="AA28" i="4"/>
  <c r="AA27" i="4"/>
  <c r="AA26" i="4"/>
  <c r="AA25" i="4"/>
  <c r="AA24" i="4"/>
  <c r="AA23" i="4"/>
  <c r="AA22" i="4"/>
  <c r="AA21" i="4"/>
  <c r="AA20" i="4"/>
  <c r="M56" i="4"/>
  <c r="O55" i="4"/>
  <c r="Q43" i="4"/>
  <c r="R43" i="4"/>
  <c r="P44" i="4"/>
  <c r="B45" i="4"/>
  <c r="Z43" i="4"/>
  <c r="Z42" i="4"/>
  <c r="Z41" i="4"/>
  <c r="Z40" i="4"/>
  <c r="Z39" i="4"/>
  <c r="Z38" i="4"/>
  <c r="Z37" i="4"/>
  <c r="Z36" i="4"/>
  <c r="Z35" i="4"/>
  <c r="Z34" i="4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P45" i="4"/>
  <c r="B46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M55" i="4"/>
  <c r="O54" i="4"/>
  <c r="Q44" i="4"/>
  <c r="R44" i="4"/>
  <c r="M54" i="4"/>
  <c r="O53" i="4"/>
  <c r="P46" i="4"/>
  <c r="D10" i="4"/>
  <c r="X45" i="4"/>
  <c r="Q45" i="4"/>
  <c r="R45" i="4"/>
  <c r="Q46" i="4"/>
  <c r="Q47" i="4"/>
  <c r="P47" i="4"/>
  <c r="D17" i="4"/>
  <c r="M53" i="4"/>
  <c r="O52" i="4"/>
  <c r="V45" i="4"/>
  <c r="X44" i="4"/>
  <c r="R46" i="4"/>
  <c r="V44" i="4"/>
  <c r="X43" i="4"/>
  <c r="R47" i="4"/>
  <c r="E5" i="4"/>
  <c r="M52" i="4"/>
  <c r="O51" i="4"/>
  <c r="M51" i="4"/>
  <c r="O50" i="4"/>
  <c r="M50" i="4"/>
  <c r="V43" i="4"/>
  <c r="X42" i="4"/>
  <c r="V42" i="4"/>
  <c r="X41" i="4"/>
  <c r="V41" i="4"/>
  <c r="X40" i="4"/>
  <c r="V40" i="4"/>
  <c r="X39" i="4"/>
  <c r="V39" i="4"/>
  <c r="X38" i="4"/>
  <c r="V38" i="4"/>
  <c r="X37" i="4"/>
  <c r="V37" i="4"/>
  <c r="X36" i="4"/>
  <c r="E47" i="3"/>
  <c r="F47" i="3"/>
  <c r="G47" i="3"/>
  <c r="H47" i="3"/>
  <c r="I47" i="3"/>
  <c r="J47" i="3"/>
  <c r="BA24" i="3"/>
  <c r="BB24" i="3"/>
  <c r="BC24" i="3"/>
  <c r="BD24" i="3"/>
  <c r="BE24" i="3"/>
  <c r="BA25" i="3"/>
  <c r="BB25" i="3"/>
  <c r="BC25" i="3"/>
  <c r="BD25" i="3"/>
  <c r="BE25" i="3"/>
  <c r="BA26" i="3"/>
  <c r="BB26" i="3"/>
  <c r="BC26" i="3"/>
  <c r="BD26" i="3"/>
  <c r="BE26" i="3"/>
  <c r="BA27" i="3"/>
  <c r="BB27" i="3"/>
  <c r="BC27" i="3"/>
  <c r="BD27" i="3"/>
  <c r="BE27" i="3"/>
  <c r="BA28" i="3"/>
  <c r="BB28" i="3"/>
  <c r="BC28" i="3"/>
  <c r="BD28" i="3"/>
  <c r="BE28" i="3"/>
  <c r="BA29" i="3"/>
  <c r="BB29" i="3"/>
  <c r="BC29" i="3"/>
  <c r="BD29" i="3"/>
  <c r="BE29" i="3"/>
  <c r="BA30" i="3"/>
  <c r="BB30" i="3"/>
  <c r="BC30" i="3"/>
  <c r="BD30" i="3"/>
  <c r="BE30" i="3"/>
  <c r="BA31" i="3"/>
  <c r="BB31" i="3"/>
  <c r="BC31" i="3"/>
  <c r="BD31" i="3"/>
  <c r="BE31" i="3"/>
  <c r="BA32" i="3"/>
  <c r="BB32" i="3"/>
  <c r="BC32" i="3"/>
  <c r="BD32" i="3"/>
  <c r="BE32" i="3"/>
  <c r="BA33" i="3"/>
  <c r="BB33" i="3"/>
  <c r="BC33" i="3"/>
  <c r="BD33" i="3"/>
  <c r="BE33" i="3"/>
  <c r="BA34" i="3"/>
  <c r="BB34" i="3"/>
  <c r="BC34" i="3"/>
  <c r="BD34" i="3"/>
  <c r="BE34" i="3"/>
  <c r="BA35" i="3"/>
  <c r="BB35" i="3"/>
  <c r="BC35" i="3"/>
  <c r="BD35" i="3"/>
  <c r="BE35" i="3"/>
  <c r="BA36" i="3"/>
  <c r="BB36" i="3"/>
  <c r="BC36" i="3"/>
  <c r="BD36" i="3"/>
  <c r="BE36" i="3"/>
  <c r="BA37" i="3"/>
  <c r="BB37" i="3"/>
  <c r="BC37" i="3"/>
  <c r="BD37" i="3"/>
  <c r="BE37" i="3"/>
  <c r="BA38" i="3"/>
  <c r="BB38" i="3"/>
  <c r="BC38" i="3"/>
  <c r="BD38" i="3"/>
  <c r="BE38" i="3"/>
  <c r="BA39" i="3"/>
  <c r="BB39" i="3"/>
  <c r="BC39" i="3"/>
  <c r="BD39" i="3"/>
  <c r="BE39" i="3"/>
  <c r="BA40" i="3"/>
  <c r="BB40" i="3"/>
  <c r="BC40" i="3"/>
  <c r="BD40" i="3"/>
  <c r="BE40" i="3"/>
  <c r="BA41" i="3"/>
  <c r="BB41" i="3"/>
  <c r="BC41" i="3"/>
  <c r="BD41" i="3"/>
  <c r="BE41" i="3"/>
  <c r="BA42" i="3"/>
  <c r="BB42" i="3"/>
  <c r="BC42" i="3"/>
  <c r="BD42" i="3"/>
  <c r="BE42" i="3"/>
  <c r="BA43" i="3"/>
  <c r="BB43" i="3"/>
  <c r="BC43" i="3"/>
  <c r="BD43" i="3"/>
  <c r="BE43" i="3"/>
  <c r="BA44" i="3"/>
  <c r="BB44" i="3"/>
  <c r="BC44" i="3"/>
  <c r="BD44" i="3"/>
  <c r="BE44" i="3"/>
  <c r="BA45" i="3"/>
  <c r="BB45" i="3"/>
  <c r="BC45" i="3"/>
  <c r="BD45" i="3"/>
  <c r="BE45" i="3"/>
  <c r="BA46" i="3"/>
  <c r="BB46" i="3"/>
  <c r="BC46" i="3"/>
  <c r="BD46" i="3"/>
  <c r="BE46" i="3"/>
  <c r="AZ25" i="3"/>
  <c r="AZ26" i="3"/>
  <c r="AZ27" i="3"/>
  <c r="AZ28" i="3"/>
  <c r="AZ29" i="3"/>
  <c r="AZ30" i="3"/>
  <c r="AZ31" i="3"/>
  <c r="AZ32" i="3"/>
  <c r="AZ33" i="3"/>
  <c r="AZ34" i="3"/>
  <c r="AZ35" i="3"/>
  <c r="AZ36" i="3"/>
  <c r="AZ37" i="3"/>
  <c r="AZ38" i="3"/>
  <c r="AZ39" i="3"/>
  <c r="AZ40" i="3"/>
  <c r="AZ41" i="3"/>
  <c r="AZ42" i="3"/>
  <c r="AZ43" i="3"/>
  <c r="AZ44" i="3"/>
  <c r="AZ45" i="3"/>
  <c r="AZ46" i="3"/>
  <c r="AZ24" i="3"/>
  <c r="V36" i="4"/>
  <c r="X35" i="4"/>
  <c r="D105" i="3"/>
  <c r="E105" i="3"/>
  <c r="D106" i="3"/>
  <c r="E106" i="3"/>
  <c r="D107" i="3"/>
  <c r="E107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D95" i="3"/>
  <c r="E95" i="3"/>
  <c r="D96" i="3"/>
  <c r="E96" i="3"/>
  <c r="D97" i="3"/>
  <c r="E97" i="3"/>
  <c r="D98" i="3"/>
  <c r="E98" i="3"/>
  <c r="D99" i="3"/>
  <c r="E99" i="3"/>
  <c r="D100" i="3"/>
  <c r="E100" i="3"/>
  <c r="D101" i="3"/>
  <c r="E101" i="3"/>
  <c r="D102" i="3"/>
  <c r="E102" i="3"/>
  <c r="D103" i="3"/>
  <c r="E103" i="3"/>
  <c r="D104" i="3"/>
  <c r="E104" i="3"/>
  <c r="D83" i="3"/>
  <c r="E83" i="3"/>
  <c r="E82" i="3"/>
  <c r="D82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51" i="3"/>
  <c r="E77" i="3"/>
  <c r="F77" i="3"/>
  <c r="G77" i="3"/>
  <c r="H77" i="3"/>
  <c r="I77" i="3"/>
  <c r="J77" i="3"/>
  <c r="D77" i="3"/>
  <c r="E108" i="3"/>
  <c r="V35" i="4"/>
  <c r="X34" i="4"/>
  <c r="J78" i="3"/>
  <c r="K77" i="3"/>
  <c r="F78" i="3"/>
  <c r="G78" i="3"/>
  <c r="H78" i="3"/>
  <c r="I78" i="3"/>
  <c r="E78" i="3"/>
  <c r="V34" i="4"/>
  <c r="X33" i="4"/>
  <c r="N50" i="3"/>
  <c r="N51" i="3"/>
  <c r="N53" i="3"/>
  <c r="N54" i="3"/>
  <c r="N61" i="3"/>
  <c r="N69" i="3"/>
  <c r="N52" i="3"/>
  <c r="N56" i="3"/>
  <c r="N57" i="3"/>
  <c r="N58" i="3"/>
  <c r="N59" i="3"/>
  <c r="N60" i="3"/>
  <c r="N62" i="3"/>
  <c r="N63" i="3"/>
  <c r="N64" i="3"/>
  <c r="N65" i="3"/>
  <c r="N66" i="3"/>
  <c r="N67" i="3"/>
  <c r="N68" i="3"/>
  <c r="N70" i="3"/>
  <c r="N71" i="3"/>
  <c r="N72" i="3"/>
  <c r="N73" i="3"/>
  <c r="N74" i="3"/>
  <c r="N75" i="3"/>
  <c r="P75" i="3"/>
  <c r="N76" i="3"/>
  <c r="O76" i="3"/>
  <c r="V33" i="4"/>
  <c r="X32" i="4"/>
  <c r="N55" i="3"/>
  <c r="Q74" i="3"/>
  <c r="R73" i="3"/>
  <c r="S72" i="3"/>
  <c r="T71" i="3"/>
  <c r="U70" i="3"/>
  <c r="V69" i="3"/>
  <c r="W68" i="3"/>
  <c r="X67" i="3"/>
  <c r="Y66" i="3"/>
  <c r="Z65" i="3"/>
  <c r="AA64" i="3"/>
  <c r="AB63" i="3"/>
  <c r="AC62" i="3"/>
  <c r="AD61" i="3"/>
  <c r="AE60" i="3"/>
  <c r="AF59" i="3"/>
  <c r="AG58" i="3"/>
  <c r="AH57" i="3"/>
  <c r="AI56" i="3"/>
  <c r="AJ55" i="3"/>
  <c r="AK54" i="3"/>
  <c r="AL53" i="3"/>
  <c r="AM52" i="3"/>
  <c r="AN51" i="3"/>
  <c r="B51" i="3"/>
  <c r="B52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D47" i="3"/>
  <c r="D108" i="3"/>
  <c r="O46" i="3"/>
  <c r="X46" i="3"/>
  <c r="V46" i="3"/>
  <c r="O45" i="3"/>
  <c r="W45" i="3"/>
  <c r="Y45" i="3"/>
  <c r="O44" i="3"/>
  <c r="W44" i="3"/>
  <c r="Z44" i="3"/>
  <c r="O43" i="3"/>
  <c r="W43" i="3"/>
  <c r="AA43" i="3"/>
  <c r="O42" i="3"/>
  <c r="W42" i="3"/>
  <c r="AB42" i="3"/>
  <c r="O41" i="3"/>
  <c r="W41" i="3"/>
  <c r="AC41" i="3"/>
  <c r="O40" i="3"/>
  <c r="W40" i="3"/>
  <c r="AD40" i="3"/>
  <c r="O39" i="3"/>
  <c r="W39" i="3"/>
  <c r="AE39" i="3"/>
  <c r="O38" i="3"/>
  <c r="W38" i="3"/>
  <c r="AF38" i="3"/>
  <c r="O37" i="3"/>
  <c r="O36" i="3"/>
  <c r="W36" i="3"/>
  <c r="AH36" i="3"/>
  <c r="O35" i="3"/>
  <c r="W35" i="3"/>
  <c r="AI35" i="3"/>
  <c r="O34" i="3"/>
  <c r="O33" i="3"/>
  <c r="W33" i="3"/>
  <c r="AK33" i="3"/>
  <c r="O32" i="3"/>
  <c r="W32" i="3"/>
  <c r="AL32" i="3"/>
  <c r="O31" i="3"/>
  <c r="W31" i="3"/>
  <c r="AM31" i="3"/>
  <c r="O30" i="3"/>
  <c r="W30" i="3"/>
  <c r="AN30" i="3"/>
  <c r="O29" i="3"/>
  <c r="O28" i="3"/>
  <c r="W28" i="3"/>
  <c r="AP28" i="3"/>
  <c r="O27" i="3"/>
  <c r="W27" i="3"/>
  <c r="AQ27" i="3"/>
  <c r="O26" i="3"/>
  <c r="O25" i="3"/>
  <c r="W25" i="3"/>
  <c r="AS25" i="3"/>
  <c r="O24" i="3"/>
  <c r="W24" i="3"/>
  <c r="AT24" i="3"/>
  <c r="O23" i="3"/>
  <c r="W23" i="3"/>
  <c r="AU23" i="3"/>
  <c r="O22" i="3"/>
  <c r="W22" i="3"/>
  <c r="AV22" i="3"/>
  <c r="O21" i="3"/>
  <c r="W21" i="3"/>
  <c r="AW21" i="3"/>
  <c r="B21" i="3"/>
  <c r="P21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D6" i="3"/>
  <c r="D8" i="3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H28" i="1"/>
  <c r="H41" i="1"/>
  <c r="G28" i="1"/>
  <c r="G41" i="1"/>
  <c r="F28" i="1"/>
  <c r="F41" i="1"/>
  <c r="E28" i="1"/>
  <c r="H27" i="1"/>
  <c r="H40" i="1"/>
  <c r="G27" i="1"/>
  <c r="G40" i="1"/>
  <c r="F27" i="1"/>
  <c r="F40" i="1"/>
  <c r="E27" i="1"/>
  <c r="H26" i="1"/>
  <c r="H39" i="1"/>
  <c r="G26" i="1"/>
  <c r="G39" i="1"/>
  <c r="F26" i="1"/>
  <c r="F39" i="1"/>
  <c r="E26" i="1"/>
  <c r="H25" i="1"/>
  <c r="H38" i="1"/>
  <c r="G25" i="1"/>
  <c r="G38" i="1"/>
  <c r="F25" i="1"/>
  <c r="F38" i="1"/>
  <c r="E25" i="1"/>
  <c r="H24" i="1"/>
  <c r="H37" i="1"/>
  <c r="G24" i="1"/>
  <c r="G37" i="1"/>
  <c r="F24" i="1"/>
  <c r="F37" i="1"/>
  <c r="E24" i="1"/>
  <c r="H23" i="1"/>
  <c r="H36" i="1"/>
  <c r="G23" i="1"/>
  <c r="G36" i="1"/>
  <c r="F23" i="1"/>
  <c r="F36" i="1"/>
  <c r="E23" i="1"/>
  <c r="H22" i="1"/>
  <c r="H35" i="1"/>
  <c r="G22" i="1"/>
  <c r="G35" i="1"/>
  <c r="F22" i="1"/>
  <c r="F35" i="1"/>
  <c r="E22" i="1"/>
  <c r="H21" i="1"/>
  <c r="H34" i="1"/>
  <c r="G21" i="1"/>
  <c r="G34" i="1"/>
  <c r="F21" i="1"/>
  <c r="F34" i="1"/>
  <c r="E21" i="1"/>
  <c r="E20" i="1"/>
  <c r="E19" i="1"/>
  <c r="H13" i="1"/>
  <c r="H10" i="1"/>
  <c r="C11" i="1"/>
  <c r="G6" i="1"/>
  <c r="G5" i="1"/>
  <c r="F2" i="1"/>
  <c r="F3" i="1"/>
  <c r="G7" i="1"/>
  <c r="G8" i="1"/>
  <c r="G19" i="1"/>
  <c r="V32" i="4"/>
  <c r="X31" i="4"/>
  <c r="J34" i="1"/>
  <c r="K35" i="1"/>
  <c r="K36" i="1"/>
  <c r="K37" i="1"/>
  <c r="K38" i="1"/>
  <c r="K39" i="1"/>
  <c r="K40" i="1"/>
  <c r="K41" i="1"/>
  <c r="J37" i="1"/>
  <c r="J40" i="1"/>
  <c r="L34" i="1"/>
  <c r="L35" i="1"/>
  <c r="L36" i="1"/>
  <c r="L38" i="1"/>
  <c r="L39" i="1"/>
  <c r="L40" i="1"/>
  <c r="L41" i="1"/>
  <c r="J36" i="1"/>
  <c r="J38" i="1"/>
  <c r="J41" i="1"/>
  <c r="H12" i="1"/>
  <c r="H14" i="1"/>
  <c r="G20" i="1"/>
  <c r="F20" i="1"/>
  <c r="F19" i="1"/>
  <c r="H11" i="1"/>
  <c r="K34" i="1"/>
  <c r="J35" i="1"/>
  <c r="L37" i="1"/>
  <c r="J39" i="1"/>
  <c r="D12" i="3"/>
  <c r="E11" i="3"/>
  <c r="W46" i="3"/>
  <c r="B22" i="3"/>
  <c r="P22" i="3"/>
  <c r="O47" i="3"/>
  <c r="D5" i="3"/>
  <c r="W29" i="3"/>
  <c r="AO29" i="3"/>
  <c r="W34" i="3"/>
  <c r="AJ34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AM51" i="3"/>
  <c r="AM50" i="3"/>
  <c r="W26" i="3"/>
  <c r="AR26" i="3"/>
  <c r="W37" i="3"/>
  <c r="AG37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N50" i="3"/>
  <c r="Z64" i="3"/>
  <c r="Z63" i="3"/>
  <c r="Z62" i="3"/>
  <c r="Z61" i="3"/>
  <c r="Z60" i="3"/>
  <c r="Z59" i="3"/>
  <c r="Z58" i="3"/>
  <c r="Z57" i="3"/>
  <c r="Z56" i="3"/>
  <c r="Z55" i="3"/>
  <c r="Z54" i="3"/>
  <c r="Z53" i="3"/>
  <c r="Z52" i="3"/>
  <c r="Z51" i="3"/>
  <c r="Z50" i="3"/>
  <c r="V68" i="3"/>
  <c r="V67" i="3"/>
  <c r="V66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AH56" i="3"/>
  <c r="AH55" i="3"/>
  <c r="AH54" i="3"/>
  <c r="AH53" i="3"/>
  <c r="AH52" i="3"/>
  <c r="AH51" i="3"/>
  <c r="AH50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D9" i="3"/>
  <c r="AW20" i="3"/>
  <c r="AF58" i="3"/>
  <c r="AF57" i="3"/>
  <c r="AF56" i="3"/>
  <c r="AF55" i="3"/>
  <c r="AF54" i="3"/>
  <c r="AF53" i="3"/>
  <c r="AF52" i="3"/>
  <c r="AF51" i="3"/>
  <c r="AF50" i="3"/>
  <c r="AA63" i="3"/>
  <c r="AA62" i="3"/>
  <c r="AA61" i="3"/>
  <c r="AA60" i="3"/>
  <c r="AA59" i="3"/>
  <c r="AA58" i="3"/>
  <c r="AA57" i="3"/>
  <c r="AA56" i="3"/>
  <c r="AA55" i="3"/>
  <c r="AA54" i="3"/>
  <c r="AA53" i="3"/>
  <c r="AA52" i="3"/>
  <c r="AA51" i="3"/>
  <c r="AA50" i="3"/>
  <c r="W67" i="3"/>
  <c r="W66" i="3"/>
  <c r="W65" i="3"/>
  <c r="W64" i="3"/>
  <c r="W63" i="3"/>
  <c r="W62" i="3"/>
  <c r="W61" i="3"/>
  <c r="W60" i="3"/>
  <c r="W59" i="3"/>
  <c r="W58" i="3"/>
  <c r="W57" i="3"/>
  <c r="W56" i="3"/>
  <c r="W55" i="3"/>
  <c r="W54" i="3"/>
  <c r="W53" i="3"/>
  <c r="W52" i="3"/>
  <c r="W51" i="3"/>
  <c r="W50" i="3"/>
  <c r="D13" i="3"/>
  <c r="Q21" i="3"/>
  <c r="R21" i="3"/>
  <c r="AK53" i="3"/>
  <c r="AK52" i="3"/>
  <c r="AK51" i="3"/>
  <c r="AK50" i="3"/>
  <c r="AG57" i="3"/>
  <c r="AG56" i="3"/>
  <c r="AG55" i="3"/>
  <c r="AG54" i="3"/>
  <c r="AG53" i="3"/>
  <c r="AG52" i="3"/>
  <c r="AG51" i="3"/>
  <c r="AG50" i="3"/>
  <c r="T70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D15" i="3"/>
  <c r="D14" i="3"/>
  <c r="M76" i="3"/>
  <c r="H15" i="1"/>
  <c r="G32" i="1"/>
  <c r="V31" i="4"/>
  <c r="X30" i="4"/>
  <c r="F32" i="1"/>
  <c r="F33" i="1"/>
  <c r="G33" i="1"/>
  <c r="E7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V21" i="3"/>
  <c r="AV20" i="3"/>
  <c r="AD60" i="3"/>
  <c r="AD59" i="3"/>
  <c r="AD58" i="3"/>
  <c r="AD57" i="3"/>
  <c r="AD56" i="3"/>
  <c r="AD55" i="3"/>
  <c r="AD54" i="3"/>
  <c r="AD53" i="3"/>
  <c r="AD52" i="3"/>
  <c r="AD51" i="3"/>
  <c r="AD50" i="3"/>
  <c r="AI55" i="3"/>
  <c r="AI54" i="3"/>
  <c r="AI53" i="3"/>
  <c r="AI52" i="3"/>
  <c r="AI51" i="3"/>
  <c r="AI50" i="3"/>
  <c r="X66" i="3"/>
  <c r="X65" i="3"/>
  <c r="X64" i="3"/>
  <c r="X63" i="3"/>
  <c r="X62" i="3"/>
  <c r="X61" i="3"/>
  <c r="X60" i="3"/>
  <c r="X59" i="3"/>
  <c r="X58" i="3"/>
  <c r="X57" i="3"/>
  <c r="X56" i="3"/>
  <c r="X55" i="3"/>
  <c r="X54" i="3"/>
  <c r="X53" i="3"/>
  <c r="X52" i="3"/>
  <c r="X51" i="3"/>
  <c r="X50" i="3"/>
  <c r="AL52" i="3"/>
  <c r="AL51" i="3"/>
  <c r="AL50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AJ54" i="3"/>
  <c r="AJ53" i="3"/>
  <c r="AJ52" i="3"/>
  <c r="AJ51" i="3"/>
  <c r="AJ50" i="3"/>
  <c r="U69" i="3"/>
  <c r="U68" i="3"/>
  <c r="U67" i="3"/>
  <c r="U66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U51" i="3"/>
  <c r="U50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AE59" i="3"/>
  <c r="AE58" i="3"/>
  <c r="AE57" i="3"/>
  <c r="AE56" i="3"/>
  <c r="AE55" i="3"/>
  <c r="AE54" i="3"/>
  <c r="AE53" i="3"/>
  <c r="AE52" i="3"/>
  <c r="AE51" i="3"/>
  <c r="AE50" i="3"/>
  <c r="B76" i="3"/>
  <c r="O75" i="3"/>
  <c r="O74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B23" i="3"/>
  <c r="P23" i="3"/>
  <c r="Q22" i="3"/>
  <c r="R22" i="3"/>
  <c r="H19" i="1"/>
  <c r="H20" i="1"/>
  <c r="K32" i="1"/>
  <c r="V30" i="4"/>
  <c r="X29" i="4"/>
  <c r="J32" i="1"/>
  <c r="J33" i="1"/>
  <c r="K33" i="1"/>
  <c r="M75" i="3"/>
  <c r="B24" i="3"/>
  <c r="P24" i="3"/>
  <c r="AU22" i="3"/>
  <c r="AU21" i="3"/>
  <c r="AU20" i="3"/>
  <c r="O73" i="3"/>
  <c r="M74" i="3"/>
  <c r="H32" i="1"/>
  <c r="H33" i="1"/>
  <c r="Q32" i="1"/>
  <c r="S41" i="1"/>
  <c r="R36" i="1"/>
  <c r="Q35" i="1"/>
  <c r="V29" i="4"/>
  <c r="X28" i="4"/>
  <c r="Q38" i="1"/>
  <c r="R33" i="1"/>
  <c r="Q33" i="1"/>
  <c r="Q39" i="1"/>
  <c r="R34" i="1"/>
  <c r="R39" i="1"/>
  <c r="R37" i="1"/>
  <c r="R40" i="1"/>
  <c r="Q40" i="1"/>
  <c r="Q34" i="1"/>
  <c r="R35" i="1"/>
  <c r="R41" i="1"/>
  <c r="R38" i="1"/>
  <c r="S33" i="1"/>
  <c r="T33" i="1"/>
  <c r="T32" i="1"/>
  <c r="T41" i="1"/>
  <c r="T37" i="1"/>
  <c r="S34" i="1"/>
  <c r="T38" i="1"/>
  <c r="S37" i="1"/>
  <c r="T34" i="1"/>
  <c r="R32" i="1"/>
  <c r="Q41" i="1"/>
  <c r="Q37" i="1"/>
  <c r="Q36" i="1"/>
  <c r="T36" i="1"/>
  <c r="T39" i="1"/>
  <c r="S40" i="1"/>
  <c r="S38" i="1"/>
  <c r="S36" i="1"/>
  <c r="T40" i="1"/>
  <c r="S35" i="1"/>
  <c r="S32" i="1"/>
  <c r="T35" i="1"/>
  <c r="S39" i="1"/>
  <c r="Q23" i="3"/>
  <c r="R23" i="3"/>
  <c r="B25" i="3"/>
  <c r="P25" i="3"/>
  <c r="AT23" i="3"/>
  <c r="AT22" i="3"/>
  <c r="AT21" i="3"/>
  <c r="AT20" i="3"/>
  <c r="O72" i="3"/>
  <c r="M73" i="3"/>
  <c r="D9" i="6"/>
  <c r="H9" i="6"/>
  <c r="D8" i="6"/>
  <c r="H8" i="6"/>
  <c r="L33" i="1"/>
  <c r="L32" i="1"/>
  <c r="V28" i="4"/>
  <c r="X27" i="4"/>
  <c r="B26" i="3"/>
  <c r="P26" i="3"/>
  <c r="Q25" i="3"/>
  <c r="R25" i="3"/>
  <c r="AS24" i="3"/>
  <c r="AS23" i="3"/>
  <c r="AS22" i="3"/>
  <c r="AS21" i="3"/>
  <c r="AS20" i="3"/>
  <c r="Q24" i="3"/>
  <c r="M72" i="3"/>
  <c r="O71" i="3"/>
  <c r="V32" i="1"/>
  <c r="V37" i="1"/>
  <c r="U40" i="1"/>
  <c r="U39" i="1"/>
  <c r="U34" i="1"/>
  <c r="V36" i="1"/>
  <c r="U33" i="1"/>
  <c r="V35" i="1"/>
  <c r="U37" i="1"/>
  <c r="V38" i="1"/>
  <c r="V39" i="1"/>
  <c r="U41" i="1"/>
  <c r="V41" i="1"/>
  <c r="V34" i="1"/>
  <c r="V33" i="1"/>
  <c r="U35" i="1"/>
  <c r="V40" i="1"/>
  <c r="U36" i="1"/>
  <c r="U32" i="1"/>
  <c r="U38" i="1"/>
  <c r="V27" i="4"/>
  <c r="X26" i="4"/>
  <c r="AR25" i="3"/>
  <c r="AR24" i="3"/>
  <c r="AR23" i="3"/>
  <c r="AR22" i="3"/>
  <c r="AR21" i="3"/>
  <c r="AR20" i="3"/>
  <c r="B27" i="3"/>
  <c r="P27" i="3"/>
  <c r="R24" i="3"/>
  <c r="M71" i="3"/>
  <c r="O70" i="3"/>
  <c r="V26" i="4"/>
  <c r="X25" i="4"/>
  <c r="Q26" i="3"/>
  <c r="R26" i="3"/>
  <c r="B28" i="3"/>
  <c r="P28" i="3"/>
  <c r="AQ26" i="3"/>
  <c r="AQ25" i="3"/>
  <c r="AQ24" i="3"/>
  <c r="AQ23" i="3"/>
  <c r="AQ22" i="3"/>
  <c r="AQ21" i="3"/>
  <c r="AQ20" i="3"/>
  <c r="M70" i="3"/>
  <c r="O69" i="3"/>
  <c r="V25" i="4"/>
  <c r="X24" i="4"/>
  <c r="B29" i="3"/>
  <c r="P29" i="3"/>
  <c r="AP27" i="3"/>
  <c r="AP26" i="3"/>
  <c r="AP25" i="3"/>
  <c r="AP24" i="3"/>
  <c r="AP23" i="3"/>
  <c r="AP22" i="3"/>
  <c r="AP21" i="3"/>
  <c r="AP20" i="3"/>
  <c r="Q27" i="3"/>
  <c r="R27" i="3"/>
  <c r="M69" i="3"/>
  <c r="O68" i="3"/>
  <c r="V24" i="4"/>
  <c r="X23" i="4"/>
  <c r="Q28" i="3"/>
  <c r="R28" i="3"/>
  <c r="B30" i="3"/>
  <c r="P30" i="3"/>
  <c r="AO28" i="3"/>
  <c r="AO27" i="3"/>
  <c r="AO26" i="3"/>
  <c r="AO25" i="3"/>
  <c r="AO24" i="3"/>
  <c r="AO23" i="3"/>
  <c r="AO22" i="3"/>
  <c r="AO21" i="3"/>
  <c r="AO20" i="3"/>
  <c r="M68" i="3"/>
  <c r="O67" i="3"/>
  <c r="V23" i="4"/>
  <c r="X22" i="4"/>
  <c r="B31" i="3"/>
  <c r="P31" i="3"/>
  <c r="AN29" i="3"/>
  <c r="AN28" i="3"/>
  <c r="AN27" i="3"/>
  <c r="AN26" i="3"/>
  <c r="AN25" i="3"/>
  <c r="AN24" i="3"/>
  <c r="AN23" i="3"/>
  <c r="AN22" i="3"/>
  <c r="AN21" i="3"/>
  <c r="AN20" i="3"/>
  <c r="Q29" i="3"/>
  <c r="R29" i="3"/>
  <c r="O66" i="3"/>
  <c r="M67" i="3"/>
  <c r="V22" i="4"/>
  <c r="X21" i="4"/>
  <c r="Q31" i="3"/>
  <c r="R31" i="3"/>
  <c r="B32" i="3"/>
  <c r="P32" i="3"/>
  <c r="AM30" i="3"/>
  <c r="AM29" i="3"/>
  <c r="AM28" i="3"/>
  <c r="AM27" i="3"/>
  <c r="AM26" i="3"/>
  <c r="AM25" i="3"/>
  <c r="AM24" i="3"/>
  <c r="AM23" i="3"/>
  <c r="AM22" i="3"/>
  <c r="AM21" i="3"/>
  <c r="AM20" i="3"/>
  <c r="Q30" i="3"/>
  <c r="R30" i="3"/>
  <c r="O65" i="3"/>
  <c r="M66" i="3"/>
  <c r="V21" i="4"/>
  <c r="X20" i="4"/>
  <c r="V20" i="4"/>
  <c r="B33" i="3"/>
  <c r="P33" i="3"/>
  <c r="AL31" i="3"/>
  <c r="AL30" i="3"/>
  <c r="AL29" i="3"/>
  <c r="AL28" i="3"/>
  <c r="AL27" i="3"/>
  <c r="AL26" i="3"/>
  <c r="AL25" i="3"/>
  <c r="AL24" i="3"/>
  <c r="AL23" i="3"/>
  <c r="AL22" i="3"/>
  <c r="AL21" i="3"/>
  <c r="AL20" i="3"/>
  <c r="O64" i="3"/>
  <c r="M65" i="3"/>
  <c r="B34" i="3"/>
  <c r="P34" i="3"/>
  <c r="Q33" i="3"/>
  <c r="R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Q32" i="3"/>
  <c r="R32" i="3"/>
  <c r="O63" i="3"/>
  <c r="M64" i="3"/>
  <c r="B35" i="3"/>
  <c r="P35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M63" i="3"/>
  <c r="O62" i="3"/>
  <c r="Q34" i="3"/>
  <c r="R34" i="3"/>
  <c r="B36" i="3"/>
  <c r="P36" i="3"/>
  <c r="AI34" i="3"/>
  <c r="AI33" i="3"/>
  <c r="AI32" i="3"/>
  <c r="AI31" i="3"/>
  <c r="AI30" i="3"/>
  <c r="AI29" i="3"/>
  <c r="AI28" i="3"/>
  <c r="AI27" i="3"/>
  <c r="AI26" i="3"/>
  <c r="AI25" i="3"/>
  <c r="AI24" i="3"/>
  <c r="AI23" i="3"/>
  <c r="AI22" i="3"/>
  <c r="AI21" i="3"/>
  <c r="AI20" i="3"/>
  <c r="M62" i="3"/>
  <c r="O61" i="3"/>
  <c r="Q35" i="3"/>
  <c r="R35" i="3"/>
  <c r="B37" i="3"/>
  <c r="P37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M61" i="3"/>
  <c r="O60" i="3"/>
  <c r="Q36" i="3"/>
  <c r="R36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B38" i="3"/>
  <c r="P38" i="3"/>
  <c r="M60" i="3"/>
  <c r="O59" i="3"/>
  <c r="Q37" i="3"/>
  <c r="R37" i="3"/>
  <c r="B39" i="3"/>
  <c r="P39" i="3"/>
  <c r="Q38" i="3"/>
  <c r="R38" i="3"/>
  <c r="AF37" i="3"/>
  <c r="AF36" i="3"/>
  <c r="AF35" i="3"/>
  <c r="AF34" i="3"/>
  <c r="AF33" i="3"/>
  <c r="AF32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O58" i="3"/>
  <c r="M59" i="3"/>
  <c r="B40" i="3"/>
  <c r="P40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O57" i="3"/>
  <c r="M58" i="3"/>
  <c r="Q39" i="3"/>
  <c r="R39" i="3"/>
  <c r="B41" i="3"/>
  <c r="P41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O56" i="3"/>
  <c r="M57" i="3"/>
  <c r="Q40" i="3"/>
  <c r="R40" i="3"/>
  <c r="B42" i="3"/>
  <c r="P42" i="3"/>
  <c r="Q41" i="3"/>
  <c r="R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M56" i="3"/>
  <c r="O55" i="3"/>
  <c r="B43" i="3"/>
  <c r="P43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M55" i="3"/>
  <c r="O54" i="3"/>
  <c r="Q42" i="3"/>
  <c r="R42" i="3"/>
  <c r="B44" i="3"/>
  <c r="P44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M54" i="3"/>
  <c r="O53" i="3"/>
  <c r="B45" i="3"/>
  <c r="P45" i="3"/>
  <c r="Q44" i="3"/>
  <c r="R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Q43" i="3"/>
  <c r="R43" i="3"/>
  <c r="O52" i="3"/>
  <c r="M53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B46" i="3"/>
  <c r="P46" i="3"/>
  <c r="M52" i="3"/>
  <c r="O51" i="3"/>
  <c r="D10" i="3"/>
  <c r="X45" i="3"/>
  <c r="Q45" i="3"/>
  <c r="R45" i="3"/>
  <c r="M51" i="3"/>
  <c r="O50" i="3"/>
  <c r="M50" i="3"/>
  <c r="V45" i="3"/>
  <c r="X44" i="3"/>
  <c r="Q46" i="3"/>
  <c r="P47" i="3"/>
  <c r="E5" i="3"/>
  <c r="R46" i="3"/>
  <c r="Q47" i="3"/>
  <c r="R47" i="3"/>
  <c r="V44" i="3"/>
  <c r="X43" i="3"/>
  <c r="D17" i="3"/>
  <c r="X42" i="3"/>
  <c r="V43" i="3"/>
  <c r="X41" i="3"/>
  <c r="V42" i="3"/>
  <c r="V41" i="3"/>
  <c r="X40" i="3"/>
  <c r="V40" i="3"/>
  <c r="X39" i="3"/>
  <c r="V39" i="3"/>
  <c r="X38" i="3"/>
  <c r="V38" i="3"/>
  <c r="X37" i="3"/>
  <c r="V37" i="3"/>
  <c r="X36" i="3"/>
  <c r="V36" i="3"/>
  <c r="X35" i="3"/>
  <c r="V35" i="3"/>
  <c r="X34" i="3"/>
  <c r="V34" i="3"/>
  <c r="X33" i="3"/>
  <c r="V33" i="3"/>
  <c r="X32" i="3"/>
  <c r="V32" i="3"/>
  <c r="X31" i="3"/>
  <c r="V31" i="3"/>
  <c r="X30" i="3"/>
  <c r="V30" i="3"/>
  <c r="X29" i="3"/>
  <c r="X28" i="3"/>
  <c r="V29" i="3"/>
  <c r="X27" i="3"/>
  <c r="V28" i="3"/>
  <c r="X26" i="3"/>
  <c r="V27" i="3"/>
  <c r="X25" i="3"/>
  <c r="V26" i="3"/>
  <c r="X24" i="3"/>
  <c r="V25" i="3"/>
  <c r="X23" i="3"/>
  <c r="V24" i="3"/>
  <c r="V23" i="3"/>
  <c r="X22" i="3"/>
  <c r="X21" i="3"/>
  <c r="V22" i="3"/>
  <c r="V21" i="3"/>
  <c r="X20" i="3"/>
  <c r="V20" i="3"/>
</calcChain>
</file>

<file path=xl/sharedStrings.xml><?xml version="1.0" encoding="utf-8"?>
<sst xmlns="http://schemas.openxmlformats.org/spreadsheetml/2006/main" count="276" uniqueCount="124">
  <si>
    <t>media aritmetica</t>
  </si>
  <si>
    <t>media aritmetica alta</t>
  </si>
  <si>
    <t>max</t>
  </si>
  <si>
    <t>media geometrica ppto oficial</t>
  </si>
  <si>
    <t>ppto oficial</t>
  </si>
  <si>
    <t>No ofertas</t>
  </si>
  <si>
    <t>Nro veces ppto oficial</t>
  </si>
  <si>
    <t>1. cualquier oferta por encima del ppto oficial se rechaza por la ANI</t>
  </si>
  <si>
    <t>2. si hay empate en el puntaje hasta 7 decimales se decidirá por balota entre todos los que empaten</t>
  </si>
  <si>
    <t>Reglas</t>
  </si>
  <si>
    <t>3. Queda desierto solo cuando todas las propuestas sean rechazadas</t>
  </si>
  <si>
    <t>4. En caso de que haya una sola oferta no se aplican las fórmulas y se adjudica si es mayor o igual al 70% del tope máximo establecido por la ANI en los pliegos</t>
  </si>
  <si>
    <t>No. Oferta</t>
  </si>
  <si>
    <t>MIN PARA ADJUDICAR (70%)</t>
  </si>
  <si>
    <t>Total</t>
  </si>
  <si>
    <t>ADJUDICACION APPs</t>
  </si>
  <si>
    <t xml:space="preserve">1.MEDIA ARITMETICA
</t>
  </si>
  <si>
    <t>2.MEDIA ARITMETICA
ALTA</t>
  </si>
  <si>
    <t>3.MEDIA
GEOMETRICA
PPTO OFICIAL</t>
  </si>
  <si>
    <t>1.</t>
  </si>
  <si>
    <t>2.</t>
  </si>
  <si>
    <t>3.</t>
  </si>
  <si>
    <t>método 2</t>
  </si>
  <si>
    <t>método 1</t>
  </si>
  <si>
    <t>método 3</t>
  </si>
  <si>
    <t>POSICIONES</t>
  </si>
  <si>
    <t>ORDEN</t>
  </si>
  <si>
    <t>NOMBRE</t>
  </si>
  <si>
    <t>=</t>
  </si>
  <si>
    <t>Media aritmética.</t>
  </si>
  <si>
    <t>Valor total corregido de la oferta económica de la propuesta i</t>
  </si>
  <si>
    <t>n</t>
  </si>
  <si>
    <t>Número total de las propuestas válidas presentadas.</t>
  </si>
  <si>
    <t>1)</t>
  </si>
  <si>
    <t>2)</t>
  </si>
  <si>
    <t>Media aritmética alta.</t>
  </si>
  <si>
    <t>3)</t>
  </si>
  <si>
    <t>Media geométrica con presupuesto oficial.</t>
  </si>
  <si>
    <t>nv</t>
  </si>
  <si>
    <t>Número de veces que se incluye el presupuesto oficial (PO).</t>
  </si>
  <si>
    <t>Número de propuestas económicas validas.</t>
  </si>
  <si>
    <t>PO</t>
  </si>
  <si>
    <t>Presupuesto oficial del proceso.</t>
  </si>
  <si>
    <t>Valor de la propuesta económica corregida del proponente i.</t>
  </si>
  <si>
    <t>producto p.o.</t>
  </si>
  <si>
    <t>producto ofertas</t>
  </si>
  <si>
    <t>raiz</t>
  </si>
  <si>
    <t>%</t>
  </si>
  <si>
    <r>
      <t>x</t>
    </r>
    <r>
      <rPr>
        <vertAlign val="subscript"/>
        <sz val="11"/>
        <color theme="1"/>
        <rFont val="Arial"/>
        <family val="2"/>
      </rPr>
      <t>i</t>
    </r>
  </si>
  <si>
    <r>
      <t>V</t>
    </r>
    <r>
      <rPr>
        <vertAlign val="subscript"/>
        <sz val="11"/>
        <color theme="1"/>
        <rFont val="Arial"/>
        <family val="2"/>
      </rPr>
      <t>max</t>
    </r>
  </si>
  <si>
    <r>
      <t>Valor total corregido de la propuesta más alta dentro del rango comprendido entre la media aritmética alta y el presupuesto oficial</t>
    </r>
    <r>
      <rPr>
        <sz val="8"/>
        <color theme="1"/>
        <rFont val="Arial"/>
        <family val="2"/>
      </rPr>
      <t> </t>
    </r>
    <r>
      <rPr>
        <sz val="11"/>
        <color theme="1"/>
        <rFont val="Arial"/>
        <family val="2"/>
      </rPr>
      <t>.</t>
    </r>
  </si>
  <si>
    <r>
      <t>P</t>
    </r>
    <r>
      <rPr>
        <vertAlign val="subscript"/>
        <sz val="11"/>
        <color theme="1"/>
        <rFont val="Arial"/>
        <family val="2"/>
      </rPr>
      <t>i</t>
    </r>
  </si>
  <si>
    <t>No Oferta</t>
  </si>
  <si>
    <t>Valor de Ofertas Económicas</t>
  </si>
  <si>
    <t>Posición</t>
  </si>
  <si>
    <t>limite inf (90%)</t>
  </si>
  <si>
    <t>Válidas Método 1</t>
  </si>
  <si>
    <t>Válidas Método 2</t>
  </si>
  <si>
    <t>Válidas Método 3</t>
  </si>
  <si>
    <t>Oferta Económica</t>
  </si>
  <si>
    <t>Asignación de Puntaje</t>
  </si>
  <si>
    <t>Puntaje</t>
  </si>
  <si>
    <t>check</t>
  </si>
  <si>
    <t>Año</t>
  </si>
  <si>
    <t>Fecha</t>
  </si>
  <si>
    <t>% VF ofertado</t>
  </si>
  <si>
    <r>
      <t xml:space="preserve"> </t>
    </r>
    <r>
      <rPr>
        <b/>
        <sz val="11"/>
        <color theme="1"/>
        <rFont val="Calibri"/>
        <family val="2"/>
      </rPr>
      <t>∑VP =</t>
    </r>
  </si>
  <si>
    <r>
      <t xml:space="preserve"> </t>
    </r>
    <r>
      <rPr>
        <b/>
        <sz val="11"/>
        <color theme="1"/>
        <rFont val="Calibri"/>
        <family val="2"/>
      </rPr>
      <t>∑VP ctes 31/12/2012 =</t>
    </r>
  </si>
  <si>
    <t>% Dólares =</t>
  </si>
  <si>
    <t>TRM dia oferta =</t>
  </si>
  <si>
    <t>VF Dólares =</t>
  </si>
  <si>
    <t>Proyecto</t>
  </si>
  <si>
    <t>Cartagena-Barranquilla / Circunvalar</t>
  </si>
  <si>
    <t>TDI =</t>
  </si>
  <si>
    <t>Tasa descuento =</t>
  </si>
  <si>
    <t>VPAA  Perfil V.F =</t>
  </si>
  <si>
    <t>VPAA  Perfil O.E. =</t>
  </si>
  <si>
    <t>Perfil Peajes</t>
  </si>
  <si>
    <t>VPIP 8 =</t>
  </si>
  <si>
    <t>VPIP 13 =</t>
  </si>
  <si>
    <t>VPIP 18 =</t>
  </si>
  <si>
    <t>VPIP 25 =</t>
  </si>
  <si>
    <t>P E A J E S</t>
  </si>
  <si>
    <t>V I G E N C I A S   F.</t>
  </si>
  <si>
    <t>Perfil O.E. ($COP)</t>
  </si>
  <si>
    <t>Porción Dólares</t>
  </si>
  <si>
    <t>Porción Pesos</t>
  </si>
  <si>
    <t>UF 1</t>
  </si>
  <si>
    <t>UF 2</t>
  </si>
  <si>
    <t>UF 3</t>
  </si>
  <si>
    <t>UF 4</t>
  </si>
  <si>
    <t>UF 5</t>
  </si>
  <si>
    <t>UF 6</t>
  </si>
  <si>
    <t>TOTAL</t>
  </si>
  <si>
    <t>Vigencias Futuras</t>
  </si>
  <si>
    <t>Peajes</t>
  </si>
  <si>
    <t>Perfil Vigencias Futuras</t>
  </si>
  <si>
    <t>VPAA</t>
  </si>
  <si>
    <t>Total Ofertas Válidas</t>
  </si>
  <si>
    <t>Oferta 1</t>
  </si>
  <si>
    <t>Oferta 2</t>
  </si>
  <si>
    <t>Agencia Nacional de Infraestructura</t>
  </si>
  <si>
    <t>Límite inferior (90%)</t>
  </si>
  <si>
    <t>El perfil de vigencias futuras aprobadas por el Gobierno Nacional:</t>
  </si>
  <si>
    <t>Vigencias Futuras solicitadas por el Proponente en pesos de diciembre de 2012</t>
  </si>
  <si>
    <t>Proponente</t>
  </si>
  <si>
    <t>VPAA FORMULADO (Calculo ANI)</t>
  </si>
  <si>
    <t>VPAA Ofertado igual VPAA Formulado</t>
  </si>
  <si>
    <t>Media Geométrica con 2 veces el  V.O (Valor máximo de la oferta de acuerdo con 1.6 del Pliego - VPAA)</t>
  </si>
  <si>
    <t>Oferta Técnica</t>
  </si>
  <si>
    <t>Factor de Calidad</t>
  </si>
  <si>
    <t>Apoyo a la Industria Nacional</t>
  </si>
  <si>
    <t>PUNTAJE TOTAL</t>
  </si>
  <si>
    <t>Puntaje Oferta Económica</t>
  </si>
  <si>
    <t>Proyecto Vial  "Autopista Conexión Pacífico 3"</t>
  </si>
  <si>
    <t xml:space="preserve"> Licitación Pública No.  VJ-VE-IP-LP-009-2013</t>
  </si>
  <si>
    <t xml:space="preserve"> Licitación Pública No. VJ-VE-IP-LP-009-2013</t>
  </si>
  <si>
    <t>EP SHIKUN Y BINUI - GRODCO</t>
  </si>
  <si>
    <t>1. EP SHIKUN Y BINUI - GRODCO</t>
  </si>
  <si>
    <t xml:space="preserve">EP MARIO ALBERTO HUERTAS COTES - CONSTRUCTORA MECO SUCURSAL COLOMBIA </t>
  </si>
  <si>
    <t>Pacífico 3</t>
  </si>
  <si>
    <t xml:space="preserve">2. EP MARIO ALBERTO 
HUERTAS COTES – 
CONSTRUCTORA MECO </t>
  </si>
  <si>
    <t>OK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</si>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</sst>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* #,##0_);_(* \(#,##0\);_(* &quot;-&quot;??_);_(@_)"/>
    <numFmt numFmtId="168" formatCode="#,##0.0"/>
    <numFmt numFmtId="169" formatCode="_(&quot;C$&quot;* #,##0_);_(&quot;C$&quot;* \(#,##0\);_(&quot;C$&quot;* &quot;-&quot;_);_(@_)"/>
    <numFmt numFmtId="170" formatCode="_(&quot;C$&quot;* #,##0.00_);_(&quot;C$&quot;* \(#,##0.00\);_(&quot;C$&quot;* &quot;-&quot;??_);_(@_)"/>
    <numFmt numFmtId="171" formatCode="_([$€-2]* #,##0.00_);_([$€-2]* \(#,##0.00\);_([$€-2]* &quot;-&quot;??_)"/>
    <numFmt numFmtId="172" formatCode="_ * #,##0.00_ ;_ * \-#,##0.00_ ;_ * &quot;-&quot;??_ ;_ @_ "/>
    <numFmt numFmtId="173" formatCode="_ &quot;$&quot;\ * #,##0.00_ ;_ &quot;$&quot;\ * \-#,##0.00_ ;_ &quot;$&quot;\ * &quot;-&quot;??_ ;_ @_ "/>
    <numFmt numFmtId="174" formatCode="_(&quot;$&quot;\ * #,##0_);_(&quot;$&quot;\ * \(#,##0\);_(&quot;$&quot;\ * &quot;-&quot;??_);_(@_)"/>
    <numFmt numFmtId="175" formatCode="0.0%"/>
    <numFmt numFmtId="176" formatCode="0.0000%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u/>
      <sz val="10"/>
      <color indexed="36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9" tint="-0.249977111117893"/>
      <name val="Arial Narrow"/>
      <family val="2"/>
    </font>
    <font>
      <sz val="12"/>
      <color theme="3"/>
      <name val="Arial Narrow"/>
      <family val="2"/>
    </font>
    <font>
      <b/>
      <sz val="12"/>
      <color theme="3"/>
      <name val="Arial Narrow"/>
      <family val="2"/>
    </font>
    <font>
      <b/>
      <sz val="12"/>
      <name val="Arial Narrow"/>
      <family val="2"/>
    </font>
    <font>
      <b/>
      <sz val="10"/>
      <color theme="9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1"/>
      <color rgb="FF3D3D3D"/>
      <name val="Arial"/>
      <family val="2"/>
    </font>
    <font>
      <b/>
      <sz val="14"/>
      <color rgb="FFFF0000"/>
      <name val="Calibri"/>
      <family val="2"/>
      <scheme val="minor"/>
    </font>
    <font>
      <sz val="16"/>
      <name val="Arial Narrow"/>
      <family val="2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Font="1"/>
    <xf numFmtId="167" fontId="0" fillId="0" borderId="0" xfId="1" applyNumberFormat="1" applyFont="1" applyBorder="1" applyAlignment="1">
      <alignment horizontal="right"/>
    </xf>
    <xf numFmtId="167" fontId="3" fillId="0" borderId="0" xfId="0" applyNumberFormat="1" applyFont="1" applyBorder="1"/>
    <xf numFmtId="0" fontId="0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166" fontId="2" fillId="0" borderId="0" xfId="1" applyFont="1" applyBorder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4" fillId="0" borderId="0" xfId="0" applyFont="1" applyAlignment="1">
      <alignment vertical="top" wrapText="1"/>
    </xf>
    <xf numFmtId="167" fontId="0" fillId="0" borderId="0" xfId="1" applyNumberFormat="1" applyFont="1" applyBorder="1"/>
    <xf numFmtId="167" fontId="0" fillId="0" borderId="0" xfId="0" applyNumberFormat="1" applyFont="1" applyBorder="1"/>
    <xf numFmtId="167" fontId="2" fillId="0" borderId="0" xfId="0" applyNumberFormat="1" applyFont="1" applyBorder="1"/>
    <xf numFmtId="166" fontId="0" fillId="0" borderId="0" xfId="1" applyNumberFormat="1" applyFont="1" applyBorder="1" applyAlignment="1">
      <alignment horizontal="right"/>
    </xf>
    <xf numFmtId="0" fontId="0" fillId="0" borderId="0" xfId="0" applyFont="1" applyFill="1" applyBorder="1"/>
    <xf numFmtId="0" fontId="2" fillId="0" borderId="0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167" fontId="0" fillId="0" borderId="1" xfId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0" fillId="2" borderId="0" xfId="0" applyFont="1" applyFill="1" applyBorder="1"/>
    <xf numFmtId="167" fontId="0" fillId="2" borderId="0" xfId="0" applyNumberFormat="1" applyFont="1" applyFill="1" applyBorder="1"/>
    <xf numFmtId="167" fontId="0" fillId="2" borderId="0" xfId="1" applyNumberFormat="1" applyFont="1" applyFill="1" applyBorder="1"/>
    <xf numFmtId="0" fontId="13" fillId="3" borderId="0" xfId="0" applyFont="1" applyFill="1" applyBorder="1"/>
    <xf numFmtId="167" fontId="14" fillId="3" borderId="0" xfId="1" applyNumberFormat="1" applyFont="1" applyFill="1" applyBorder="1" applyAlignment="1">
      <alignment horizontal="right"/>
    </xf>
    <xf numFmtId="0" fontId="19" fillId="5" borderId="0" xfId="0" applyFont="1" applyFill="1" applyBorder="1" applyAlignment="1" applyProtection="1">
      <alignment horizontal="center"/>
      <protection locked="0"/>
    </xf>
    <xf numFmtId="0" fontId="21" fillId="0" borderId="0" xfId="0" applyFont="1"/>
    <xf numFmtId="167" fontId="20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/>
    <xf numFmtId="0" fontId="21" fillId="0" borderId="0" xfId="0" applyFont="1" applyAlignment="1">
      <alignment horizontal="center"/>
    </xf>
    <xf numFmtId="0" fontId="19" fillId="5" borderId="9" xfId="0" applyFont="1" applyFill="1" applyBorder="1" applyAlignment="1" applyProtection="1">
      <alignment horizontal="center"/>
      <protection locked="0"/>
    </xf>
    <xf numFmtId="0" fontId="19" fillId="5" borderId="10" xfId="0" applyFont="1" applyFill="1" applyBorder="1" applyAlignment="1" applyProtection="1">
      <alignment horizontal="center"/>
      <protection locked="0"/>
    </xf>
    <xf numFmtId="167" fontId="20" fillId="0" borderId="0" xfId="0" applyNumberFormat="1" applyFont="1" applyFill="1" applyAlignment="1">
      <alignment horizontal="center"/>
    </xf>
    <xf numFmtId="167" fontId="19" fillId="5" borderId="0" xfId="1" applyNumberFormat="1" applyFont="1" applyFill="1" applyBorder="1" applyAlignment="1" applyProtection="1">
      <alignment horizontal="center"/>
      <protection locked="0"/>
    </xf>
    <xf numFmtId="175" fontId="19" fillId="5" borderId="0" xfId="2" applyNumberFormat="1" applyFont="1" applyFill="1" applyBorder="1" applyAlignment="1" applyProtection="1">
      <alignment horizontal="center"/>
      <protection locked="0"/>
    </xf>
    <xf numFmtId="6" fontId="0" fillId="0" borderId="0" xfId="0" applyNumberFormat="1"/>
    <xf numFmtId="6" fontId="0" fillId="0" borderId="0" xfId="0" applyNumberFormat="1" applyFont="1"/>
    <xf numFmtId="0" fontId="2" fillId="4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/>
    <xf numFmtId="6" fontId="0" fillId="0" borderId="1" xfId="0" applyNumberFormat="1" applyBorder="1"/>
    <xf numFmtId="6" fontId="16" fillId="0" borderId="0" xfId="0" applyNumberFormat="1" applyFont="1"/>
    <xf numFmtId="6" fontId="2" fillId="0" borderId="0" xfId="0" applyNumberFormat="1" applyFont="1"/>
    <xf numFmtId="6" fontId="18" fillId="0" borderId="1" xfId="0" applyNumberFormat="1" applyFont="1" applyBorder="1" applyAlignment="1">
      <alignment horizontal="center"/>
    </xf>
    <xf numFmtId="44" fontId="16" fillId="0" borderId="0" xfId="31" applyFont="1"/>
    <xf numFmtId="6" fontId="17" fillId="0" borderId="1" xfId="0" applyNumberFormat="1" applyFont="1" applyBorder="1" applyAlignment="1">
      <alignment horizontal="center"/>
    </xf>
    <xf numFmtId="10" fontId="0" fillId="0" borderId="0" xfId="0" applyNumberFormat="1" applyFont="1"/>
    <xf numFmtId="176" fontId="15" fillId="0" borderId="0" xfId="0" applyNumberFormat="1" applyFont="1"/>
    <xf numFmtId="166" fontId="15" fillId="0" borderId="0" xfId="1" applyFont="1"/>
    <xf numFmtId="175" fontId="15" fillId="0" borderId="0" xfId="0" applyNumberFormat="1" applyFont="1"/>
    <xf numFmtId="6" fontId="24" fillId="0" borderId="1" xfId="0" applyNumberFormat="1" applyFont="1" applyBorder="1" applyAlignment="1">
      <alignment horizontal="center"/>
    </xf>
    <xf numFmtId="0" fontId="25" fillId="0" borderId="13" xfId="0" applyFont="1" applyBorder="1"/>
    <xf numFmtId="0" fontId="26" fillId="0" borderId="13" xfId="0" applyFont="1" applyBorder="1"/>
    <xf numFmtId="176" fontId="27" fillId="0" borderId="13" xfId="0" applyNumberFormat="1" applyFont="1" applyBorder="1"/>
    <xf numFmtId="0" fontId="26" fillId="0" borderId="0" xfId="0" applyFont="1"/>
    <xf numFmtId="0" fontId="25" fillId="0" borderId="0" xfId="0" applyFont="1"/>
    <xf numFmtId="0" fontId="28" fillId="0" borderId="0" xfId="0" applyFont="1"/>
    <xf numFmtId="6" fontId="28" fillId="0" borderId="0" xfId="0" applyNumberFormat="1" applyFont="1"/>
    <xf numFmtId="6" fontId="29" fillId="0" borderId="0" xfId="0" applyNumberFormat="1" applyFont="1"/>
    <xf numFmtId="44" fontId="29" fillId="0" borderId="0" xfId="31" applyFont="1"/>
    <xf numFmtId="166" fontId="29" fillId="0" borderId="0" xfId="1" applyFont="1" applyAlignment="1">
      <alignment horizontal="right"/>
    </xf>
    <xf numFmtId="166" fontId="29" fillId="0" borderId="0" xfId="1" applyFont="1" applyAlignment="1">
      <alignment horizontal="left"/>
    </xf>
    <xf numFmtId="6" fontId="30" fillId="0" borderId="1" xfId="0" applyNumberFormat="1" applyFont="1" applyBorder="1" applyAlignment="1">
      <alignment horizontal="center"/>
    </xf>
    <xf numFmtId="0" fontId="31" fillId="0" borderId="0" xfId="0" applyFont="1"/>
    <xf numFmtId="9" fontId="2" fillId="0" borderId="0" xfId="2" applyFont="1"/>
    <xf numFmtId="166" fontId="16" fillId="0" borderId="0" xfId="1" applyFont="1"/>
    <xf numFmtId="9" fontId="0" fillId="0" borderId="0" xfId="2" applyFont="1"/>
    <xf numFmtId="0" fontId="17" fillId="4" borderId="1" xfId="0" applyFont="1" applyFill="1" applyBorder="1" applyAlignment="1">
      <alignment horizontal="center"/>
    </xf>
    <xf numFmtId="6" fontId="18" fillId="0" borderId="1" xfId="0" applyNumberFormat="1" applyFont="1" applyBorder="1"/>
    <xf numFmtId="0" fontId="26" fillId="0" borderId="0" xfId="0" applyFont="1" applyFill="1"/>
    <xf numFmtId="0" fontId="0" fillId="0" borderId="0" xfId="0" applyFill="1"/>
    <xf numFmtId="6" fontId="0" fillId="0" borderId="0" xfId="0" applyNumberFormat="1" applyFill="1"/>
    <xf numFmtId="6" fontId="16" fillId="0" borderId="0" xfId="0" applyNumberFormat="1" applyFont="1" applyFill="1"/>
    <xf numFmtId="44" fontId="16" fillId="0" borderId="0" xfId="31" applyFont="1" applyFill="1"/>
    <xf numFmtId="0" fontId="17" fillId="0" borderId="0" xfId="0" applyFont="1" applyFill="1" applyBorder="1" applyAlignment="1">
      <alignment horizontal="center"/>
    </xf>
    <xf numFmtId="6" fontId="18" fillId="0" borderId="0" xfId="0" applyNumberFormat="1" applyFont="1" applyFill="1" applyBorder="1"/>
    <xf numFmtId="9" fontId="0" fillId="0" borderId="0" xfId="2" applyFont="1" applyFill="1"/>
    <xf numFmtId="166" fontId="18" fillId="0" borderId="0" xfId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6" fontId="0" fillId="0" borderId="14" xfId="0" applyNumberFormat="1" applyBorder="1"/>
    <xf numFmtId="6" fontId="15" fillId="0" borderId="14" xfId="0" applyNumberFormat="1" applyFont="1" applyBorder="1" applyAlignment="1">
      <alignment horizontal="center"/>
    </xf>
    <xf numFmtId="9" fontId="15" fillId="0" borderId="14" xfId="0" applyNumberFormat="1" applyFont="1" applyBorder="1" applyAlignment="1">
      <alignment horizontal="center"/>
    </xf>
    <xf numFmtId="0" fontId="2" fillId="0" borderId="15" xfId="0" applyFont="1" applyFill="1" applyBorder="1"/>
    <xf numFmtId="6" fontId="17" fillId="0" borderId="15" xfId="0" applyNumberFormat="1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6" fontId="18" fillId="0" borderId="17" xfId="0" applyNumberFormat="1" applyFont="1" applyFill="1" applyBorder="1"/>
    <xf numFmtId="167" fontId="18" fillId="0" borderId="17" xfId="1" applyNumberFormat="1" applyFont="1" applyFill="1" applyBorder="1" applyAlignment="1">
      <alignment horizontal="center"/>
    </xf>
    <xf numFmtId="167" fontId="0" fillId="0" borderId="0" xfId="0" applyNumberFormat="1"/>
    <xf numFmtId="167" fontId="2" fillId="0" borderId="0" xfId="0" applyNumberFormat="1" applyFont="1"/>
    <xf numFmtId="166" fontId="0" fillId="0" borderId="0" xfId="1" applyFont="1"/>
    <xf numFmtId="0" fontId="2" fillId="0" borderId="1" xfId="0" applyFont="1" applyBorder="1"/>
    <xf numFmtId="166" fontId="0" fillId="0" borderId="0" xfId="1" applyFont="1" applyBorder="1"/>
    <xf numFmtId="167" fontId="32" fillId="0" borderId="6" xfId="1" applyNumberFormat="1" applyFont="1" applyBorder="1" applyAlignment="1" applyProtection="1">
      <alignment horizontal="center"/>
      <protection locked="0"/>
    </xf>
    <xf numFmtId="175" fontId="32" fillId="0" borderId="11" xfId="2" applyNumberFormat="1" applyFont="1" applyBorder="1" applyAlignment="1">
      <alignment horizontal="center"/>
    </xf>
    <xf numFmtId="167" fontId="32" fillId="0" borderId="7" xfId="1" applyNumberFormat="1" applyFont="1" applyBorder="1" applyAlignment="1" applyProtection="1">
      <alignment horizontal="center"/>
      <protection locked="0"/>
    </xf>
    <xf numFmtId="175" fontId="32" fillId="0" borderId="12" xfId="2" applyNumberFormat="1" applyFont="1" applyBorder="1" applyAlignment="1">
      <alignment horizontal="center"/>
    </xf>
    <xf numFmtId="0" fontId="33" fillId="0" borderId="0" xfId="0" applyFont="1" applyFill="1" applyProtection="1">
      <protection locked="0"/>
    </xf>
    <xf numFmtId="0" fontId="32" fillId="0" borderId="0" xfId="0" applyFont="1" applyFill="1"/>
    <xf numFmtId="174" fontId="33" fillId="0" borderId="0" xfId="29" applyNumberFormat="1" applyFont="1" applyFill="1" applyAlignment="1" applyProtection="1">
      <alignment horizontal="left"/>
      <protection locked="0"/>
    </xf>
    <xf numFmtId="9" fontId="32" fillId="0" borderId="0" xfId="2" applyFont="1" applyFill="1" applyAlignment="1">
      <alignment horizontal="center"/>
    </xf>
    <xf numFmtId="0" fontId="20" fillId="0" borderId="1" xfId="0" applyFont="1" applyFill="1" applyBorder="1" applyAlignment="1">
      <alignment horizontal="center"/>
    </xf>
    <xf numFmtId="167" fontId="2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/>
    <xf numFmtId="0" fontId="22" fillId="0" borderId="0" xfId="0" applyFont="1" applyFill="1"/>
    <xf numFmtId="8" fontId="22" fillId="0" borderId="0" xfId="0" applyNumberFormat="1" applyFont="1" applyFill="1"/>
    <xf numFmtId="8" fontId="22" fillId="0" borderId="0" xfId="0" applyNumberFormat="1" applyFont="1"/>
    <xf numFmtId="0" fontId="0" fillId="0" borderId="0" xfId="0" applyAlignment="1">
      <alignment horizontal="left"/>
    </xf>
    <xf numFmtId="0" fontId="37" fillId="7" borderId="1" xfId="0" applyFont="1" applyFill="1" applyBorder="1" applyAlignment="1">
      <alignment horizontal="center" vertical="center" wrapText="1"/>
    </xf>
    <xf numFmtId="167" fontId="38" fillId="0" borderId="1" xfId="1" applyNumberFormat="1" applyFont="1" applyFill="1" applyBorder="1" applyAlignment="1" applyProtection="1">
      <alignment horizontal="center" vertical="center" wrapText="1"/>
      <protection locked="0"/>
    </xf>
    <xf numFmtId="167" fontId="39" fillId="8" borderId="1" xfId="0" applyNumberFormat="1" applyFont="1" applyFill="1" applyBorder="1" applyAlignment="1">
      <alignment horizontal="left"/>
    </xf>
    <xf numFmtId="0" fontId="21" fillId="8" borderId="1" xfId="0" applyFont="1" applyFill="1" applyBorder="1"/>
    <xf numFmtId="167" fontId="39" fillId="8" borderId="1" xfId="0" applyNumberFormat="1" applyFont="1" applyFill="1" applyBorder="1" applyAlignment="1">
      <alignment horizontal="center"/>
    </xf>
    <xf numFmtId="0" fontId="19" fillId="5" borderId="18" xfId="0" applyFont="1" applyFill="1" applyBorder="1" applyAlignment="1" applyProtection="1">
      <alignment horizontal="center"/>
      <protection locked="0"/>
    </xf>
    <xf numFmtId="175" fontId="32" fillId="0" borderId="1" xfId="2" applyNumberFormat="1" applyFont="1" applyBorder="1" applyAlignment="1"/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0" xfId="0" applyFont="1" applyFill="1" applyBorder="1"/>
    <xf numFmtId="0" fontId="21" fillId="0" borderId="0" xfId="0" applyFont="1" applyFill="1" applyBorder="1"/>
    <xf numFmtId="0" fontId="40" fillId="0" borderId="0" xfId="0" applyFont="1"/>
    <xf numFmtId="0" fontId="21" fillId="0" borderId="1" xfId="0" applyFont="1" applyFill="1" applyBorder="1" applyAlignment="1">
      <alignment horizontal="center"/>
    </xf>
    <xf numFmtId="167" fontId="20" fillId="9" borderId="1" xfId="1" applyNumberFormat="1" applyFont="1" applyFill="1" applyBorder="1" applyAlignment="1" applyProtection="1">
      <alignment horizontal="center" vertical="center" wrapText="1"/>
      <protection locked="0"/>
    </xf>
    <xf numFmtId="167" fontId="25" fillId="0" borderId="1" xfId="1" applyNumberFormat="1" applyFont="1" applyFill="1" applyBorder="1" applyAlignment="1" applyProtection="1">
      <alignment horizontal="center" vertical="center" wrapText="1"/>
      <protection locked="0"/>
    </xf>
    <xf numFmtId="167" fontId="41" fillId="0" borderId="1" xfId="1" applyNumberFormat="1" applyFont="1" applyBorder="1" applyAlignment="1" applyProtection="1">
      <protection locked="0"/>
    </xf>
    <xf numFmtId="167" fontId="42" fillId="8" borderId="1" xfId="1" applyNumberFormat="1" applyFont="1" applyFill="1" applyBorder="1" applyAlignment="1">
      <alignment horizontal="center"/>
    </xf>
    <xf numFmtId="167" fontId="42" fillId="2" borderId="1" xfId="1" applyNumberFormat="1" applyFont="1" applyFill="1" applyBorder="1" applyAlignment="1">
      <alignment horizontal="center"/>
    </xf>
    <xf numFmtId="167" fontId="20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37" fillId="7" borderId="23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vertical="center"/>
    </xf>
    <xf numFmtId="167" fontId="21" fillId="0" borderId="0" xfId="0" applyNumberFormat="1" applyFont="1"/>
    <xf numFmtId="6" fontId="21" fillId="0" borderId="0" xfId="0" applyNumberFormat="1" applyFont="1"/>
    <xf numFmtId="0" fontId="44" fillId="0" borderId="0" xfId="0" applyFont="1"/>
    <xf numFmtId="0" fontId="21" fillId="0" borderId="0" xfId="0" applyFont="1" applyBorder="1"/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4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37" fillId="7" borderId="12" xfId="0" applyFont="1" applyFill="1" applyBorder="1" applyAlignment="1">
      <alignment horizontal="center" vertical="center" wrapText="1"/>
    </xf>
    <xf numFmtId="0" fontId="37" fillId="7" borderId="14" xfId="0" applyFont="1" applyFill="1" applyBorder="1" applyAlignment="1">
      <alignment horizontal="center" vertical="center" wrapText="1"/>
    </xf>
    <xf numFmtId="0" fontId="34" fillId="6" borderId="0" xfId="0" applyFont="1" applyFill="1" applyAlignment="1">
      <alignment horizontal="center" vertical="center"/>
    </xf>
    <xf numFmtId="0" fontId="35" fillId="6" borderId="0" xfId="0" applyFont="1" applyFill="1" applyAlignment="1">
      <alignment horizontal="center" vertical="center"/>
    </xf>
    <xf numFmtId="0" fontId="36" fillId="6" borderId="0" xfId="0" applyFont="1" applyFill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/>
    </xf>
  </cellXfs>
  <cellStyles count="32">
    <cellStyle name="Coma1" xfId="6"/>
    <cellStyle name="Comma [0]_ventas1-Pacto Andino" xfId="7"/>
    <cellStyle name="Comma_ventas1-Pacto Andino" xfId="8"/>
    <cellStyle name="Currency [0]_DEPRECIACIONES" xfId="9"/>
    <cellStyle name="Currency_DEPRECIACIONES" xfId="10"/>
    <cellStyle name="Euro" xfId="11"/>
    <cellStyle name="Followed Hyperlink" xfId="12"/>
    <cellStyle name="Hyperlink" xfId="13"/>
    <cellStyle name="Javier" xfId="14"/>
    <cellStyle name="Millares" xfId="1" builtinId="3"/>
    <cellStyle name="Millares 2" xfId="15"/>
    <cellStyle name="Millares 3" xfId="16"/>
    <cellStyle name="Millares 4" xfId="17"/>
    <cellStyle name="Millares 5" xfId="18"/>
    <cellStyle name="Millares 6" xfId="19"/>
    <cellStyle name="Millares 7" xfId="30"/>
    <cellStyle name="Moneda" xfId="29" builtinId="4"/>
    <cellStyle name="Moneda 2" xfId="20"/>
    <cellStyle name="Moneda 3" xfId="21"/>
    <cellStyle name="Moneda 4" xfId="22"/>
    <cellStyle name="Moneda 5" xfId="31"/>
    <cellStyle name="Normal" xfId="0" builtinId="0"/>
    <cellStyle name="Normal 2" xfId="5"/>
    <cellStyle name="Normal 2 3" xfId="23"/>
    <cellStyle name="Normal 3" xfId="24"/>
    <cellStyle name="Normal 4" xfId="25"/>
    <cellStyle name="Normal 5" xfId="26"/>
    <cellStyle name="Normal 6" xfId="27"/>
    <cellStyle name="Normal 7" xfId="3"/>
    <cellStyle name="Porcentaje" xfId="2" builtinId="5"/>
    <cellStyle name="Porcentaje 2" xfId="4"/>
    <cellStyle name="Porcentual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54</xdr:row>
          <xdr:rowOff>0</xdr:rowOff>
        </xdr:from>
        <xdr:to>
          <xdr:col>0</xdr:col>
          <xdr:colOff>657225</xdr:colOff>
          <xdr:row>56</xdr:row>
          <xdr:rowOff>47625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62</xdr:row>
          <xdr:rowOff>0</xdr:rowOff>
        </xdr:from>
        <xdr:to>
          <xdr:col>1</xdr:col>
          <xdr:colOff>161925</xdr:colOff>
          <xdr:row>64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64</xdr:row>
          <xdr:rowOff>0</xdr:rowOff>
        </xdr:from>
        <xdr:to>
          <xdr:col>0</xdr:col>
          <xdr:colOff>247650</xdr:colOff>
          <xdr:row>64</xdr:row>
          <xdr:rowOff>285750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70</xdr:row>
      <xdr:rowOff>0</xdr:rowOff>
    </xdr:from>
    <xdr:to>
      <xdr:col>2</xdr:col>
      <xdr:colOff>314325</xdr:colOff>
      <xdr:row>71</xdr:row>
      <xdr:rowOff>85725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40225"/>
          <a:ext cx="29813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71</xdr:row>
          <xdr:rowOff>0</xdr:rowOff>
        </xdr:from>
        <xdr:to>
          <xdr:col>0</xdr:col>
          <xdr:colOff>304800</xdr:colOff>
          <xdr:row>71</xdr:row>
          <xdr:rowOff>247650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0</xdr:row>
      <xdr:rowOff>127000</xdr:rowOff>
    </xdr:from>
    <xdr:to>
      <xdr:col>1</xdr:col>
      <xdr:colOff>985309</xdr:colOff>
      <xdr:row>3</xdr:row>
      <xdr:rowOff>26064</xdr:rowOff>
    </xdr:to>
    <xdr:pic>
      <xdr:nvPicPr>
        <xdr:cNvPr id="2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81" t="28709" r="59613" b="56253"/>
        <a:stretch/>
      </xdr:blipFill>
      <xdr:spPr>
        <a:xfrm>
          <a:off x="232834" y="285750"/>
          <a:ext cx="1376892" cy="5552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0</xdr:rowOff>
    </xdr:from>
    <xdr:to>
      <xdr:col>2</xdr:col>
      <xdr:colOff>676276</xdr:colOff>
      <xdr:row>4</xdr:row>
      <xdr:rowOff>94856</xdr:rowOff>
    </xdr:to>
    <xdr:pic>
      <xdr:nvPicPr>
        <xdr:cNvPr id="2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81" t="28709" r="59613" b="56253"/>
        <a:stretch/>
      </xdr:blipFill>
      <xdr:spPr>
        <a:xfrm>
          <a:off x="466726" y="0"/>
          <a:ext cx="1371600" cy="666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E108"/>
  <sheetViews>
    <sheetView workbookViewId="0">
      <pane xSplit="8" ySplit="1" topLeftCell="N2" activePane="bottomRight" state="frozen"/>
      <selection activeCell="E22" sqref="E22"/>
      <selection pane="topRight" activeCell="E22" sqref="E22"/>
      <selection pane="bottomLeft" activeCell="E22" sqref="E22"/>
      <selection pane="bottomRight" activeCell="D2" sqref="D2"/>
    </sheetView>
  </sheetViews>
  <sheetFormatPr baseColWidth="10" defaultRowHeight="15" x14ac:dyDescent="0.25"/>
  <cols>
    <col min="1" max="1" width="20.7109375" bestFit="1" customWidth="1"/>
    <col min="2" max="2" width="5.28515625" bestFit="1" customWidth="1"/>
    <col min="3" max="3" width="6.5703125" bestFit="1" customWidth="1"/>
    <col min="4" max="4" width="21.5703125" bestFit="1" customWidth="1"/>
    <col min="5" max="5" width="17.85546875" bestFit="1" customWidth="1"/>
    <col min="6" max="6" width="17.42578125" bestFit="1" customWidth="1"/>
    <col min="7" max="7" width="18.5703125" bestFit="1" customWidth="1"/>
    <col min="8" max="8" width="17.42578125" bestFit="1" customWidth="1"/>
    <col min="9" max="9" width="15.7109375" style="71" bestFit="1" customWidth="1"/>
    <col min="10" max="10" width="18.5703125" bestFit="1" customWidth="1"/>
    <col min="11" max="11" width="6.7109375" style="85" bestFit="1" customWidth="1"/>
    <col min="12" max="12" width="9.5703125" style="10" bestFit="1" customWidth="1"/>
    <col min="13" max="15" width="17.42578125" bestFit="1" customWidth="1"/>
    <col min="16" max="16" width="14.85546875" bestFit="1" customWidth="1"/>
    <col min="17" max="17" width="17.42578125" bestFit="1" customWidth="1"/>
    <col min="18" max="35" width="15.7109375" bestFit="1" customWidth="1"/>
    <col min="36" max="37" width="14.7109375" bestFit="1" customWidth="1"/>
    <col min="38" max="40" width="3" bestFit="1" customWidth="1"/>
    <col min="52" max="52" width="14.7109375" bestFit="1" customWidth="1"/>
  </cols>
  <sheetData>
    <row r="1" spans="1:12" s="69" customFormat="1" ht="18.75" x14ac:dyDescent="0.3">
      <c r="A1" s="66" t="s">
        <v>71</v>
      </c>
      <c r="B1" s="67"/>
      <c r="C1" s="67"/>
      <c r="D1" s="68" t="s">
        <v>120</v>
      </c>
      <c r="E1" s="67"/>
      <c r="F1" s="67"/>
      <c r="G1" s="67"/>
      <c r="H1" s="67"/>
      <c r="I1" s="71"/>
      <c r="K1" s="84"/>
      <c r="L1" s="70"/>
    </row>
    <row r="2" spans="1:12" x14ac:dyDescent="0.25">
      <c r="A2" t="s">
        <v>73</v>
      </c>
      <c r="D2" s="62">
        <v>5.6629999999999996E-3</v>
      </c>
    </row>
    <row r="3" spans="1:12" x14ac:dyDescent="0.25">
      <c r="A3" t="s">
        <v>68</v>
      </c>
      <c r="D3" s="64">
        <v>0.28000000000000003</v>
      </c>
    </row>
    <row r="4" spans="1:12" x14ac:dyDescent="0.25">
      <c r="A4" t="s">
        <v>69</v>
      </c>
      <c r="D4" s="63">
        <v>1920</v>
      </c>
    </row>
    <row r="5" spans="1:12" x14ac:dyDescent="0.25">
      <c r="A5" t="s">
        <v>70</v>
      </c>
      <c r="D5" s="49">
        <f>+D3*O47/D4</f>
        <v>376811961.29310417</v>
      </c>
      <c r="E5" s="80">
        <f>+D5-P47</f>
        <v>0</v>
      </c>
    </row>
    <row r="6" spans="1:12" x14ac:dyDescent="0.25">
      <c r="A6" t="s">
        <v>74</v>
      </c>
      <c r="D6" s="61">
        <f>+(1+D2)^12-1</f>
        <v>7.0113059476928363E-2</v>
      </c>
    </row>
    <row r="7" spans="1:12" x14ac:dyDescent="0.25">
      <c r="A7" s="78" t="s">
        <v>83</v>
      </c>
      <c r="B7" s="10" t="s">
        <v>47</v>
      </c>
      <c r="C7" s="10"/>
      <c r="D7" s="61"/>
      <c r="E7" s="79">
        <f>+D8/(D12+D8)</f>
        <v>1</v>
      </c>
    </row>
    <row r="8" spans="1:12" s="49" customFormat="1" x14ac:dyDescent="0.25">
      <c r="A8" t="s">
        <v>75</v>
      </c>
      <c r="D8" s="49">
        <f>+NPV(D6,D21:D46)</f>
        <v>894846368769.01892</v>
      </c>
      <c r="E8"/>
      <c r="G8"/>
      <c r="I8" s="72"/>
      <c r="K8" s="86"/>
      <c r="L8" s="57"/>
    </row>
    <row r="9" spans="1:12" s="49" customFormat="1" x14ac:dyDescent="0.25">
      <c r="A9" t="s">
        <v>76</v>
      </c>
      <c r="D9" s="50">
        <f>+NPV(D6,O20:O46)</f>
        <v>894846368769.01892</v>
      </c>
      <c r="E9"/>
      <c r="G9"/>
      <c r="I9" s="72"/>
      <c r="K9" s="86"/>
      <c r="L9" s="57"/>
    </row>
    <row r="10" spans="1:12" s="49" customFormat="1" x14ac:dyDescent="0.25">
      <c r="A10" t="s">
        <v>76</v>
      </c>
      <c r="D10" s="50">
        <f>-PV($D$6,B46,0,D46,0)-PV($D$6,B45,0,D45,0)-PV($D$6,B44,0,D44,0)-PV($D$6,B43,0,D43,0)-PV($D$6,B42,0,D42,0)-PV($D$6,B41,0,D41,0)-PV($D$6,B40,0,D40,0)-PV($D$6,B39,0,D39,0)-PV($D$6,B38,0,D38,0)-PV($D$6,B37,0,D37,0)-PV($D$6,B36,0,D36,0)-PV($D$6,B35,0,D35,0)-PV($D$6,B34,0,D34,0)-PV($D$6,B33,0,D33,0)-PV($D$6,B32,0,D32,0)-PV($D$6,B31,0,D31,0)-PV($D$6,B30,0,D30,0)-PV($D$6,B29,0,D29,0)-PV($D$6,B28,0,D28,0)-PV($D$6,B27,0,D27,0)-PV($D$6,B26,0,D26,0)-PV($D$6,B25,0,D25,0)-PV($D$6,B24,0,D24,0)-PV($D$6,B23,0,D23,0)-PV($D$6,B22,0,D22,0)-PV($D$6,B21,0,D21,0)-PV($D$6,B20,0,D20,0)</f>
        <v>894846368769.01855</v>
      </c>
      <c r="E10"/>
      <c r="G10"/>
      <c r="I10" s="72"/>
      <c r="K10" s="86"/>
      <c r="L10" s="57"/>
    </row>
    <row r="11" spans="1:12" s="49" customFormat="1" x14ac:dyDescent="0.25">
      <c r="A11" s="78" t="s">
        <v>82</v>
      </c>
      <c r="B11" s="10" t="s">
        <v>47</v>
      </c>
      <c r="C11" s="10"/>
      <c r="D11" s="50"/>
      <c r="E11" s="79">
        <f>+D12/(D12+D8)</f>
        <v>0</v>
      </c>
      <c r="G11"/>
      <c r="I11" s="72"/>
      <c r="K11" s="86"/>
      <c r="L11" s="57"/>
    </row>
    <row r="12" spans="1:12" s="49" customFormat="1" x14ac:dyDescent="0.25">
      <c r="A12" t="s">
        <v>81</v>
      </c>
      <c r="D12" s="50">
        <f>+NPV(D6,D50:D76)</f>
        <v>0</v>
      </c>
      <c r="E12"/>
      <c r="G12"/>
      <c r="I12" s="72"/>
      <c r="K12" s="86"/>
      <c r="L12" s="57"/>
    </row>
    <row r="13" spans="1:12" s="49" customFormat="1" x14ac:dyDescent="0.25">
      <c r="A13" t="s">
        <v>80</v>
      </c>
      <c r="D13" s="50">
        <f>+NPV(D6,D50:D69)</f>
        <v>0</v>
      </c>
      <c r="E13"/>
      <c r="G13"/>
      <c r="I13" s="72"/>
      <c r="K13" s="86"/>
      <c r="L13" s="57"/>
    </row>
    <row r="14" spans="1:12" s="49" customFormat="1" x14ac:dyDescent="0.25">
      <c r="A14" t="s">
        <v>79</v>
      </c>
      <c r="D14" s="50">
        <f>+NPV(D6,D50:D64)</f>
        <v>0</v>
      </c>
      <c r="E14"/>
      <c r="G14"/>
      <c r="I14" s="72"/>
      <c r="K14" s="86"/>
      <c r="L14" s="57"/>
    </row>
    <row r="15" spans="1:12" s="49" customFormat="1" x14ac:dyDescent="0.25">
      <c r="A15" t="s">
        <v>78</v>
      </c>
      <c r="D15" s="50">
        <f>+NPV(D6,D50:D59)</f>
        <v>0</v>
      </c>
      <c r="E15"/>
      <c r="G15"/>
      <c r="I15" s="72"/>
      <c r="K15" s="86"/>
      <c r="L15" s="57"/>
    </row>
    <row r="16" spans="1:12" s="49" customFormat="1" x14ac:dyDescent="0.25">
      <c r="A16"/>
      <c r="D16" s="50"/>
      <c r="E16"/>
      <c r="G16"/>
      <c r="I16" s="72"/>
      <c r="K16" s="86"/>
      <c r="L16" s="57"/>
    </row>
    <row r="17" spans="1:57" s="49" customFormat="1" x14ac:dyDescent="0.25">
      <c r="A17"/>
      <c r="B17" s="75" t="s">
        <v>62</v>
      </c>
      <c r="C17" s="75"/>
      <c r="D17" s="76">
        <f>+D8-D9+D9-D10+D8-D10+D5-P47</f>
        <v>7.3236227035522461E-4</v>
      </c>
      <c r="E17"/>
      <c r="G17"/>
      <c r="I17" s="72"/>
      <c r="K17" s="86"/>
      <c r="L17" s="57"/>
    </row>
    <row r="18" spans="1:57" s="49" customFormat="1" x14ac:dyDescent="0.25">
      <c r="A18"/>
      <c r="E18"/>
      <c r="G18"/>
      <c r="I18" s="72"/>
      <c r="K18" s="86"/>
      <c r="L18" s="57"/>
    </row>
    <row r="19" spans="1:57" s="49" customFormat="1" x14ac:dyDescent="0.25">
      <c r="A19" s="51" t="s">
        <v>64</v>
      </c>
      <c r="B19" s="51" t="s">
        <v>63</v>
      </c>
      <c r="C19" s="51"/>
      <c r="D19" s="51" t="s">
        <v>96</v>
      </c>
      <c r="E19" s="82" t="s">
        <v>87</v>
      </c>
      <c r="F19" s="82" t="s">
        <v>88</v>
      </c>
      <c r="G19" s="82" t="s">
        <v>89</v>
      </c>
      <c r="H19" s="82" t="s">
        <v>90</v>
      </c>
      <c r="I19" s="82" t="s">
        <v>91</v>
      </c>
      <c r="J19" s="82" t="s">
        <v>92</v>
      </c>
      <c r="N19" s="93" t="s">
        <v>65</v>
      </c>
      <c r="O19" s="51" t="s">
        <v>84</v>
      </c>
      <c r="P19" s="51" t="s">
        <v>85</v>
      </c>
      <c r="Q19" s="51" t="s">
        <v>86</v>
      </c>
      <c r="R19" s="72"/>
      <c r="T19" s="86"/>
      <c r="U19" s="10"/>
      <c r="V19" s="51" t="s">
        <v>63</v>
      </c>
      <c r="W19" s="51"/>
      <c r="X19" s="51">
        <v>1</v>
      </c>
      <c r="Y19" s="51">
        <v>2</v>
      </c>
      <c r="Z19" s="51">
        <v>3</v>
      </c>
      <c r="AA19" s="51">
        <v>4</v>
      </c>
      <c r="AB19" s="51">
        <v>5</v>
      </c>
      <c r="AC19" s="51">
        <v>6</v>
      </c>
      <c r="AD19" s="51">
        <v>7</v>
      </c>
      <c r="AE19" s="51">
        <v>8</v>
      </c>
      <c r="AF19" s="51">
        <v>9</v>
      </c>
      <c r="AG19" s="51">
        <v>10</v>
      </c>
      <c r="AH19" s="51">
        <v>11</v>
      </c>
      <c r="AI19" s="51">
        <v>12</v>
      </c>
      <c r="AJ19" s="51">
        <v>13</v>
      </c>
      <c r="AK19" s="51">
        <v>14</v>
      </c>
      <c r="AL19" s="51">
        <v>15</v>
      </c>
      <c r="AM19" s="51">
        <v>16</v>
      </c>
      <c r="AN19" s="51">
        <v>17</v>
      </c>
      <c r="AO19" s="51">
        <v>18</v>
      </c>
      <c r="AP19" s="51">
        <v>19</v>
      </c>
      <c r="AQ19" s="51">
        <v>20</v>
      </c>
      <c r="AR19" s="51">
        <v>21</v>
      </c>
      <c r="AS19" s="51">
        <v>22</v>
      </c>
      <c r="AT19" s="51">
        <v>23</v>
      </c>
      <c r="AU19" s="51">
        <v>24</v>
      </c>
      <c r="AV19" s="51">
        <v>25</v>
      </c>
      <c r="AW19" s="51">
        <v>26</v>
      </c>
    </row>
    <row r="20" spans="1:57" s="49" customFormat="1" x14ac:dyDescent="0.25">
      <c r="A20" s="54">
        <v>41274</v>
      </c>
      <c r="B20" s="53">
        <v>0</v>
      </c>
      <c r="C20" s="99"/>
      <c r="D20" s="100"/>
      <c r="N20" s="94"/>
      <c r="O20" s="55"/>
      <c r="P20" s="55"/>
      <c r="Q20" s="55"/>
      <c r="R20" s="73" t="s">
        <v>62</v>
      </c>
      <c r="S20" s="56"/>
      <c r="T20" s="87"/>
      <c r="U20" s="52" t="s">
        <v>66</v>
      </c>
      <c r="V20" s="57">
        <f>SUM(X20:AW20)</f>
        <v>894846368769.01941</v>
      </c>
      <c r="W20" s="49">
        <v>0</v>
      </c>
      <c r="X20" s="49">
        <f t="shared" ref="X20:AW32" si="0">+-PV($D$6,$B21-$B20,0,X21,0)</f>
        <v>22721213985.969273</v>
      </c>
      <c r="Y20" s="49">
        <f t="shared" si="0"/>
        <v>24314267813.555553</v>
      </c>
      <c r="Z20" s="49">
        <f t="shared" si="0"/>
        <v>26019015518.905338</v>
      </c>
      <c r="AA20" s="49">
        <f t="shared" si="0"/>
        <v>27843288301.51347</v>
      </c>
      <c r="AB20" s="49">
        <f t="shared" si="0"/>
        <v>29795466430.230747</v>
      </c>
      <c r="AC20" s="49">
        <f t="shared" si="0"/>
        <v>31884517740.196339</v>
      </c>
      <c r="AD20" s="49">
        <f t="shared" si="0"/>
        <v>34120038828.907902</v>
      </c>
      <c r="AE20" s="49">
        <f t="shared" si="0"/>
        <v>36512299140.674225</v>
      </c>
      <c r="AF20" s="49">
        <f t="shared" si="0"/>
        <v>39072288141.963715</v>
      </c>
      <c r="AG20" s="49">
        <f t="shared" si="0"/>
        <v>41811765804.360901</v>
      </c>
      <c r="AH20" s="49">
        <f t="shared" si="0"/>
        <v>44743316627.037453</v>
      </c>
      <c r="AI20" s="49">
        <f t="shared" si="0"/>
        <v>47880407446.903969</v>
      </c>
      <c r="AJ20" s="49">
        <f t="shared" si="0"/>
        <v>51237449302.008308</v>
      </c>
      <c r="AK20" s="49">
        <f t="shared" si="0"/>
        <v>54829863632.366119</v>
      </c>
      <c r="AL20" s="49">
        <f t="shared" si="0"/>
        <v>58674153122.334076</v>
      </c>
      <c r="AM20" s="49">
        <f t="shared" si="0"/>
        <v>62787977509.958687</v>
      </c>
      <c r="AN20" s="49">
        <f t="shared" si="0"/>
        <v>67190234711.550461</v>
      </c>
      <c r="AO20" s="49">
        <f t="shared" si="0"/>
        <v>71901147634.150177</v>
      </c>
      <c r="AP20" s="49">
        <f t="shared" si="0"/>
        <v>76942357074.682755</v>
      </c>
      <c r="AQ20" s="49">
        <f t="shared" si="0"/>
        <v>33612439650.350311</v>
      </c>
      <c r="AR20" s="49">
        <f t="shared" si="0"/>
        <v>5290947903.1870403</v>
      </c>
      <c r="AS20" s="49">
        <f t="shared" si="0"/>
        <v>5661912448.2125225</v>
      </c>
      <c r="AT20" s="49">
        <f t="shared" si="0"/>
        <v>0</v>
      </c>
      <c r="AU20" s="49">
        <f t="shared" si="0"/>
        <v>0</v>
      </c>
      <c r="AV20" s="49">
        <f t="shared" si="0"/>
        <v>0</v>
      </c>
      <c r="AW20" s="49">
        <f t="shared" si="0"/>
        <v>0</v>
      </c>
    </row>
    <row r="21" spans="1:57" s="49" customFormat="1" x14ac:dyDescent="0.25">
      <c r="A21" s="54">
        <f>+EOMONTH(A20,12)</f>
        <v>41639</v>
      </c>
      <c r="B21" s="53">
        <f>+B20+1</f>
        <v>1</v>
      </c>
      <c r="C21" s="99">
        <v>2013</v>
      </c>
      <c r="D21" s="101">
        <v>0</v>
      </c>
      <c r="N21" s="95"/>
      <c r="O21" s="58">
        <f t="shared" ref="O21:O46" si="1">+N21*D21</f>
        <v>0</v>
      </c>
      <c r="P21" s="58">
        <f t="shared" ref="P21:P46" si="2">IF(AND(B21&lt;20,B21&gt;=5),+$D$5/15,0)</f>
        <v>0</v>
      </c>
      <c r="Q21" s="58">
        <f t="shared" ref="Q21:Q46" si="3">+O21-P21*$D$4</f>
        <v>0</v>
      </c>
      <c r="R21" s="74">
        <f t="shared" ref="R21:R47" si="4">+P21*$D$4+Q21-O21</f>
        <v>0</v>
      </c>
      <c r="S21" s="59"/>
      <c r="T21" s="88"/>
      <c r="U21" s="10"/>
      <c r="V21" s="57">
        <f t="shared" ref="V21:V46" si="5">SUM(X21:AW21)</f>
        <v>957586785445.23511</v>
      </c>
      <c r="W21" s="49">
        <f t="shared" ref="W21:W46" si="6">+O21</f>
        <v>0</v>
      </c>
      <c r="X21" s="49">
        <f t="shared" si="0"/>
        <v>24314267813.555553</v>
      </c>
      <c r="Y21" s="49">
        <f t="shared" si="0"/>
        <v>26019015518.905338</v>
      </c>
      <c r="Z21" s="49">
        <f t="shared" si="0"/>
        <v>27843288301.51347</v>
      </c>
      <c r="AA21" s="49">
        <f t="shared" si="0"/>
        <v>29795466430.230747</v>
      </c>
      <c r="AB21" s="49">
        <f t="shared" si="0"/>
        <v>31884517740.196339</v>
      </c>
      <c r="AC21" s="49">
        <f t="shared" si="0"/>
        <v>34120038828.907902</v>
      </c>
      <c r="AD21" s="49">
        <f t="shared" si="0"/>
        <v>36512299140.674225</v>
      </c>
      <c r="AE21" s="49">
        <f t="shared" si="0"/>
        <v>39072288141.963715</v>
      </c>
      <c r="AF21" s="49">
        <f t="shared" si="0"/>
        <v>41811765804.360901</v>
      </c>
      <c r="AG21" s="49">
        <f t="shared" si="0"/>
        <v>44743316627.037453</v>
      </c>
      <c r="AH21" s="49">
        <f t="shared" si="0"/>
        <v>47880407446.903969</v>
      </c>
      <c r="AI21" s="49">
        <f t="shared" si="0"/>
        <v>51237449302.008308</v>
      </c>
      <c r="AJ21" s="49">
        <f t="shared" si="0"/>
        <v>54829863632.366119</v>
      </c>
      <c r="AK21" s="49">
        <f t="shared" si="0"/>
        <v>58674153122.334076</v>
      </c>
      <c r="AL21" s="49">
        <f t="shared" si="0"/>
        <v>62787977509.958687</v>
      </c>
      <c r="AM21" s="49">
        <f t="shared" si="0"/>
        <v>67190234711.550461</v>
      </c>
      <c r="AN21" s="49">
        <f t="shared" si="0"/>
        <v>71901147634.150177</v>
      </c>
      <c r="AO21" s="49">
        <f t="shared" si="0"/>
        <v>76942357074.682755</v>
      </c>
      <c r="AP21" s="49">
        <f t="shared" si="0"/>
        <v>82337021132.555038</v>
      </c>
      <c r="AQ21" s="49">
        <f t="shared" si="0"/>
        <v>35969110630.719986</v>
      </c>
      <c r="AR21" s="49">
        <f t="shared" si="0"/>
        <v>5661912448.2125225</v>
      </c>
      <c r="AS21" s="49">
        <f t="shared" si="0"/>
        <v>6058886452.4472084</v>
      </c>
      <c r="AT21" s="49">
        <f t="shared" si="0"/>
        <v>0</v>
      </c>
      <c r="AU21" s="49">
        <f t="shared" si="0"/>
        <v>0</v>
      </c>
      <c r="AV21" s="49">
        <f t="shared" si="0"/>
        <v>0</v>
      </c>
      <c r="AW21" s="49">
        <f>+W21</f>
        <v>0</v>
      </c>
    </row>
    <row r="22" spans="1:57" s="49" customFormat="1" x14ac:dyDescent="0.25">
      <c r="A22" s="54">
        <f t="shared" ref="A22:A46" si="7">+EOMONTH(A21,12)</f>
        <v>42004</v>
      </c>
      <c r="B22" s="53">
        <f t="shared" ref="B22:B46" si="8">+B21+1</f>
        <v>2</v>
      </c>
      <c r="C22" s="99">
        <v>2014</v>
      </c>
      <c r="D22" s="101">
        <v>0</v>
      </c>
      <c r="N22" s="95"/>
      <c r="O22" s="58">
        <f t="shared" si="1"/>
        <v>0</v>
      </c>
      <c r="P22" s="58">
        <f t="shared" si="2"/>
        <v>0</v>
      </c>
      <c r="Q22" s="58">
        <f t="shared" si="3"/>
        <v>0</v>
      </c>
      <c r="R22" s="74">
        <f t="shared" si="4"/>
        <v>0</v>
      </c>
      <c r="S22" s="59"/>
      <c r="T22" s="88"/>
      <c r="U22" s="10"/>
      <c r="V22" s="57">
        <f t="shared" si="5"/>
        <v>1024726124687.4774</v>
      </c>
      <c r="W22" s="49">
        <f t="shared" si="6"/>
        <v>0</v>
      </c>
      <c r="X22" s="49">
        <f t="shared" si="0"/>
        <v>26019015518.905338</v>
      </c>
      <c r="Y22" s="49">
        <f t="shared" si="0"/>
        <v>27843288301.51347</v>
      </c>
      <c r="Z22" s="49">
        <f t="shared" si="0"/>
        <v>29795466430.230747</v>
      </c>
      <c r="AA22" s="49">
        <f t="shared" si="0"/>
        <v>31884517740.196339</v>
      </c>
      <c r="AB22" s="49">
        <f t="shared" si="0"/>
        <v>34120038828.907902</v>
      </c>
      <c r="AC22" s="49">
        <f t="shared" si="0"/>
        <v>36512299140.674225</v>
      </c>
      <c r="AD22" s="49">
        <f t="shared" si="0"/>
        <v>39072288141.963715</v>
      </c>
      <c r="AE22" s="49">
        <f t="shared" si="0"/>
        <v>41811765804.360901</v>
      </c>
      <c r="AF22" s="49">
        <f t="shared" si="0"/>
        <v>44743316627.037453</v>
      </c>
      <c r="AG22" s="49">
        <f t="shared" si="0"/>
        <v>47880407446.903969</v>
      </c>
      <c r="AH22" s="49">
        <f t="shared" si="0"/>
        <v>51237449302.008308</v>
      </c>
      <c r="AI22" s="49">
        <f t="shared" si="0"/>
        <v>54829863632.366119</v>
      </c>
      <c r="AJ22" s="49">
        <f t="shared" si="0"/>
        <v>58674153122.334076</v>
      </c>
      <c r="AK22" s="49">
        <f t="shared" si="0"/>
        <v>62787977509.958687</v>
      </c>
      <c r="AL22" s="49">
        <f t="shared" si="0"/>
        <v>67190234711.550461</v>
      </c>
      <c r="AM22" s="49">
        <f t="shared" si="0"/>
        <v>71901147634.150177</v>
      </c>
      <c r="AN22" s="49">
        <f t="shared" si="0"/>
        <v>76942357074.682755</v>
      </c>
      <c r="AO22" s="49">
        <f t="shared" si="0"/>
        <v>82337021132.555038</v>
      </c>
      <c r="AP22" s="49">
        <f t="shared" si="0"/>
        <v>88109921592.374969</v>
      </c>
      <c r="AQ22" s="49">
        <f t="shared" si="0"/>
        <v>38491015023.703873</v>
      </c>
      <c r="AR22" s="49">
        <f t="shared" si="0"/>
        <v>6058886452.4472084</v>
      </c>
      <c r="AS22" s="49">
        <f t="shared" si="0"/>
        <v>6483693518.6515951</v>
      </c>
      <c r="AT22" s="49">
        <f t="shared" si="0"/>
        <v>0</v>
      </c>
      <c r="AU22" s="49">
        <f t="shared" si="0"/>
        <v>0</v>
      </c>
      <c r="AV22" s="49">
        <f>+W22</f>
        <v>0</v>
      </c>
    </row>
    <row r="23" spans="1:57" s="49" customFormat="1" x14ac:dyDescent="0.25">
      <c r="A23" s="54">
        <f t="shared" si="7"/>
        <v>42369</v>
      </c>
      <c r="B23" s="53">
        <f t="shared" si="8"/>
        <v>3</v>
      </c>
      <c r="C23" s="99">
        <v>2015</v>
      </c>
      <c r="D23" s="101">
        <v>0</v>
      </c>
      <c r="N23" s="95"/>
      <c r="O23" s="58">
        <f t="shared" si="1"/>
        <v>0</v>
      </c>
      <c r="P23" s="58">
        <f t="shared" si="2"/>
        <v>0</v>
      </c>
      <c r="Q23" s="58">
        <f t="shared" si="3"/>
        <v>0</v>
      </c>
      <c r="R23" s="74">
        <f t="shared" si="4"/>
        <v>0</v>
      </c>
      <c r="S23" s="59"/>
      <c r="T23" s="88"/>
      <c r="U23" s="10"/>
      <c r="V23" s="57">
        <f t="shared" si="5"/>
        <v>1096572808415.2528</v>
      </c>
      <c r="W23" s="49">
        <f t="shared" si="6"/>
        <v>0</v>
      </c>
      <c r="X23" s="49">
        <f t="shared" si="0"/>
        <v>27843288301.51347</v>
      </c>
      <c r="Y23" s="49">
        <f t="shared" si="0"/>
        <v>29795466430.230747</v>
      </c>
      <c r="Z23" s="49">
        <f t="shared" si="0"/>
        <v>31884517740.196339</v>
      </c>
      <c r="AA23" s="49">
        <f t="shared" si="0"/>
        <v>34120038828.907902</v>
      </c>
      <c r="AB23" s="49">
        <f t="shared" si="0"/>
        <v>36512299140.674225</v>
      </c>
      <c r="AC23" s="49">
        <f t="shared" si="0"/>
        <v>39072288141.963715</v>
      </c>
      <c r="AD23" s="49">
        <f t="shared" si="0"/>
        <v>41811765804.360901</v>
      </c>
      <c r="AE23" s="49">
        <f t="shared" si="0"/>
        <v>44743316627.037453</v>
      </c>
      <c r="AF23" s="49">
        <f t="shared" si="0"/>
        <v>47880407446.903969</v>
      </c>
      <c r="AG23" s="49">
        <f t="shared" si="0"/>
        <v>51237449302.008308</v>
      </c>
      <c r="AH23" s="49">
        <f t="shared" si="0"/>
        <v>54829863632.366119</v>
      </c>
      <c r="AI23" s="49">
        <f t="shared" si="0"/>
        <v>58674153122.334076</v>
      </c>
      <c r="AJ23" s="49">
        <f t="shared" si="0"/>
        <v>62787977509.958687</v>
      </c>
      <c r="AK23" s="49">
        <f t="shared" si="0"/>
        <v>67190234711.550461</v>
      </c>
      <c r="AL23" s="49">
        <f t="shared" si="0"/>
        <v>71901147634.150177</v>
      </c>
      <c r="AM23" s="49">
        <f t="shared" si="0"/>
        <v>76942357074.682755</v>
      </c>
      <c r="AN23" s="49">
        <f t="shared" si="0"/>
        <v>82337021132.555038</v>
      </c>
      <c r="AO23" s="49">
        <f t="shared" si="0"/>
        <v>88109921592.374969</v>
      </c>
      <c r="AP23" s="49">
        <f t="shared" si="0"/>
        <v>94287577765.488647</v>
      </c>
      <c r="AQ23" s="49">
        <f t="shared" si="0"/>
        <v>41189737849.388168</v>
      </c>
      <c r="AR23" s="49">
        <f t="shared" si="0"/>
        <v>6483693518.6515951</v>
      </c>
      <c r="AS23" s="49">
        <f t="shared" si="0"/>
        <v>6938285107.9549894</v>
      </c>
      <c r="AT23" s="49">
        <f t="shared" si="0"/>
        <v>0</v>
      </c>
      <c r="AU23" s="49">
        <f>+W23</f>
        <v>0</v>
      </c>
    </row>
    <row r="24" spans="1:57" s="49" customFormat="1" x14ac:dyDescent="0.25">
      <c r="A24" s="54">
        <f t="shared" si="7"/>
        <v>42735</v>
      </c>
      <c r="B24" s="53">
        <f t="shared" si="8"/>
        <v>4</v>
      </c>
      <c r="C24" s="99">
        <v>2016</v>
      </c>
      <c r="D24" s="101">
        <v>0</v>
      </c>
      <c r="K24" s="104"/>
      <c r="N24" s="96">
        <v>1</v>
      </c>
      <c r="O24" s="58">
        <f t="shared" si="1"/>
        <v>0</v>
      </c>
      <c r="P24" s="58">
        <f t="shared" si="2"/>
        <v>0</v>
      </c>
      <c r="Q24" s="58">
        <f t="shared" si="3"/>
        <v>0</v>
      </c>
      <c r="R24" s="74">
        <f t="shared" si="4"/>
        <v>0</v>
      </c>
      <c r="S24" s="59"/>
      <c r="T24" s="88"/>
      <c r="U24" s="10"/>
      <c r="V24" s="57">
        <f t="shared" si="5"/>
        <v>1173456882952.4539</v>
      </c>
      <c r="W24" s="49">
        <f t="shared" si="6"/>
        <v>0</v>
      </c>
      <c r="X24" s="49">
        <f t="shared" si="0"/>
        <v>29795466430.230747</v>
      </c>
      <c r="Y24" s="49">
        <f t="shared" si="0"/>
        <v>31884517740.196339</v>
      </c>
      <c r="Z24" s="49">
        <f t="shared" si="0"/>
        <v>34120038828.907902</v>
      </c>
      <c r="AA24" s="49">
        <f t="shared" si="0"/>
        <v>36512299140.674225</v>
      </c>
      <c r="AB24" s="49">
        <f t="shared" si="0"/>
        <v>39072288141.963715</v>
      </c>
      <c r="AC24" s="49">
        <f t="shared" si="0"/>
        <v>41811765804.360901</v>
      </c>
      <c r="AD24" s="49">
        <f t="shared" si="0"/>
        <v>44743316627.037453</v>
      </c>
      <c r="AE24" s="49">
        <f t="shared" si="0"/>
        <v>47880407446.903969</v>
      </c>
      <c r="AF24" s="49">
        <f t="shared" si="0"/>
        <v>51237449302.008308</v>
      </c>
      <c r="AG24" s="49">
        <f t="shared" si="0"/>
        <v>54829863632.366119</v>
      </c>
      <c r="AH24" s="49">
        <f t="shared" si="0"/>
        <v>58674153122.334076</v>
      </c>
      <c r="AI24" s="49">
        <f t="shared" si="0"/>
        <v>62787977509.958687</v>
      </c>
      <c r="AJ24" s="49">
        <f t="shared" si="0"/>
        <v>67190234711.550461</v>
      </c>
      <c r="AK24" s="49">
        <f t="shared" si="0"/>
        <v>71901147634.150177</v>
      </c>
      <c r="AL24" s="49">
        <f t="shared" si="0"/>
        <v>76942357074.682755</v>
      </c>
      <c r="AM24" s="49">
        <f t="shared" si="0"/>
        <v>82337021132.555038</v>
      </c>
      <c r="AN24" s="49">
        <f t="shared" si="0"/>
        <v>88109921592.374969</v>
      </c>
      <c r="AO24" s="49">
        <f t="shared" si="0"/>
        <v>94287577765.488647</v>
      </c>
      <c r="AP24" s="49">
        <f t="shared" si="0"/>
        <v>100898368313.29587</v>
      </c>
      <c r="AQ24" s="49">
        <f t="shared" si="0"/>
        <v>44077676389.061409</v>
      </c>
      <c r="AR24" s="49">
        <f t="shared" si="0"/>
        <v>6938285107.9549894</v>
      </c>
      <c r="AS24" s="49">
        <f t="shared" si="0"/>
        <v>7424749504.396924</v>
      </c>
      <c r="AT24" s="49">
        <f>+W24</f>
        <v>0</v>
      </c>
      <c r="AZ24" s="49">
        <f>+ROUND(E24*1000000,0)</f>
        <v>0</v>
      </c>
      <c r="BA24" s="49">
        <f t="shared" ref="BA24:BE39" si="9">+ROUND(F24*1000000,0)</f>
        <v>0</v>
      </c>
      <c r="BB24" s="49">
        <f t="shared" si="9"/>
        <v>0</v>
      </c>
      <c r="BC24" s="49">
        <f t="shared" si="9"/>
        <v>0</v>
      </c>
      <c r="BD24" s="49">
        <f t="shared" si="9"/>
        <v>0</v>
      </c>
      <c r="BE24" s="49">
        <f t="shared" si="9"/>
        <v>0</v>
      </c>
    </row>
    <row r="25" spans="1:57" s="49" customFormat="1" x14ac:dyDescent="0.25">
      <c r="A25" s="54">
        <f t="shared" si="7"/>
        <v>43100</v>
      </c>
      <c r="B25" s="53">
        <f t="shared" si="8"/>
        <v>5</v>
      </c>
      <c r="C25" s="99">
        <v>2017</v>
      </c>
      <c r="D25" s="101">
        <v>7945321408</v>
      </c>
      <c r="K25" s="104"/>
      <c r="N25" s="96">
        <v>1</v>
      </c>
      <c r="O25" s="58">
        <f t="shared" si="1"/>
        <v>7945321408</v>
      </c>
      <c r="P25" s="58">
        <f>IF(AND(B25&lt;20,B25&gt;=5),+$D$5/15,0)</f>
        <v>25120797.419540279</v>
      </c>
      <c r="Q25" s="58">
        <f t="shared" si="3"/>
        <v>-40286609637.517334</v>
      </c>
      <c r="R25" s="74">
        <f t="shared" si="4"/>
        <v>0</v>
      </c>
      <c r="S25" s="59"/>
      <c r="T25" s="88"/>
      <c r="U25" s="10"/>
      <c r="V25" s="57">
        <f t="shared" si="5"/>
        <v>1255731535180.5103</v>
      </c>
      <c r="W25" s="49">
        <f t="shared" si="6"/>
        <v>7945321408</v>
      </c>
      <c r="X25" s="49">
        <f t="shared" si="0"/>
        <v>31884517740.196339</v>
      </c>
      <c r="Y25" s="49">
        <f t="shared" si="0"/>
        <v>34120038828.907902</v>
      </c>
      <c r="Z25" s="49">
        <f t="shared" si="0"/>
        <v>36512299140.674225</v>
      </c>
      <c r="AA25" s="49">
        <f t="shared" si="0"/>
        <v>39072288141.963715</v>
      </c>
      <c r="AB25" s="49">
        <f t="shared" si="0"/>
        <v>41811765804.360901</v>
      </c>
      <c r="AC25" s="49">
        <f t="shared" si="0"/>
        <v>44743316627.037453</v>
      </c>
      <c r="AD25" s="49">
        <f t="shared" si="0"/>
        <v>47880407446.903969</v>
      </c>
      <c r="AE25" s="49">
        <f t="shared" si="0"/>
        <v>51237449302.008308</v>
      </c>
      <c r="AF25" s="49">
        <f t="shared" si="0"/>
        <v>54829863632.366119</v>
      </c>
      <c r="AG25" s="49">
        <f t="shared" si="0"/>
        <v>58674153122.334076</v>
      </c>
      <c r="AH25" s="49">
        <f t="shared" si="0"/>
        <v>62787977509.958687</v>
      </c>
      <c r="AI25" s="49">
        <f t="shared" si="0"/>
        <v>67190234711.550461</v>
      </c>
      <c r="AJ25" s="49">
        <f t="shared" si="0"/>
        <v>71901147634.150177</v>
      </c>
      <c r="AK25" s="49">
        <f t="shared" si="0"/>
        <v>76942357074.682755</v>
      </c>
      <c r="AL25" s="49">
        <f t="shared" si="0"/>
        <v>82337021132.555038</v>
      </c>
      <c r="AM25" s="49">
        <f t="shared" si="0"/>
        <v>88109921592.374969</v>
      </c>
      <c r="AN25" s="49">
        <f t="shared" si="0"/>
        <v>94287577765.488647</v>
      </c>
      <c r="AO25" s="49">
        <f t="shared" si="0"/>
        <v>100898368313.29587</v>
      </c>
      <c r="AP25" s="49">
        <f t="shared" si="0"/>
        <v>107972661611.97101</v>
      </c>
      <c r="AQ25" s="49">
        <f t="shared" si="0"/>
        <v>47168097135.332474</v>
      </c>
      <c r="AR25" s="49">
        <f t="shared" si="0"/>
        <v>7424749504.396924</v>
      </c>
      <c r="AS25" s="49">
        <f>+W25</f>
        <v>7945321408</v>
      </c>
      <c r="AZ25" s="49">
        <f t="shared" ref="AZ25:BE46" si="10">+ROUND(E25*1000000,0)</f>
        <v>0</v>
      </c>
      <c r="BA25" s="49">
        <f t="shared" si="9"/>
        <v>0</v>
      </c>
      <c r="BB25" s="49">
        <f t="shared" si="9"/>
        <v>0</v>
      </c>
      <c r="BC25" s="49">
        <f t="shared" si="9"/>
        <v>0</v>
      </c>
      <c r="BD25" s="49">
        <f t="shared" si="9"/>
        <v>0</v>
      </c>
      <c r="BE25" s="49">
        <f t="shared" si="9"/>
        <v>0</v>
      </c>
    </row>
    <row r="26" spans="1:57" s="49" customFormat="1" x14ac:dyDescent="0.25">
      <c r="A26" s="54">
        <f t="shared" si="7"/>
        <v>43465</v>
      </c>
      <c r="B26" s="53">
        <f t="shared" si="8"/>
        <v>6</v>
      </c>
      <c r="C26" s="99">
        <v>2018</v>
      </c>
      <c r="D26" s="101">
        <v>7945321408</v>
      </c>
      <c r="K26" s="104"/>
      <c r="N26" s="96">
        <v>1</v>
      </c>
      <c r="O26" s="58">
        <f t="shared" si="1"/>
        <v>7945321408</v>
      </c>
      <c r="P26" s="58">
        <f>IF(AND(B26&lt;20,B26&gt;=5),+$D$5/15,0)</f>
        <v>25120797.419540279</v>
      </c>
      <c r="Q26" s="58">
        <f t="shared" si="3"/>
        <v>-40286609637.517334</v>
      </c>
      <c r="R26" s="74">
        <f t="shared" si="4"/>
        <v>0</v>
      </c>
      <c r="S26" s="59"/>
      <c r="T26" s="88"/>
      <c r="U26" s="10"/>
      <c r="V26" s="57">
        <f t="shared" si="5"/>
        <v>1335272322793.2332</v>
      </c>
      <c r="W26" s="49">
        <f t="shared" si="6"/>
        <v>7945321408</v>
      </c>
      <c r="X26" s="49">
        <f t="shared" si="0"/>
        <v>34120038828.907902</v>
      </c>
      <c r="Y26" s="49">
        <f t="shared" si="0"/>
        <v>36512299140.674225</v>
      </c>
      <c r="Z26" s="49">
        <f t="shared" si="0"/>
        <v>39072288141.963715</v>
      </c>
      <c r="AA26" s="49">
        <f t="shared" si="0"/>
        <v>41811765804.360901</v>
      </c>
      <c r="AB26" s="49">
        <f t="shared" si="0"/>
        <v>44743316627.037453</v>
      </c>
      <c r="AC26" s="49">
        <f t="shared" si="0"/>
        <v>47880407446.903969</v>
      </c>
      <c r="AD26" s="49">
        <f t="shared" si="0"/>
        <v>51237449302.008308</v>
      </c>
      <c r="AE26" s="49">
        <f t="shared" si="0"/>
        <v>54829863632.366119</v>
      </c>
      <c r="AF26" s="49">
        <f t="shared" si="0"/>
        <v>58674153122.334076</v>
      </c>
      <c r="AG26" s="49">
        <f t="shared" si="0"/>
        <v>62787977509.958687</v>
      </c>
      <c r="AH26" s="49">
        <f t="shared" si="0"/>
        <v>67190234711.550461</v>
      </c>
      <c r="AI26" s="49">
        <f t="shared" si="0"/>
        <v>71901147634.150177</v>
      </c>
      <c r="AJ26" s="49">
        <f t="shared" si="0"/>
        <v>76942357074.682755</v>
      </c>
      <c r="AK26" s="49">
        <f t="shared" si="0"/>
        <v>82337021132.555038</v>
      </c>
      <c r="AL26" s="49">
        <f t="shared" si="0"/>
        <v>88109921592.374969</v>
      </c>
      <c r="AM26" s="49">
        <f t="shared" si="0"/>
        <v>94287577765.488647</v>
      </c>
      <c r="AN26" s="49">
        <f t="shared" si="0"/>
        <v>100898368313.29587</v>
      </c>
      <c r="AO26" s="49">
        <f t="shared" si="0"/>
        <v>107972661611.97101</v>
      </c>
      <c r="AP26" s="49">
        <f t="shared" si="0"/>
        <v>115542955257.45338</v>
      </c>
      <c r="AQ26" s="49">
        <f t="shared" si="0"/>
        <v>50475196735.195572</v>
      </c>
      <c r="AR26" s="49">
        <f>+W26</f>
        <v>7945321408</v>
      </c>
      <c r="AZ26" s="49">
        <f t="shared" si="10"/>
        <v>0</v>
      </c>
      <c r="BA26" s="49">
        <f t="shared" si="9"/>
        <v>0</v>
      </c>
      <c r="BB26" s="49">
        <f t="shared" si="9"/>
        <v>0</v>
      </c>
      <c r="BC26" s="49">
        <f t="shared" si="9"/>
        <v>0</v>
      </c>
      <c r="BD26" s="49">
        <f t="shared" si="9"/>
        <v>0</v>
      </c>
      <c r="BE26" s="49">
        <f t="shared" si="9"/>
        <v>0</v>
      </c>
    </row>
    <row r="27" spans="1:57" s="49" customFormat="1" x14ac:dyDescent="0.25">
      <c r="A27" s="54">
        <f t="shared" si="7"/>
        <v>43830</v>
      </c>
      <c r="B27" s="53">
        <f t="shared" si="8"/>
        <v>7</v>
      </c>
      <c r="C27" s="99">
        <v>2019</v>
      </c>
      <c r="D27" s="101">
        <v>54014167206</v>
      </c>
      <c r="K27" s="104"/>
      <c r="N27" s="96">
        <v>1</v>
      </c>
      <c r="O27" s="58">
        <f t="shared" si="1"/>
        <v>54014167206</v>
      </c>
      <c r="P27" s="58">
        <f>IF(AND(B27&lt;20,B27&gt;=5),+$D$5/15,0)</f>
        <v>25120797.419540279</v>
      </c>
      <c r="Q27" s="58">
        <f t="shared" si="3"/>
        <v>5782236160.482666</v>
      </c>
      <c r="R27" s="74">
        <f t="shared" si="4"/>
        <v>0</v>
      </c>
      <c r="S27" s="59"/>
      <c r="T27" s="88"/>
      <c r="U27" s="10"/>
      <c r="V27" s="57">
        <f t="shared" si="5"/>
        <v>1420389958378.6892</v>
      </c>
      <c r="W27" s="49">
        <f t="shared" si="6"/>
        <v>54014167206</v>
      </c>
      <c r="X27" s="49">
        <f t="shared" si="0"/>
        <v>36512299140.674225</v>
      </c>
      <c r="Y27" s="49">
        <f t="shared" si="0"/>
        <v>39072288141.963715</v>
      </c>
      <c r="Z27" s="49">
        <f t="shared" si="0"/>
        <v>41811765804.360901</v>
      </c>
      <c r="AA27" s="49">
        <f t="shared" si="0"/>
        <v>44743316627.037453</v>
      </c>
      <c r="AB27" s="49">
        <f t="shared" si="0"/>
        <v>47880407446.903969</v>
      </c>
      <c r="AC27" s="49">
        <f t="shared" si="0"/>
        <v>51237449302.008308</v>
      </c>
      <c r="AD27" s="49">
        <f t="shared" si="0"/>
        <v>54829863632.366119</v>
      </c>
      <c r="AE27" s="49">
        <f t="shared" si="0"/>
        <v>58674153122.334076</v>
      </c>
      <c r="AF27" s="49">
        <f t="shared" si="0"/>
        <v>62787977509.958687</v>
      </c>
      <c r="AG27" s="49">
        <f t="shared" si="0"/>
        <v>67190234711.550461</v>
      </c>
      <c r="AH27" s="49">
        <f t="shared" si="0"/>
        <v>71901147634.150177</v>
      </c>
      <c r="AI27" s="49">
        <f t="shared" si="0"/>
        <v>76942357074.682755</v>
      </c>
      <c r="AJ27" s="49">
        <f t="shared" si="0"/>
        <v>82337021132.555038</v>
      </c>
      <c r="AK27" s="49">
        <f t="shared" si="0"/>
        <v>88109921592.374969</v>
      </c>
      <c r="AL27" s="49">
        <f t="shared" si="0"/>
        <v>94287577765.488647</v>
      </c>
      <c r="AM27" s="49">
        <f t="shared" si="0"/>
        <v>100898368313.29587</v>
      </c>
      <c r="AN27" s="49">
        <f t="shared" si="0"/>
        <v>107972661611.97101</v>
      </c>
      <c r="AO27" s="49">
        <f t="shared" si="0"/>
        <v>115542955257.45338</v>
      </c>
      <c r="AP27" s="49">
        <f t="shared" si="0"/>
        <v>123644025351.55928</v>
      </c>
      <c r="AQ27" s="49">
        <f>+W27</f>
        <v>54014167206</v>
      </c>
      <c r="AZ27" s="49">
        <f t="shared" si="10"/>
        <v>0</v>
      </c>
      <c r="BA27" s="49">
        <f t="shared" si="9"/>
        <v>0</v>
      </c>
      <c r="BB27" s="49">
        <f t="shared" si="9"/>
        <v>0</v>
      </c>
      <c r="BC27" s="49">
        <f t="shared" si="9"/>
        <v>0</v>
      </c>
      <c r="BD27" s="49">
        <f t="shared" si="9"/>
        <v>0</v>
      </c>
      <c r="BE27" s="49">
        <f t="shared" si="9"/>
        <v>0</v>
      </c>
    </row>
    <row r="28" spans="1:57" s="49" customFormat="1" x14ac:dyDescent="0.25">
      <c r="A28" s="54">
        <f t="shared" si="7"/>
        <v>44196</v>
      </c>
      <c r="B28" s="53">
        <f t="shared" si="8"/>
        <v>8</v>
      </c>
      <c r="C28" s="99">
        <v>2020</v>
      </c>
      <c r="D28" s="101">
        <v>132313086255</v>
      </c>
      <c r="K28" s="104"/>
      <c r="N28" s="96">
        <v>1</v>
      </c>
      <c r="O28" s="58">
        <f t="shared" si="1"/>
        <v>132313086255</v>
      </c>
      <c r="P28" s="58">
        <f t="shared" si="2"/>
        <v>25120797.419540279</v>
      </c>
      <c r="Q28" s="58">
        <f t="shared" si="3"/>
        <v>84081155209.482666</v>
      </c>
      <c r="R28" s="74">
        <f t="shared" si="4"/>
        <v>0</v>
      </c>
      <c r="S28" s="59"/>
      <c r="T28" s="88"/>
      <c r="U28" s="10"/>
      <c r="V28" s="57">
        <f t="shared" si="5"/>
        <v>1462176578287.0149</v>
      </c>
      <c r="W28" s="49">
        <f t="shared" si="6"/>
        <v>132313086255</v>
      </c>
      <c r="X28" s="49">
        <f t="shared" si="0"/>
        <v>39072288141.963715</v>
      </c>
      <c r="Y28" s="49">
        <f t="shared" si="0"/>
        <v>41811765804.360901</v>
      </c>
      <c r="Z28" s="49">
        <f t="shared" si="0"/>
        <v>44743316627.037453</v>
      </c>
      <c r="AA28" s="49">
        <f t="shared" si="0"/>
        <v>47880407446.903969</v>
      </c>
      <c r="AB28" s="49">
        <f t="shared" si="0"/>
        <v>51237449302.008308</v>
      </c>
      <c r="AC28" s="49">
        <f t="shared" si="0"/>
        <v>54829863632.366119</v>
      </c>
      <c r="AD28" s="49">
        <f t="shared" si="0"/>
        <v>58674153122.334076</v>
      </c>
      <c r="AE28" s="49">
        <f t="shared" si="0"/>
        <v>62787977509.958687</v>
      </c>
      <c r="AF28" s="49">
        <f t="shared" si="0"/>
        <v>67190234711.550461</v>
      </c>
      <c r="AG28" s="49">
        <f t="shared" si="0"/>
        <v>71901147634.150177</v>
      </c>
      <c r="AH28" s="49">
        <f t="shared" si="0"/>
        <v>76942357074.682755</v>
      </c>
      <c r="AI28" s="49">
        <f t="shared" si="0"/>
        <v>82337021132.555038</v>
      </c>
      <c r="AJ28" s="49">
        <f t="shared" si="0"/>
        <v>88109921592.374969</v>
      </c>
      <c r="AK28" s="49">
        <f t="shared" si="0"/>
        <v>94287577765.488647</v>
      </c>
      <c r="AL28" s="49">
        <f t="shared" si="0"/>
        <v>100898368313.29587</v>
      </c>
      <c r="AM28" s="49">
        <f t="shared" si="0"/>
        <v>107972661611.97101</v>
      </c>
      <c r="AN28" s="49">
        <f t="shared" si="0"/>
        <v>115542955257.45338</v>
      </c>
      <c r="AO28" s="49">
        <f t="shared" si="0"/>
        <v>123644025351.55928</v>
      </c>
      <c r="AP28" s="49">
        <f>+W28</f>
        <v>132313086255</v>
      </c>
      <c r="AZ28" s="49">
        <f t="shared" si="10"/>
        <v>0</v>
      </c>
      <c r="BA28" s="49">
        <f t="shared" si="9"/>
        <v>0</v>
      </c>
      <c r="BB28" s="49">
        <f t="shared" si="9"/>
        <v>0</v>
      </c>
      <c r="BC28" s="49">
        <f t="shared" si="9"/>
        <v>0</v>
      </c>
      <c r="BD28" s="49">
        <f t="shared" si="9"/>
        <v>0</v>
      </c>
      <c r="BE28" s="49">
        <f t="shared" si="9"/>
        <v>0</v>
      </c>
    </row>
    <row r="29" spans="1:57" s="49" customFormat="1" x14ac:dyDescent="0.25">
      <c r="A29" s="54">
        <f t="shared" si="7"/>
        <v>44561</v>
      </c>
      <c r="B29" s="53">
        <f t="shared" si="8"/>
        <v>9</v>
      </c>
      <c r="C29" s="99">
        <v>2021</v>
      </c>
      <c r="D29" s="101">
        <v>132313086255</v>
      </c>
      <c r="K29" s="104"/>
      <c r="N29" s="96">
        <v>1</v>
      </c>
      <c r="O29" s="58">
        <f t="shared" si="1"/>
        <v>132313086255</v>
      </c>
      <c r="P29" s="58">
        <f t="shared" si="2"/>
        <v>25120797.419540279</v>
      </c>
      <c r="Q29" s="58">
        <f t="shared" si="3"/>
        <v>84081155209.482666</v>
      </c>
      <c r="R29" s="74">
        <f t="shared" si="4"/>
        <v>0</v>
      </c>
      <c r="S29" s="59"/>
      <c r="T29" s="88"/>
      <c r="U29" s="10"/>
      <c r="V29" s="57">
        <f t="shared" si="5"/>
        <v>1423104290145.0513</v>
      </c>
      <c r="W29" s="49">
        <f t="shared" si="6"/>
        <v>132313086255</v>
      </c>
      <c r="X29" s="49">
        <f t="shared" si="0"/>
        <v>41811765804.360901</v>
      </c>
      <c r="Y29" s="49">
        <f t="shared" si="0"/>
        <v>44743316627.037453</v>
      </c>
      <c r="Z29" s="49">
        <f t="shared" si="0"/>
        <v>47880407446.903969</v>
      </c>
      <c r="AA29" s="49">
        <f t="shared" si="0"/>
        <v>51237449302.008308</v>
      </c>
      <c r="AB29" s="49">
        <f t="shared" si="0"/>
        <v>54829863632.366119</v>
      </c>
      <c r="AC29" s="49">
        <f t="shared" si="0"/>
        <v>58674153122.334076</v>
      </c>
      <c r="AD29" s="49">
        <f t="shared" si="0"/>
        <v>62787977509.958687</v>
      </c>
      <c r="AE29" s="49">
        <f t="shared" si="0"/>
        <v>67190234711.550461</v>
      </c>
      <c r="AF29" s="49">
        <f t="shared" si="0"/>
        <v>71901147634.150177</v>
      </c>
      <c r="AG29" s="49">
        <f t="shared" si="0"/>
        <v>76942357074.682755</v>
      </c>
      <c r="AH29" s="49">
        <f t="shared" si="0"/>
        <v>82337021132.555038</v>
      </c>
      <c r="AI29" s="49">
        <f t="shared" si="0"/>
        <v>88109921592.374969</v>
      </c>
      <c r="AJ29" s="49">
        <f t="shared" si="0"/>
        <v>94287577765.488647</v>
      </c>
      <c r="AK29" s="49">
        <f t="shared" si="0"/>
        <v>100898368313.29587</v>
      </c>
      <c r="AL29" s="49">
        <f t="shared" si="0"/>
        <v>107972661611.97101</v>
      </c>
      <c r="AM29" s="49">
        <f t="shared" si="0"/>
        <v>115542955257.45338</v>
      </c>
      <c r="AN29" s="49">
        <f t="shared" si="0"/>
        <v>123644025351.55928</v>
      </c>
      <c r="AO29" s="49">
        <f>+W29</f>
        <v>132313086255</v>
      </c>
      <c r="AZ29" s="49">
        <f t="shared" si="10"/>
        <v>0</v>
      </c>
      <c r="BA29" s="49">
        <f t="shared" si="9"/>
        <v>0</v>
      </c>
      <c r="BB29" s="49">
        <f t="shared" si="9"/>
        <v>0</v>
      </c>
      <c r="BC29" s="49">
        <f t="shared" si="9"/>
        <v>0</v>
      </c>
      <c r="BD29" s="49">
        <f t="shared" si="9"/>
        <v>0</v>
      </c>
      <c r="BE29" s="49">
        <f t="shared" si="9"/>
        <v>0</v>
      </c>
    </row>
    <row r="30" spans="1:57" s="49" customFormat="1" x14ac:dyDescent="0.25">
      <c r="A30" s="54">
        <f t="shared" si="7"/>
        <v>44926</v>
      </c>
      <c r="B30" s="53">
        <f t="shared" si="8"/>
        <v>10</v>
      </c>
      <c r="C30" s="99">
        <v>2022</v>
      </c>
      <c r="D30" s="101">
        <v>132313086255</v>
      </c>
      <c r="K30" s="104"/>
      <c r="N30" s="96">
        <v>1</v>
      </c>
      <c r="O30" s="58">
        <f t="shared" si="1"/>
        <v>132313086255</v>
      </c>
      <c r="P30" s="58">
        <f t="shared" si="2"/>
        <v>25120797.419540279</v>
      </c>
      <c r="Q30" s="58">
        <f t="shared" si="3"/>
        <v>84081155209.482666</v>
      </c>
      <c r="R30" s="74">
        <f t="shared" si="4"/>
        <v>0</v>
      </c>
      <c r="S30" s="59"/>
      <c r="T30" s="88"/>
      <c r="U30" s="10"/>
      <c r="V30" s="57">
        <f t="shared" si="5"/>
        <v>1381292524340.6904</v>
      </c>
      <c r="W30" s="49">
        <f t="shared" si="6"/>
        <v>132313086255</v>
      </c>
      <c r="X30" s="49">
        <f t="shared" si="0"/>
        <v>44743316627.037453</v>
      </c>
      <c r="Y30" s="49">
        <f t="shared" si="0"/>
        <v>47880407446.903969</v>
      </c>
      <c r="Z30" s="49">
        <f t="shared" si="0"/>
        <v>51237449302.008308</v>
      </c>
      <c r="AA30" s="49">
        <f t="shared" si="0"/>
        <v>54829863632.366119</v>
      </c>
      <c r="AB30" s="49">
        <f t="shared" si="0"/>
        <v>58674153122.334076</v>
      </c>
      <c r="AC30" s="49">
        <f t="shared" si="0"/>
        <v>62787977509.958687</v>
      </c>
      <c r="AD30" s="49">
        <f t="shared" si="0"/>
        <v>67190234711.550461</v>
      </c>
      <c r="AE30" s="49">
        <f t="shared" si="0"/>
        <v>71901147634.150177</v>
      </c>
      <c r="AF30" s="49">
        <f t="shared" si="0"/>
        <v>76942357074.682755</v>
      </c>
      <c r="AG30" s="49">
        <f t="shared" si="0"/>
        <v>82337021132.555038</v>
      </c>
      <c r="AH30" s="49">
        <f t="shared" si="0"/>
        <v>88109921592.374969</v>
      </c>
      <c r="AI30" s="49">
        <f t="shared" si="0"/>
        <v>94287577765.488647</v>
      </c>
      <c r="AJ30" s="49">
        <f t="shared" si="0"/>
        <v>100898368313.29587</v>
      </c>
      <c r="AK30" s="49">
        <f t="shared" si="0"/>
        <v>107972661611.97101</v>
      </c>
      <c r="AL30" s="49">
        <f t="shared" si="0"/>
        <v>115542955257.45338</v>
      </c>
      <c r="AM30" s="49">
        <f t="shared" si="0"/>
        <v>123644025351.55928</v>
      </c>
      <c r="AN30" s="49">
        <f>+W30</f>
        <v>132313086255</v>
      </c>
      <c r="AZ30" s="49">
        <f t="shared" si="10"/>
        <v>0</v>
      </c>
      <c r="BA30" s="49">
        <f t="shared" si="9"/>
        <v>0</v>
      </c>
      <c r="BB30" s="49">
        <f t="shared" si="9"/>
        <v>0</v>
      </c>
      <c r="BC30" s="49">
        <f t="shared" si="9"/>
        <v>0</v>
      </c>
      <c r="BD30" s="49">
        <f t="shared" si="9"/>
        <v>0</v>
      </c>
      <c r="BE30" s="49">
        <f t="shared" si="9"/>
        <v>0</v>
      </c>
    </row>
    <row r="31" spans="1:57" s="49" customFormat="1" x14ac:dyDescent="0.25">
      <c r="A31" s="54">
        <f t="shared" si="7"/>
        <v>45291</v>
      </c>
      <c r="B31" s="53">
        <f t="shared" si="8"/>
        <v>11</v>
      </c>
      <c r="C31" s="99">
        <v>2023</v>
      </c>
      <c r="D31" s="101">
        <v>132313086255</v>
      </c>
      <c r="K31" s="104"/>
      <c r="N31" s="96">
        <v>1</v>
      </c>
      <c r="O31" s="58">
        <f t="shared" si="1"/>
        <v>132313086255</v>
      </c>
      <c r="P31" s="58">
        <f t="shared" si="2"/>
        <v>25120797.419540279</v>
      </c>
      <c r="Q31" s="58">
        <f t="shared" si="3"/>
        <v>84081155209.482666</v>
      </c>
      <c r="R31" s="74">
        <f t="shared" si="4"/>
        <v>0</v>
      </c>
      <c r="S31" s="59"/>
      <c r="T31" s="88"/>
      <c r="U31" s="10"/>
      <c r="V31" s="57">
        <f t="shared" si="5"/>
        <v>1336549207713.6528</v>
      </c>
      <c r="W31" s="49">
        <f t="shared" si="6"/>
        <v>132313086255</v>
      </c>
      <c r="X31" s="49">
        <f t="shared" si="0"/>
        <v>47880407446.903969</v>
      </c>
      <c r="Y31" s="49">
        <f t="shared" si="0"/>
        <v>51237449302.008308</v>
      </c>
      <c r="Z31" s="49">
        <f t="shared" si="0"/>
        <v>54829863632.366119</v>
      </c>
      <c r="AA31" s="49">
        <f t="shared" si="0"/>
        <v>58674153122.334076</v>
      </c>
      <c r="AB31" s="49">
        <f t="shared" si="0"/>
        <v>62787977509.958687</v>
      </c>
      <c r="AC31" s="49">
        <f t="shared" si="0"/>
        <v>67190234711.550461</v>
      </c>
      <c r="AD31" s="49">
        <f t="shared" si="0"/>
        <v>71901147634.150177</v>
      </c>
      <c r="AE31" s="49">
        <f t="shared" si="0"/>
        <v>76942357074.682755</v>
      </c>
      <c r="AF31" s="49">
        <f t="shared" si="0"/>
        <v>82337021132.555038</v>
      </c>
      <c r="AG31" s="49">
        <f t="shared" si="0"/>
        <v>88109921592.374969</v>
      </c>
      <c r="AH31" s="49">
        <f t="shared" si="0"/>
        <v>94287577765.488647</v>
      </c>
      <c r="AI31" s="49">
        <f t="shared" si="0"/>
        <v>100898368313.29587</v>
      </c>
      <c r="AJ31" s="49">
        <f t="shared" si="0"/>
        <v>107972661611.97101</v>
      </c>
      <c r="AK31" s="49">
        <f t="shared" si="0"/>
        <v>115542955257.45338</v>
      </c>
      <c r="AL31" s="49">
        <f t="shared" si="0"/>
        <v>123644025351.55928</v>
      </c>
      <c r="AM31" s="49">
        <f>+W31</f>
        <v>132313086255</v>
      </c>
      <c r="AZ31" s="49">
        <f t="shared" si="10"/>
        <v>0</v>
      </c>
      <c r="BA31" s="49">
        <f t="shared" si="9"/>
        <v>0</v>
      </c>
      <c r="BB31" s="49">
        <f t="shared" si="9"/>
        <v>0</v>
      </c>
      <c r="BC31" s="49">
        <f t="shared" si="9"/>
        <v>0</v>
      </c>
      <c r="BD31" s="49">
        <f t="shared" si="9"/>
        <v>0</v>
      </c>
      <c r="BE31" s="49">
        <f t="shared" si="9"/>
        <v>0</v>
      </c>
    </row>
    <row r="32" spans="1:57" s="49" customFormat="1" x14ac:dyDescent="0.25">
      <c r="A32" s="54">
        <f t="shared" si="7"/>
        <v>45657</v>
      </c>
      <c r="B32" s="53">
        <f t="shared" si="8"/>
        <v>12</v>
      </c>
      <c r="C32" s="99">
        <v>2024</v>
      </c>
      <c r="D32" s="101">
        <v>132313086255</v>
      </c>
      <c r="K32" s="104"/>
      <c r="N32" s="96">
        <v>1</v>
      </c>
      <c r="O32" s="58">
        <f t="shared" si="1"/>
        <v>132313086255</v>
      </c>
      <c r="P32" s="58">
        <f t="shared" si="2"/>
        <v>25120797.419540279</v>
      </c>
      <c r="Q32" s="58">
        <f t="shared" si="3"/>
        <v>84081155209.482666</v>
      </c>
      <c r="R32" s="74">
        <f t="shared" si="4"/>
        <v>0</v>
      </c>
      <c r="S32" s="59"/>
      <c r="T32" s="88"/>
      <c r="U32" s="10"/>
      <c r="V32" s="57">
        <f t="shared" si="5"/>
        <v>1288668800266.7488</v>
      </c>
      <c r="W32" s="49">
        <f t="shared" si="6"/>
        <v>132313086255</v>
      </c>
      <c r="X32" s="49">
        <f t="shared" si="0"/>
        <v>51237449302.008308</v>
      </c>
      <c r="Y32" s="49">
        <f t="shared" si="0"/>
        <v>54829863632.366119</v>
      </c>
      <c r="Z32" s="49">
        <f t="shared" si="0"/>
        <v>58674153122.334076</v>
      </c>
      <c r="AA32" s="49">
        <f t="shared" si="0"/>
        <v>62787977509.958687</v>
      </c>
      <c r="AB32" s="49">
        <f t="shared" si="0"/>
        <v>67190234711.550461</v>
      </c>
      <c r="AC32" s="49">
        <f t="shared" si="0"/>
        <v>71901147634.150177</v>
      </c>
      <c r="AD32" s="49">
        <f t="shared" si="0"/>
        <v>76942357074.682755</v>
      </c>
      <c r="AE32" s="49">
        <f t="shared" si="0"/>
        <v>82337021132.555038</v>
      </c>
      <c r="AF32" s="49">
        <f t="shared" si="0"/>
        <v>88109921592.374969</v>
      </c>
      <c r="AG32" s="49">
        <f t="shared" ref="AG32:AK32" si="11">+-PV($D$6,$B33-$B32,0,AG33,0)</f>
        <v>94287577765.488647</v>
      </c>
      <c r="AH32" s="49">
        <f t="shared" si="11"/>
        <v>100898368313.29587</v>
      </c>
      <c r="AI32" s="49">
        <f t="shared" si="11"/>
        <v>107972661611.97101</v>
      </c>
      <c r="AJ32" s="49">
        <f t="shared" si="11"/>
        <v>115542955257.45338</v>
      </c>
      <c r="AK32" s="49">
        <f t="shared" si="11"/>
        <v>123644025351.55928</v>
      </c>
      <c r="AL32" s="49">
        <f>+W32</f>
        <v>132313086255</v>
      </c>
      <c r="AZ32" s="49">
        <f t="shared" si="10"/>
        <v>0</v>
      </c>
      <c r="BA32" s="49">
        <f t="shared" si="9"/>
        <v>0</v>
      </c>
      <c r="BB32" s="49">
        <f t="shared" si="9"/>
        <v>0</v>
      </c>
      <c r="BC32" s="49">
        <f t="shared" si="9"/>
        <v>0</v>
      </c>
      <c r="BD32" s="49">
        <f t="shared" si="9"/>
        <v>0</v>
      </c>
      <c r="BE32" s="49">
        <f t="shared" si="9"/>
        <v>0</v>
      </c>
    </row>
    <row r="33" spans="1:57" s="49" customFormat="1" x14ac:dyDescent="0.25">
      <c r="A33" s="54">
        <f t="shared" si="7"/>
        <v>46022</v>
      </c>
      <c r="B33" s="53">
        <f t="shared" si="8"/>
        <v>13</v>
      </c>
      <c r="C33" s="99">
        <v>2025</v>
      </c>
      <c r="D33" s="101">
        <v>132313086255</v>
      </c>
      <c r="K33" s="104"/>
      <c r="N33" s="96">
        <v>1</v>
      </c>
      <c r="O33" s="58">
        <f t="shared" si="1"/>
        <v>132313086255</v>
      </c>
      <c r="P33" s="58">
        <f t="shared" si="2"/>
        <v>25120797.419540279</v>
      </c>
      <c r="Q33" s="58">
        <f t="shared" si="3"/>
        <v>84081155209.482666</v>
      </c>
      <c r="R33" s="74">
        <f t="shared" si="4"/>
        <v>0</v>
      </c>
      <c r="S33" s="59"/>
      <c r="T33" s="88"/>
      <c r="U33" s="10"/>
      <c r="V33" s="57">
        <f t="shared" si="5"/>
        <v>1237431350964.7405</v>
      </c>
      <c r="W33" s="49">
        <f t="shared" si="6"/>
        <v>132313086255</v>
      </c>
      <c r="X33" s="49">
        <f t="shared" ref="X33:AJ40" si="12">+-PV($D$6,$B34-$B33,0,X34,0)</f>
        <v>54829863632.366119</v>
      </c>
      <c r="Y33" s="49">
        <f t="shared" si="12"/>
        <v>58674153122.334076</v>
      </c>
      <c r="Z33" s="49">
        <f t="shared" si="12"/>
        <v>62787977509.958687</v>
      </c>
      <c r="AA33" s="49">
        <f t="shared" si="12"/>
        <v>67190234711.550461</v>
      </c>
      <c r="AB33" s="49">
        <f t="shared" si="12"/>
        <v>71901147634.150177</v>
      </c>
      <c r="AC33" s="49">
        <f t="shared" si="12"/>
        <v>76942357074.682755</v>
      </c>
      <c r="AD33" s="49">
        <f t="shared" si="12"/>
        <v>82337021132.555038</v>
      </c>
      <c r="AE33" s="49">
        <f t="shared" si="12"/>
        <v>88109921592.374969</v>
      </c>
      <c r="AF33" s="49">
        <f t="shared" si="12"/>
        <v>94287577765.488647</v>
      </c>
      <c r="AG33" s="49">
        <f t="shared" si="12"/>
        <v>100898368313.29587</v>
      </c>
      <c r="AH33" s="49">
        <f t="shared" si="12"/>
        <v>107972661611.97101</v>
      </c>
      <c r="AI33" s="49">
        <f t="shared" si="12"/>
        <v>115542955257.45338</v>
      </c>
      <c r="AJ33" s="49">
        <f t="shared" si="12"/>
        <v>123644025351.55928</v>
      </c>
      <c r="AK33" s="49">
        <f>+W33</f>
        <v>132313086255</v>
      </c>
      <c r="AZ33" s="49">
        <f t="shared" si="10"/>
        <v>0</v>
      </c>
      <c r="BA33" s="49">
        <f t="shared" si="9"/>
        <v>0</v>
      </c>
      <c r="BB33" s="49">
        <f t="shared" si="9"/>
        <v>0</v>
      </c>
      <c r="BC33" s="49">
        <f t="shared" si="9"/>
        <v>0</v>
      </c>
      <c r="BD33" s="49">
        <f t="shared" si="9"/>
        <v>0</v>
      </c>
      <c r="BE33" s="49">
        <f t="shared" si="9"/>
        <v>0</v>
      </c>
    </row>
    <row r="34" spans="1:57" s="49" customFormat="1" x14ac:dyDescent="0.25">
      <c r="A34" s="54">
        <f t="shared" si="7"/>
        <v>46387</v>
      </c>
      <c r="B34" s="53">
        <f t="shared" si="8"/>
        <v>14</v>
      </c>
      <c r="C34" s="99">
        <v>2026</v>
      </c>
      <c r="D34" s="101">
        <v>132313086255</v>
      </c>
      <c r="K34" s="104"/>
      <c r="N34" s="96">
        <v>1</v>
      </c>
      <c r="O34" s="58">
        <f t="shared" si="1"/>
        <v>132313086255</v>
      </c>
      <c r="P34" s="58">
        <f t="shared" si="2"/>
        <v>25120797.419540279</v>
      </c>
      <c r="Q34" s="58">
        <f t="shared" si="3"/>
        <v>84081155209.482666</v>
      </c>
      <c r="R34" s="74">
        <f t="shared" si="4"/>
        <v>0</v>
      </c>
      <c r="S34" s="59"/>
      <c r="T34" s="88"/>
      <c r="U34" s="10"/>
      <c r="V34" s="57">
        <f t="shared" si="5"/>
        <v>1182601487332.3745</v>
      </c>
      <c r="W34" s="49">
        <f t="shared" si="6"/>
        <v>132313086255</v>
      </c>
      <c r="X34" s="49">
        <f t="shared" si="12"/>
        <v>58674153122.334076</v>
      </c>
      <c r="Y34" s="49">
        <f t="shared" si="12"/>
        <v>62787977509.958687</v>
      </c>
      <c r="Z34" s="49">
        <f t="shared" si="12"/>
        <v>67190234711.550461</v>
      </c>
      <c r="AA34" s="49">
        <f t="shared" si="12"/>
        <v>71901147634.150177</v>
      </c>
      <c r="AB34" s="49">
        <f t="shared" si="12"/>
        <v>76942357074.682755</v>
      </c>
      <c r="AC34" s="49">
        <f t="shared" si="12"/>
        <v>82337021132.555038</v>
      </c>
      <c r="AD34" s="49">
        <f t="shared" si="12"/>
        <v>88109921592.374969</v>
      </c>
      <c r="AE34" s="49">
        <f t="shared" si="12"/>
        <v>94287577765.488647</v>
      </c>
      <c r="AF34" s="49">
        <f t="shared" si="12"/>
        <v>100898368313.29587</v>
      </c>
      <c r="AG34" s="49">
        <f t="shared" si="12"/>
        <v>107972661611.97101</v>
      </c>
      <c r="AH34" s="49">
        <f t="shared" si="12"/>
        <v>115542955257.45338</v>
      </c>
      <c r="AI34" s="49">
        <f t="shared" si="12"/>
        <v>123644025351.55928</v>
      </c>
      <c r="AJ34" s="49">
        <f>+W34</f>
        <v>132313086255</v>
      </c>
      <c r="AZ34" s="49">
        <f t="shared" si="10"/>
        <v>0</v>
      </c>
      <c r="BA34" s="49">
        <f t="shared" si="9"/>
        <v>0</v>
      </c>
      <c r="BB34" s="49">
        <f t="shared" si="9"/>
        <v>0</v>
      </c>
      <c r="BC34" s="49">
        <f t="shared" si="9"/>
        <v>0</v>
      </c>
      <c r="BD34" s="49">
        <f t="shared" si="9"/>
        <v>0</v>
      </c>
      <c r="BE34" s="49">
        <f t="shared" si="9"/>
        <v>0</v>
      </c>
    </row>
    <row r="35" spans="1:57" s="49" customFormat="1" x14ac:dyDescent="0.25">
      <c r="A35" s="54">
        <f t="shared" si="7"/>
        <v>46752</v>
      </c>
      <c r="B35" s="53">
        <f t="shared" si="8"/>
        <v>15</v>
      </c>
      <c r="C35" s="99">
        <v>2027</v>
      </c>
      <c r="D35" s="101">
        <v>132313086255</v>
      </c>
      <c r="K35" s="104"/>
      <c r="N35" s="96">
        <v>1</v>
      </c>
      <c r="O35" s="58">
        <f t="shared" si="1"/>
        <v>132313086255</v>
      </c>
      <c r="P35" s="58">
        <f t="shared" si="2"/>
        <v>25120797.419540279</v>
      </c>
      <c r="Q35" s="58">
        <f t="shared" si="3"/>
        <v>84081155209.482666</v>
      </c>
      <c r="R35" s="74">
        <f t="shared" si="4"/>
        <v>0</v>
      </c>
      <c r="S35" s="59"/>
      <c r="T35" s="88"/>
      <c r="U35" s="10"/>
      <c r="V35" s="57">
        <f t="shared" si="5"/>
        <v>1123927334210.0403</v>
      </c>
      <c r="W35" s="49">
        <f t="shared" si="6"/>
        <v>132313086255</v>
      </c>
      <c r="X35" s="49">
        <f t="shared" si="12"/>
        <v>62787977509.958687</v>
      </c>
      <c r="Y35" s="49">
        <f t="shared" si="12"/>
        <v>67190234711.550461</v>
      </c>
      <c r="Z35" s="49">
        <f t="shared" si="12"/>
        <v>71901147634.150177</v>
      </c>
      <c r="AA35" s="49">
        <f t="shared" si="12"/>
        <v>76942357074.682755</v>
      </c>
      <c r="AB35" s="49">
        <f t="shared" si="12"/>
        <v>82337021132.555038</v>
      </c>
      <c r="AC35" s="49">
        <f t="shared" si="12"/>
        <v>88109921592.374969</v>
      </c>
      <c r="AD35" s="49">
        <f t="shared" si="12"/>
        <v>94287577765.488647</v>
      </c>
      <c r="AE35" s="49">
        <f t="shared" si="12"/>
        <v>100898368313.29587</v>
      </c>
      <c r="AF35" s="49">
        <f t="shared" si="12"/>
        <v>107972661611.97101</v>
      </c>
      <c r="AG35" s="49">
        <f t="shared" si="12"/>
        <v>115542955257.45338</v>
      </c>
      <c r="AH35" s="49">
        <f t="shared" si="12"/>
        <v>123644025351.55928</v>
      </c>
      <c r="AI35" s="49">
        <f>+W35</f>
        <v>132313086255</v>
      </c>
      <c r="AZ35" s="49">
        <f t="shared" si="10"/>
        <v>0</v>
      </c>
      <c r="BA35" s="49">
        <f t="shared" si="9"/>
        <v>0</v>
      </c>
      <c r="BB35" s="49">
        <f t="shared" si="9"/>
        <v>0</v>
      </c>
      <c r="BC35" s="49">
        <f t="shared" si="9"/>
        <v>0</v>
      </c>
      <c r="BD35" s="49">
        <f t="shared" si="9"/>
        <v>0</v>
      </c>
      <c r="BE35" s="49">
        <f t="shared" si="9"/>
        <v>0</v>
      </c>
    </row>
    <row r="36" spans="1:57" s="49" customFormat="1" x14ac:dyDescent="0.25">
      <c r="A36" s="54">
        <f t="shared" si="7"/>
        <v>47118</v>
      </c>
      <c r="B36" s="53">
        <f t="shared" si="8"/>
        <v>16</v>
      </c>
      <c r="C36" s="99">
        <v>2028</v>
      </c>
      <c r="D36" s="101">
        <v>132313086255</v>
      </c>
      <c r="K36" s="104"/>
      <c r="N36" s="96">
        <v>1</v>
      </c>
      <c r="O36" s="58">
        <f t="shared" si="1"/>
        <v>132313086255</v>
      </c>
      <c r="P36" s="58">
        <f t="shared" si="2"/>
        <v>25120797.419540279</v>
      </c>
      <c r="Q36" s="58">
        <f t="shared" si="3"/>
        <v>84081155209.482666</v>
      </c>
      <c r="R36" s="74">
        <f t="shared" si="4"/>
        <v>0</v>
      </c>
      <c r="S36" s="59"/>
      <c r="T36" s="88"/>
      <c r="U36" s="10"/>
      <c r="V36" s="57">
        <f t="shared" si="5"/>
        <v>1061139356700.0815</v>
      </c>
      <c r="W36" s="49">
        <f t="shared" si="6"/>
        <v>132313086255</v>
      </c>
      <c r="X36" s="49">
        <f t="shared" si="12"/>
        <v>67190234711.550461</v>
      </c>
      <c r="Y36" s="49">
        <f t="shared" si="12"/>
        <v>71901147634.150177</v>
      </c>
      <c r="Z36" s="49">
        <f t="shared" si="12"/>
        <v>76942357074.682755</v>
      </c>
      <c r="AA36" s="49">
        <f t="shared" si="12"/>
        <v>82337021132.555038</v>
      </c>
      <c r="AB36" s="49">
        <f t="shared" si="12"/>
        <v>88109921592.374969</v>
      </c>
      <c r="AC36" s="49">
        <f t="shared" si="12"/>
        <v>94287577765.488647</v>
      </c>
      <c r="AD36" s="49">
        <f t="shared" si="12"/>
        <v>100898368313.29587</v>
      </c>
      <c r="AE36" s="49">
        <f t="shared" si="12"/>
        <v>107972661611.97101</v>
      </c>
      <c r="AF36" s="49">
        <f t="shared" si="12"/>
        <v>115542955257.45338</v>
      </c>
      <c r="AG36" s="49">
        <f t="shared" si="12"/>
        <v>123644025351.55928</v>
      </c>
      <c r="AH36" s="49">
        <f>+W36</f>
        <v>132313086255</v>
      </c>
      <c r="AZ36" s="49">
        <f t="shared" si="10"/>
        <v>0</v>
      </c>
      <c r="BA36" s="49">
        <f t="shared" si="9"/>
        <v>0</v>
      </c>
      <c r="BB36" s="49">
        <f t="shared" si="9"/>
        <v>0</v>
      </c>
      <c r="BC36" s="49">
        <f t="shared" si="9"/>
        <v>0</v>
      </c>
      <c r="BD36" s="49">
        <f t="shared" si="9"/>
        <v>0</v>
      </c>
      <c r="BE36" s="49">
        <f t="shared" si="9"/>
        <v>0</v>
      </c>
    </row>
    <row r="37" spans="1:57" s="49" customFormat="1" x14ac:dyDescent="0.25">
      <c r="A37" s="54">
        <f t="shared" si="7"/>
        <v>47483</v>
      </c>
      <c r="B37" s="53">
        <f t="shared" si="8"/>
        <v>17</v>
      </c>
      <c r="C37" s="99">
        <v>2029</v>
      </c>
      <c r="D37" s="101">
        <v>132313086255</v>
      </c>
      <c r="K37" s="104"/>
      <c r="N37" s="96">
        <v>1</v>
      </c>
      <c r="O37" s="58">
        <f t="shared" si="1"/>
        <v>132313086255</v>
      </c>
      <c r="P37" s="58">
        <f t="shared" si="2"/>
        <v>25120797.419540279</v>
      </c>
      <c r="Q37" s="58">
        <f t="shared" si="3"/>
        <v>84081155209.482666</v>
      </c>
      <c r="R37" s="74">
        <f t="shared" si="4"/>
        <v>0</v>
      </c>
      <c r="S37" s="59"/>
      <c r="T37" s="88"/>
      <c r="U37" s="10"/>
      <c r="V37" s="57">
        <f t="shared" si="5"/>
        <v>993949121988.53125</v>
      </c>
      <c r="W37" s="49">
        <f t="shared" si="6"/>
        <v>132313086255</v>
      </c>
      <c r="X37" s="49">
        <f t="shared" si="12"/>
        <v>71901147634.150177</v>
      </c>
      <c r="Y37" s="49">
        <f t="shared" si="12"/>
        <v>76942357074.682755</v>
      </c>
      <c r="Z37" s="49">
        <f t="shared" si="12"/>
        <v>82337021132.555038</v>
      </c>
      <c r="AA37" s="49">
        <f t="shared" si="12"/>
        <v>88109921592.374969</v>
      </c>
      <c r="AB37" s="49">
        <f t="shared" si="12"/>
        <v>94287577765.488647</v>
      </c>
      <c r="AC37" s="49">
        <f t="shared" si="12"/>
        <v>100898368313.29587</v>
      </c>
      <c r="AD37" s="49">
        <f t="shared" si="12"/>
        <v>107972661611.97101</v>
      </c>
      <c r="AE37" s="49">
        <f t="shared" si="12"/>
        <v>115542955257.45338</v>
      </c>
      <c r="AF37" s="49">
        <f t="shared" si="12"/>
        <v>123644025351.55928</v>
      </c>
      <c r="AG37" s="49">
        <f>+W37</f>
        <v>132313086255</v>
      </c>
      <c r="AZ37" s="49">
        <f t="shared" si="10"/>
        <v>0</v>
      </c>
      <c r="BA37" s="49">
        <f t="shared" si="9"/>
        <v>0</v>
      </c>
      <c r="BB37" s="49">
        <f t="shared" si="9"/>
        <v>0</v>
      </c>
      <c r="BC37" s="49">
        <f t="shared" si="9"/>
        <v>0</v>
      </c>
      <c r="BD37" s="49">
        <f t="shared" si="9"/>
        <v>0</v>
      </c>
      <c r="BE37" s="49">
        <f t="shared" si="9"/>
        <v>0</v>
      </c>
    </row>
    <row r="38" spans="1:57" s="49" customFormat="1" x14ac:dyDescent="0.25">
      <c r="A38" s="54">
        <f t="shared" si="7"/>
        <v>47848</v>
      </c>
      <c r="B38" s="53">
        <f t="shared" si="8"/>
        <v>18</v>
      </c>
      <c r="C38" s="99">
        <v>2030</v>
      </c>
      <c r="D38" s="101">
        <v>132313086255</v>
      </c>
      <c r="K38" s="104"/>
      <c r="N38" s="96">
        <v>1</v>
      </c>
      <c r="O38" s="58">
        <f t="shared" si="1"/>
        <v>132313086255</v>
      </c>
      <c r="P38" s="58">
        <f t="shared" si="2"/>
        <v>25120797.419540279</v>
      </c>
      <c r="Q38" s="58">
        <f t="shared" si="3"/>
        <v>84081155209.482666</v>
      </c>
      <c r="R38" s="74">
        <f t="shared" si="4"/>
        <v>0</v>
      </c>
      <c r="S38" s="59"/>
      <c r="T38" s="88"/>
      <c r="U38" s="10"/>
      <c r="V38" s="57">
        <f t="shared" si="5"/>
        <v>922047974354.3811</v>
      </c>
      <c r="W38" s="49">
        <f t="shared" si="6"/>
        <v>132313086255</v>
      </c>
      <c r="X38" s="49">
        <f t="shared" si="12"/>
        <v>76942357074.682755</v>
      </c>
      <c r="Y38" s="49">
        <f t="shared" si="12"/>
        <v>82337021132.555038</v>
      </c>
      <c r="Z38" s="49">
        <f t="shared" si="12"/>
        <v>88109921592.374969</v>
      </c>
      <c r="AA38" s="49">
        <f t="shared" si="12"/>
        <v>94287577765.488647</v>
      </c>
      <c r="AB38" s="49">
        <f t="shared" si="12"/>
        <v>100898368313.29587</v>
      </c>
      <c r="AC38" s="49">
        <f t="shared" si="12"/>
        <v>107972661611.97101</v>
      </c>
      <c r="AD38" s="49">
        <f t="shared" si="12"/>
        <v>115542955257.45338</v>
      </c>
      <c r="AE38" s="49">
        <f t="shared" si="12"/>
        <v>123644025351.55928</v>
      </c>
      <c r="AF38" s="49">
        <f>+W38</f>
        <v>132313086255</v>
      </c>
      <c r="AZ38" s="49">
        <f t="shared" si="10"/>
        <v>0</v>
      </c>
      <c r="BA38" s="49">
        <f t="shared" si="9"/>
        <v>0</v>
      </c>
      <c r="BB38" s="49">
        <f t="shared" si="9"/>
        <v>0</v>
      </c>
      <c r="BC38" s="49">
        <f t="shared" si="9"/>
        <v>0</v>
      </c>
      <c r="BD38" s="49">
        <f t="shared" si="9"/>
        <v>0</v>
      </c>
      <c r="BE38" s="49">
        <f t="shared" si="9"/>
        <v>0</v>
      </c>
    </row>
    <row r="39" spans="1:57" s="49" customFormat="1" x14ac:dyDescent="0.25">
      <c r="A39" s="54">
        <f t="shared" si="7"/>
        <v>48213</v>
      </c>
      <c r="B39" s="53">
        <f t="shared" si="8"/>
        <v>19</v>
      </c>
      <c r="C39" s="99">
        <v>2031</v>
      </c>
      <c r="D39" s="101">
        <v>132313086255</v>
      </c>
      <c r="K39" s="104"/>
      <c r="N39" s="96">
        <v>1</v>
      </c>
      <c r="O39" s="58">
        <f t="shared" si="1"/>
        <v>132313086255</v>
      </c>
      <c r="P39" s="58">
        <f t="shared" si="2"/>
        <v>25120797.419540279</v>
      </c>
      <c r="Q39" s="58">
        <f t="shared" si="3"/>
        <v>84081155209.482666</v>
      </c>
      <c r="R39" s="74">
        <f t="shared" si="4"/>
        <v>0</v>
      </c>
      <c r="S39" s="59"/>
      <c r="T39" s="88"/>
      <c r="U39" s="10"/>
      <c r="V39" s="57">
        <f t="shared" si="5"/>
        <v>845105617279.69824</v>
      </c>
      <c r="W39" s="49">
        <f t="shared" si="6"/>
        <v>132313086255</v>
      </c>
      <c r="X39" s="49">
        <f t="shared" si="12"/>
        <v>82337021132.555038</v>
      </c>
      <c r="Y39" s="49">
        <f t="shared" si="12"/>
        <v>88109921592.374969</v>
      </c>
      <c r="Z39" s="49">
        <f t="shared" si="12"/>
        <v>94287577765.488647</v>
      </c>
      <c r="AA39" s="49">
        <f t="shared" si="12"/>
        <v>100898368313.29587</v>
      </c>
      <c r="AB39" s="49">
        <f t="shared" si="12"/>
        <v>107972661611.97101</v>
      </c>
      <c r="AC39" s="49">
        <f t="shared" si="12"/>
        <v>115542955257.45338</v>
      </c>
      <c r="AD39" s="49">
        <f t="shared" si="12"/>
        <v>123644025351.55928</v>
      </c>
      <c r="AE39" s="49">
        <f>+W39</f>
        <v>132313086255</v>
      </c>
      <c r="AZ39" s="49">
        <f t="shared" si="10"/>
        <v>0</v>
      </c>
      <c r="BA39" s="49">
        <f t="shared" si="9"/>
        <v>0</v>
      </c>
      <c r="BB39" s="49">
        <f t="shared" si="9"/>
        <v>0</v>
      </c>
      <c r="BC39" s="49">
        <f t="shared" si="9"/>
        <v>0</v>
      </c>
      <c r="BD39" s="49">
        <f t="shared" si="9"/>
        <v>0</v>
      </c>
      <c r="BE39" s="49">
        <f t="shared" si="9"/>
        <v>0</v>
      </c>
    </row>
    <row r="40" spans="1:57" s="49" customFormat="1" x14ac:dyDescent="0.25">
      <c r="A40" s="54">
        <f t="shared" si="7"/>
        <v>48579</v>
      </c>
      <c r="B40" s="53">
        <f t="shared" si="8"/>
        <v>20</v>
      </c>
      <c r="C40" s="99">
        <v>2032</v>
      </c>
      <c r="D40" s="101">
        <v>132313086255</v>
      </c>
      <c r="K40" s="104"/>
      <c r="N40" s="96">
        <v>1</v>
      </c>
      <c r="O40" s="58">
        <f t="shared" si="1"/>
        <v>132313086255</v>
      </c>
      <c r="P40" s="58">
        <f t="shared" si="2"/>
        <v>0</v>
      </c>
      <c r="Q40" s="58">
        <f t="shared" si="3"/>
        <v>132313086255</v>
      </c>
      <c r="R40" s="74">
        <f t="shared" si="4"/>
        <v>0</v>
      </c>
      <c r="S40" s="59"/>
      <c r="T40" s="88"/>
      <c r="U40" s="10"/>
      <c r="V40" s="57">
        <f t="shared" si="5"/>
        <v>762768596147.14319</v>
      </c>
      <c r="W40" s="49">
        <f t="shared" si="6"/>
        <v>132313086255</v>
      </c>
      <c r="X40" s="49">
        <f t="shared" si="12"/>
        <v>88109921592.374969</v>
      </c>
      <c r="Y40" s="49">
        <f t="shared" si="12"/>
        <v>94287577765.488647</v>
      </c>
      <c r="Z40" s="49">
        <f t="shared" si="12"/>
        <v>100898368313.29587</v>
      </c>
      <c r="AA40" s="49">
        <f t="shared" si="12"/>
        <v>107972661611.97101</v>
      </c>
      <c r="AB40" s="49">
        <f t="shared" si="12"/>
        <v>115542955257.45338</v>
      </c>
      <c r="AC40" s="49">
        <f t="shared" si="12"/>
        <v>123644025351.55928</v>
      </c>
      <c r="AD40" s="49">
        <f>+W40</f>
        <v>132313086255</v>
      </c>
      <c r="AZ40" s="49">
        <f t="shared" si="10"/>
        <v>0</v>
      </c>
      <c r="BA40" s="49">
        <f t="shared" si="10"/>
        <v>0</v>
      </c>
      <c r="BB40" s="49">
        <f t="shared" si="10"/>
        <v>0</v>
      </c>
      <c r="BC40" s="49">
        <f t="shared" si="10"/>
        <v>0</v>
      </c>
      <c r="BD40" s="49">
        <f t="shared" si="10"/>
        <v>0</v>
      </c>
      <c r="BE40" s="49">
        <f t="shared" si="10"/>
        <v>0</v>
      </c>
    </row>
    <row r="41" spans="1:57" s="49" customFormat="1" x14ac:dyDescent="0.25">
      <c r="A41" s="54">
        <f t="shared" si="7"/>
        <v>48944</v>
      </c>
      <c r="B41" s="53">
        <f t="shared" si="8"/>
        <v>21</v>
      </c>
      <c r="C41" s="99">
        <v>2033</v>
      </c>
      <c r="D41" s="101">
        <v>132313086255</v>
      </c>
      <c r="K41" s="104"/>
      <c r="N41" s="96">
        <v>1</v>
      </c>
      <c r="O41" s="58">
        <f t="shared" si="1"/>
        <v>132313086255</v>
      </c>
      <c r="P41" s="58">
        <f t="shared" si="2"/>
        <v>0</v>
      </c>
      <c r="Q41" s="58">
        <f t="shared" si="3"/>
        <v>132313086255</v>
      </c>
      <c r="R41" s="74">
        <f t="shared" si="4"/>
        <v>0</v>
      </c>
      <c r="S41" s="59"/>
      <c r="T41" s="88"/>
      <c r="U41" s="10"/>
      <c r="V41" s="57">
        <f t="shared" si="5"/>
        <v>674658674554.76807</v>
      </c>
      <c r="W41" s="49">
        <f t="shared" si="6"/>
        <v>132313086255</v>
      </c>
      <c r="X41" s="49">
        <f>+-PV($D$6,$B42-$B41,0,X42,0)</f>
        <v>94287577765.488647</v>
      </c>
      <c r="Y41" s="49">
        <f>+-PV($D$6,$B42-$B41,0,Y42,0)</f>
        <v>100898368313.29587</v>
      </c>
      <c r="Z41" s="49">
        <f>+-PV($D$6,$B42-$B41,0,Z42,0)</f>
        <v>107972661611.97101</v>
      </c>
      <c r="AA41" s="49">
        <f>+-PV($D$6,$B42-$B41,0,AA42,0)</f>
        <v>115542955257.45338</v>
      </c>
      <c r="AB41" s="49">
        <f>+-PV($D$6,$B42-$B41,0,AB42,0)</f>
        <v>123644025351.55928</v>
      </c>
      <c r="AC41" s="49">
        <f>+W41</f>
        <v>132313086255</v>
      </c>
      <c r="AZ41" s="49">
        <f t="shared" si="10"/>
        <v>0</v>
      </c>
      <c r="BA41" s="49">
        <f t="shared" si="10"/>
        <v>0</v>
      </c>
      <c r="BB41" s="49">
        <f t="shared" si="10"/>
        <v>0</v>
      </c>
      <c r="BC41" s="49">
        <f t="shared" si="10"/>
        <v>0</v>
      </c>
      <c r="BD41" s="49">
        <f t="shared" si="10"/>
        <v>0</v>
      </c>
      <c r="BE41" s="49">
        <f t="shared" si="10"/>
        <v>0</v>
      </c>
    </row>
    <row r="42" spans="1:57" s="49" customFormat="1" x14ac:dyDescent="0.25">
      <c r="A42" s="54">
        <f t="shared" si="7"/>
        <v>49309</v>
      </c>
      <c r="B42" s="53">
        <f t="shared" si="8"/>
        <v>22</v>
      </c>
      <c r="C42" s="99">
        <v>2034</v>
      </c>
      <c r="D42" s="101">
        <v>132313086255</v>
      </c>
      <c r="K42" s="104"/>
      <c r="N42" s="96">
        <v>1</v>
      </c>
      <c r="O42" s="58">
        <f t="shared" si="1"/>
        <v>132313086255</v>
      </c>
      <c r="P42" s="58">
        <f t="shared" si="2"/>
        <v>0</v>
      </c>
      <c r="Q42" s="58">
        <f t="shared" si="3"/>
        <v>132313086255</v>
      </c>
      <c r="R42" s="74">
        <f t="shared" si="4"/>
        <v>0</v>
      </c>
      <c r="S42" s="59"/>
      <c r="T42" s="88"/>
      <c r="U42" s="10"/>
      <c r="V42" s="57">
        <f t="shared" si="5"/>
        <v>580371096789.27954</v>
      </c>
      <c r="W42" s="49">
        <f t="shared" si="6"/>
        <v>132313086255</v>
      </c>
      <c r="X42" s="49">
        <f>+-PV($D$6,$B43-$B42,0,X43,0)</f>
        <v>100898368313.29587</v>
      </c>
      <c r="Y42" s="49">
        <f>+-PV($D$6,$B43-$B42,0,Y43,0)</f>
        <v>107972661611.97101</v>
      </c>
      <c r="Z42" s="49">
        <f>+-PV($D$6,$B43-$B42,0,Z43,0)</f>
        <v>115542955257.45338</v>
      </c>
      <c r="AA42" s="49">
        <f>+-PV($D$6,$B43-$B42,0,AA43,0)</f>
        <v>123644025351.55928</v>
      </c>
      <c r="AB42" s="49">
        <f>+W42</f>
        <v>132313086255</v>
      </c>
      <c r="AZ42" s="49">
        <f t="shared" si="10"/>
        <v>0</v>
      </c>
      <c r="BA42" s="49">
        <f t="shared" si="10"/>
        <v>0</v>
      </c>
      <c r="BB42" s="49">
        <f t="shared" si="10"/>
        <v>0</v>
      </c>
      <c r="BC42" s="49">
        <f t="shared" si="10"/>
        <v>0</v>
      </c>
      <c r="BD42" s="49">
        <f t="shared" si="10"/>
        <v>0</v>
      </c>
      <c r="BE42" s="49">
        <f t="shared" si="10"/>
        <v>0</v>
      </c>
    </row>
    <row r="43" spans="1:57" s="49" customFormat="1" x14ac:dyDescent="0.25">
      <c r="A43" s="54">
        <f t="shared" si="7"/>
        <v>49674</v>
      </c>
      <c r="B43" s="53">
        <f t="shared" si="8"/>
        <v>23</v>
      </c>
      <c r="C43" s="99">
        <v>2035</v>
      </c>
      <c r="D43" s="101">
        <v>132313086255</v>
      </c>
      <c r="K43" s="104"/>
      <c r="N43" s="96">
        <v>1</v>
      </c>
      <c r="O43" s="58">
        <f t="shared" si="1"/>
        <v>132313086255</v>
      </c>
      <c r="P43" s="58">
        <f t="shared" si="2"/>
        <v>0</v>
      </c>
      <c r="Q43" s="58">
        <f t="shared" si="3"/>
        <v>132313086255</v>
      </c>
      <c r="R43" s="74">
        <f t="shared" si="4"/>
        <v>0</v>
      </c>
      <c r="S43" s="59"/>
      <c r="T43" s="88"/>
      <c r="U43" s="10"/>
      <c r="V43" s="57">
        <f t="shared" si="5"/>
        <v>479472728475.98364</v>
      </c>
      <c r="W43" s="49">
        <f t="shared" si="6"/>
        <v>132313086255</v>
      </c>
      <c r="X43" s="49">
        <f>+-PV($D$6,$B44-$B43,0,X44,0)</f>
        <v>107972661611.97101</v>
      </c>
      <c r="Y43" s="49">
        <f>+-PV($D$6,$B44-$B43,0,Y44,0)</f>
        <v>115542955257.45338</v>
      </c>
      <c r="Z43" s="49">
        <f>+-PV($D$6,$B44-$B43,0,Z44,0)</f>
        <v>123644025351.55928</v>
      </c>
      <c r="AA43" s="49">
        <f>+W43</f>
        <v>132313086255</v>
      </c>
      <c r="AZ43" s="49">
        <f t="shared" si="10"/>
        <v>0</v>
      </c>
      <c r="BA43" s="49">
        <f t="shared" si="10"/>
        <v>0</v>
      </c>
      <c r="BB43" s="49">
        <f t="shared" si="10"/>
        <v>0</v>
      </c>
      <c r="BC43" s="49">
        <f t="shared" si="10"/>
        <v>0</v>
      </c>
      <c r="BD43" s="49">
        <f t="shared" si="10"/>
        <v>0</v>
      </c>
      <c r="BE43" s="49">
        <f t="shared" si="10"/>
        <v>0</v>
      </c>
    </row>
    <row r="44" spans="1:57" s="49" customFormat="1" x14ac:dyDescent="0.25">
      <c r="A44" s="54">
        <f t="shared" si="7"/>
        <v>50040</v>
      </c>
      <c r="B44" s="53">
        <f t="shared" si="8"/>
        <v>24</v>
      </c>
      <c r="C44" s="99">
        <v>2036</v>
      </c>
      <c r="D44" s="101">
        <v>132313086255</v>
      </c>
      <c r="K44" s="104"/>
      <c r="N44" s="96">
        <v>1</v>
      </c>
      <c r="O44" s="58">
        <f t="shared" si="1"/>
        <v>132313086255</v>
      </c>
      <c r="P44" s="58">
        <f t="shared" si="2"/>
        <v>0</v>
      </c>
      <c r="Q44" s="58">
        <f t="shared" si="3"/>
        <v>132313086255</v>
      </c>
      <c r="R44" s="74">
        <f t="shared" si="4"/>
        <v>0</v>
      </c>
      <c r="S44" s="59"/>
      <c r="T44" s="88"/>
      <c r="U44" s="10"/>
      <c r="V44" s="57">
        <f t="shared" si="5"/>
        <v>371500066864.0127</v>
      </c>
      <c r="W44" s="49">
        <f t="shared" si="6"/>
        <v>132313086255</v>
      </c>
      <c r="X44" s="49">
        <f>+-PV($D$6,$B45-$B44,0,X45,0)</f>
        <v>115542955257.45338</v>
      </c>
      <c r="Y44" s="49">
        <f>+-PV($D$6,$B45-$B44,0,Y45,0)</f>
        <v>123644025351.55928</v>
      </c>
      <c r="Z44" s="49">
        <f>+W44</f>
        <v>132313086255</v>
      </c>
      <c r="AZ44" s="49">
        <f t="shared" si="10"/>
        <v>0</v>
      </c>
      <c r="BA44" s="49">
        <f t="shared" si="10"/>
        <v>0</v>
      </c>
      <c r="BB44" s="49">
        <f t="shared" si="10"/>
        <v>0</v>
      </c>
      <c r="BC44" s="49">
        <f t="shared" si="10"/>
        <v>0</v>
      </c>
      <c r="BD44" s="49">
        <f t="shared" si="10"/>
        <v>0</v>
      </c>
      <c r="BE44" s="49">
        <f t="shared" si="10"/>
        <v>0</v>
      </c>
    </row>
    <row r="45" spans="1:57" s="49" customFormat="1" x14ac:dyDescent="0.25">
      <c r="A45" s="54">
        <f t="shared" si="7"/>
        <v>50405</v>
      </c>
      <c r="B45" s="53">
        <f t="shared" si="8"/>
        <v>25</v>
      </c>
      <c r="C45" s="99">
        <v>2037</v>
      </c>
      <c r="D45" s="101">
        <v>132313086255</v>
      </c>
      <c r="K45" s="104"/>
      <c r="N45" s="96">
        <v>1</v>
      </c>
      <c r="O45" s="58">
        <f t="shared" si="1"/>
        <v>132313086255</v>
      </c>
      <c r="P45" s="58">
        <f t="shared" si="2"/>
        <v>0</v>
      </c>
      <c r="Q45" s="58">
        <f t="shared" si="3"/>
        <v>132313086255</v>
      </c>
      <c r="R45" s="74">
        <f t="shared" si="4"/>
        <v>0</v>
      </c>
      <c r="S45" s="59"/>
      <c r="T45" s="88"/>
      <c r="U45" s="10"/>
      <c r="V45" s="57">
        <f t="shared" si="5"/>
        <v>255957111606.55927</v>
      </c>
      <c r="W45" s="49">
        <f t="shared" si="6"/>
        <v>132313086255</v>
      </c>
      <c r="X45" s="49">
        <f>+-PV($D$6,$B46-$B45,0,X46,0)</f>
        <v>123644025351.55928</v>
      </c>
      <c r="Y45" s="49">
        <f>+W45</f>
        <v>132313086255</v>
      </c>
      <c r="AZ45" s="49">
        <f t="shared" si="10"/>
        <v>0</v>
      </c>
      <c r="BA45" s="49">
        <f t="shared" si="10"/>
        <v>0</v>
      </c>
      <c r="BB45" s="49">
        <f t="shared" si="10"/>
        <v>0</v>
      </c>
      <c r="BC45" s="49">
        <f t="shared" si="10"/>
        <v>0</v>
      </c>
      <c r="BD45" s="49">
        <f t="shared" si="10"/>
        <v>0</v>
      </c>
      <c r="BE45" s="49">
        <f t="shared" si="10"/>
        <v>0</v>
      </c>
    </row>
    <row r="46" spans="1:57" s="49" customFormat="1" x14ac:dyDescent="0.25">
      <c r="A46" s="54">
        <f t="shared" si="7"/>
        <v>50770</v>
      </c>
      <c r="B46" s="53">
        <f t="shared" si="8"/>
        <v>26</v>
      </c>
      <c r="C46" s="99">
        <v>2038</v>
      </c>
      <c r="D46" s="101">
        <v>132313086255</v>
      </c>
      <c r="K46" s="104"/>
      <c r="N46" s="96">
        <v>1</v>
      </c>
      <c r="O46" s="58">
        <f t="shared" si="1"/>
        <v>132313086255</v>
      </c>
      <c r="P46" s="58">
        <f t="shared" si="2"/>
        <v>0</v>
      </c>
      <c r="Q46" s="58">
        <f t="shared" si="3"/>
        <v>132313086255</v>
      </c>
      <c r="R46" s="74">
        <f t="shared" si="4"/>
        <v>0</v>
      </c>
      <c r="S46" s="59"/>
      <c r="T46" s="88"/>
      <c r="U46" s="10"/>
      <c r="V46" s="57">
        <f t="shared" si="5"/>
        <v>132313086255</v>
      </c>
      <c r="W46" s="49">
        <f t="shared" si="6"/>
        <v>132313086255</v>
      </c>
      <c r="X46" s="49">
        <f>+O46</f>
        <v>132313086255</v>
      </c>
      <c r="AZ46" s="49">
        <f t="shared" si="10"/>
        <v>0</v>
      </c>
      <c r="BA46" s="49">
        <f t="shared" si="10"/>
        <v>0</v>
      </c>
      <c r="BB46" s="49">
        <f t="shared" si="10"/>
        <v>0</v>
      </c>
      <c r="BC46" s="49">
        <f t="shared" si="10"/>
        <v>0</v>
      </c>
      <c r="BD46" s="49">
        <f t="shared" si="10"/>
        <v>0</v>
      </c>
      <c r="BE46" s="49">
        <f t="shared" si="10"/>
        <v>0</v>
      </c>
    </row>
    <row r="47" spans="1:57" x14ac:dyDescent="0.25">
      <c r="A47" s="52" t="s">
        <v>67</v>
      </c>
      <c r="C47" s="97" t="s">
        <v>14</v>
      </c>
      <c r="D47" s="98">
        <f>SUM(D21:D46)</f>
        <v>2583853448867</v>
      </c>
      <c r="E47" s="98">
        <f t="shared" ref="E47:J47" si="13">SUM(E21:E46)</f>
        <v>0</v>
      </c>
      <c r="F47" s="98">
        <f t="shared" si="13"/>
        <v>0</v>
      </c>
      <c r="G47" s="98">
        <f t="shared" si="13"/>
        <v>0</v>
      </c>
      <c r="H47" s="98">
        <f t="shared" si="13"/>
        <v>0</v>
      </c>
      <c r="I47" s="98">
        <f t="shared" si="13"/>
        <v>0</v>
      </c>
      <c r="J47" s="98">
        <f t="shared" si="13"/>
        <v>0</v>
      </c>
      <c r="O47" s="60">
        <f>SUM(O21:O46)</f>
        <v>2583853448867</v>
      </c>
      <c r="P47" s="60">
        <f>SUM(P21:P46)</f>
        <v>376811961.29310423</v>
      </c>
      <c r="Q47" s="60">
        <f>SUM(Q21:Q46)</f>
        <v>1860374483184.24</v>
      </c>
      <c r="R47" s="74">
        <f t="shared" si="4"/>
        <v>0</v>
      </c>
      <c r="S47" s="59"/>
      <c r="T47" s="88"/>
      <c r="U47" s="10"/>
    </row>
    <row r="48" spans="1:57" x14ac:dyDescent="0.25">
      <c r="H48" s="49"/>
      <c r="I48" s="74"/>
      <c r="J48" s="59"/>
      <c r="K48" s="88"/>
    </row>
    <row r="49" spans="1:40" s="49" customFormat="1" hidden="1" x14ac:dyDescent="0.25">
      <c r="A49" s="51" t="s">
        <v>64</v>
      </c>
      <c r="B49" s="51" t="s">
        <v>63</v>
      </c>
      <c r="C49" s="51"/>
      <c r="D49" s="51" t="s">
        <v>77</v>
      </c>
      <c r="E49" s="82" t="s">
        <v>87</v>
      </c>
      <c r="F49" s="82" t="s">
        <v>88</v>
      </c>
      <c r="G49" s="82" t="s">
        <v>89</v>
      </c>
      <c r="H49" s="82" t="s">
        <v>90</v>
      </c>
      <c r="I49" s="82" t="s">
        <v>91</v>
      </c>
      <c r="J49" s="82" t="s">
        <v>92</v>
      </c>
      <c r="K49" s="89"/>
      <c r="L49" s="10"/>
      <c r="M49" s="51" t="s">
        <v>63</v>
      </c>
      <c r="N49" s="51"/>
      <c r="O49" s="51">
        <v>1</v>
      </c>
      <c r="P49" s="51">
        <v>2</v>
      </c>
      <c r="Q49" s="51">
        <v>3</v>
      </c>
      <c r="R49" s="51">
        <v>4</v>
      </c>
      <c r="S49" s="51">
        <v>5</v>
      </c>
      <c r="T49" s="51">
        <v>6</v>
      </c>
      <c r="U49" s="51">
        <v>7</v>
      </c>
      <c r="V49" s="51">
        <v>8</v>
      </c>
      <c r="W49" s="51">
        <v>9</v>
      </c>
      <c r="X49" s="51">
        <v>10</v>
      </c>
      <c r="Y49" s="51">
        <v>11</v>
      </c>
      <c r="Z49" s="51">
        <v>12</v>
      </c>
      <c r="AA49" s="51">
        <v>13</v>
      </c>
      <c r="AB49" s="51">
        <v>14</v>
      </c>
      <c r="AC49" s="51">
        <v>15</v>
      </c>
      <c r="AD49" s="51">
        <v>16</v>
      </c>
      <c r="AE49" s="51">
        <v>17</v>
      </c>
      <c r="AF49" s="51">
        <v>18</v>
      </c>
      <c r="AG49" s="51">
        <v>19</v>
      </c>
      <c r="AH49" s="51">
        <v>20</v>
      </c>
      <c r="AI49" s="51">
        <v>21</v>
      </c>
      <c r="AJ49" s="51">
        <v>22</v>
      </c>
      <c r="AK49" s="51">
        <v>23</v>
      </c>
      <c r="AL49" s="51">
        <v>24</v>
      </c>
      <c r="AM49" s="51">
        <v>25</v>
      </c>
      <c r="AN49" s="51">
        <v>26</v>
      </c>
    </row>
    <row r="50" spans="1:40" s="49" customFormat="1" hidden="1" x14ac:dyDescent="0.25">
      <c r="A50" s="54">
        <v>41274</v>
      </c>
      <c r="B50" s="53">
        <v>0</v>
      </c>
      <c r="C50" s="53"/>
      <c r="D50" s="55"/>
      <c r="E50" s="83"/>
      <c r="F50" s="83"/>
      <c r="G50" s="83"/>
      <c r="H50" s="83"/>
      <c r="I50" s="83"/>
      <c r="J50" s="83"/>
      <c r="K50" s="90"/>
      <c r="L50" s="52" t="s">
        <v>66</v>
      </c>
      <c r="M50" s="57">
        <f>SUM(O50:AN50)</f>
        <v>0</v>
      </c>
      <c r="N50" s="49">
        <f t="shared" ref="N50:N75" si="14">+D50</f>
        <v>0</v>
      </c>
      <c r="O50" s="49">
        <f t="shared" ref="O50:AN62" si="15">+-PV($D$6,$B51-$B50,0,O51,0)</f>
        <v>0</v>
      </c>
      <c r="P50" s="49">
        <f t="shared" si="15"/>
        <v>0</v>
      </c>
      <c r="Q50" s="49">
        <f t="shared" si="15"/>
        <v>0</v>
      </c>
      <c r="R50" s="49">
        <f t="shared" si="15"/>
        <v>0</v>
      </c>
      <c r="S50" s="49">
        <f t="shared" si="15"/>
        <v>0</v>
      </c>
      <c r="T50" s="49">
        <f t="shared" si="15"/>
        <v>0</v>
      </c>
      <c r="U50" s="49">
        <f t="shared" si="15"/>
        <v>0</v>
      </c>
      <c r="V50" s="49">
        <f t="shared" si="15"/>
        <v>0</v>
      </c>
      <c r="W50" s="49">
        <f t="shared" si="15"/>
        <v>0</v>
      </c>
      <c r="X50" s="49">
        <f t="shared" si="15"/>
        <v>0</v>
      </c>
      <c r="Y50" s="49">
        <f t="shared" si="15"/>
        <v>0</v>
      </c>
      <c r="Z50" s="49">
        <f t="shared" si="15"/>
        <v>0</v>
      </c>
      <c r="AA50" s="49">
        <f t="shared" si="15"/>
        <v>0</v>
      </c>
      <c r="AB50" s="49">
        <f t="shared" si="15"/>
        <v>0</v>
      </c>
      <c r="AC50" s="49">
        <f t="shared" si="15"/>
        <v>0</v>
      </c>
      <c r="AD50" s="49">
        <f t="shared" si="15"/>
        <v>0</v>
      </c>
      <c r="AE50" s="49">
        <f t="shared" si="15"/>
        <v>0</v>
      </c>
      <c r="AF50" s="49">
        <f t="shared" si="15"/>
        <v>0</v>
      </c>
      <c r="AG50" s="49">
        <f t="shared" si="15"/>
        <v>0</v>
      </c>
      <c r="AH50" s="49">
        <f t="shared" si="15"/>
        <v>0</v>
      </c>
      <c r="AI50" s="49">
        <f t="shared" si="15"/>
        <v>0</v>
      </c>
      <c r="AJ50" s="49">
        <f t="shared" si="15"/>
        <v>0</v>
      </c>
      <c r="AK50" s="49">
        <f t="shared" si="15"/>
        <v>0</v>
      </c>
      <c r="AL50" s="49">
        <f t="shared" si="15"/>
        <v>0</v>
      </c>
      <c r="AM50" s="49">
        <f t="shared" si="15"/>
        <v>0</v>
      </c>
      <c r="AN50" s="49">
        <f t="shared" si="15"/>
        <v>0</v>
      </c>
    </row>
    <row r="51" spans="1:40" s="49" customFormat="1" hidden="1" x14ac:dyDescent="0.25">
      <c r="A51" s="54">
        <f>+EOMONTH(A50,12)</f>
        <v>41639</v>
      </c>
      <c r="B51" s="53">
        <f>+B50+1</f>
        <v>1</v>
      </c>
      <c r="C51" s="53"/>
      <c r="D51" s="65"/>
      <c r="E51" s="58"/>
      <c r="F51" s="58"/>
      <c r="G51" s="58"/>
      <c r="H51" s="58"/>
      <c r="I51" s="58">
        <v>0</v>
      </c>
      <c r="J51" s="58">
        <v>0</v>
      </c>
      <c r="K51" s="92">
        <f>+D51-SUM(E51:J51)</f>
        <v>0</v>
      </c>
      <c r="L51" s="10"/>
      <c r="M51" s="57">
        <f t="shared" ref="M51:M76" si="16">SUM(O51:AN51)</f>
        <v>0</v>
      </c>
      <c r="N51" s="49">
        <f t="shared" si="14"/>
        <v>0</v>
      </c>
      <c r="O51" s="49">
        <f t="shared" si="15"/>
        <v>0</v>
      </c>
      <c r="P51" s="49">
        <f t="shared" si="15"/>
        <v>0</v>
      </c>
      <c r="Q51" s="49">
        <f t="shared" si="15"/>
        <v>0</v>
      </c>
      <c r="R51" s="49">
        <f t="shared" si="15"/>
        <v>0</v>
      </c>
      <c r="S51" s="49">
        <f t="shared" si="15"/>
        <v>0</v>
      </c>
      <c r="T51" s="49">
        <f t="shared" si="15"/>
        <v>0</v>
      </c>
      <c r="U51" s="49">
        <f t="shared" si="15"/>
        <v>0</v>
      </c>
      <c r="V51" s="49">
        <f t="shared" si="15"/>
        <v>0</v>
      </c>
      <c r="W51" s="49">
        <f t="shared" si="15"/>
        <v>0</v>
      </c>
      <c r="X51" s="49">
        <f t="shared" si="15"/>
        <v>0</v>
      </c>
      <c r="Y51" s="49">
        <f t="shared" si="15"/>
        <v>0</v>
      </c>
      <c r="Z51" s="49">
        <f t="shared" si="15"/>
        <v>0</v>
      </c>
      <c r="AA51" s="49">
        <f t="shared" si="15"/>
        <v>0</v>
      </c>
      <c r="AB51" s="49">
        <f t="shared" si="15"/>
        <v>0</v>
      </c>
      <c r="AC51" s="49">
        <f t="shared" si="15"/>
        <v>0</v>
      </c>
      <c r="AD51" s="49">
        <f t="shared" si="15"/>
        <v>0</v>
      </c>
      <c r="AE51" s="49">
        <f t="shared" si="15"/>
        <v>0</v>
      </c>
      <c r="AF51" s="49">
        <f t="shared" si="15"/>
        <v>0</v>
      </c>
      <c r="AG51" s="49">
        <f t="shared" si="15"/>
        <v>0</v>
      </c>
      <c r="AH51" s="49">
        <f t="shared" si="15"/>
        <v>0</v>
      </c>
      <c r="AI51" s="49">
        <f t="shared" si="15"/>
        <v>0</v>
      </c>
      <c r="AJ51" s="49">
        <f t="shared" si="15"/>
        <v>0</v>
      </c>
      <c r="AK51" s="49">
        <f t="shared" si="15"/>
        <v>0</v>
      </c>
      <c r="AL51" s="49">
        <f t="shared" si="15"/>
        <v>0</v>
      </c>
      <c r="AM51" s="49">
        <f t="shared" si="15"/>
        <v>0</v>
      </c>
      <c r="AN51" s="49">
        <f>+N51</f>
        <v>0</v>
      </c>
    </row>
    <row r="52" spans="1:40" s="49" customFormat="1" hidden="1" x14ac:dyDescent="0.25">
      <c r="A52" s="54">
        <f t="shared" ref="A52:A76" si="17">+EOMONTH(A51,12)</f>
        <v>42004</v>
      </c>
      <c r="B52" s="53">
        <f t="shared" ref="B52:B76" si="18">+B51+1</f>
        <v>2</v>
      </c>
      <c r="C52" s="53"/>
      <c r="D52" s="65"/>
      <c r="E52" s="58"/>
      <c r="F52" s="58"/>
      <c r="G52" s="58"/>
      <c r="H52" s="58"/>
      <c r="I52" s="58">
        <v>0</v>
      </c>
      <c r="J52" s="58">
        <v>0</v>
      </c>
      <c r="K52" s="92">
        <f t="shared" ref="K52:K77" si="19">+D52-SUM(E52:J52)</f>
        <v>0</v>
      </c>
      <c r="L52" s="10"/>
      <c r="M52" s="57">
        <f t="shared" si="16"/>
        <v>0</v>
      </c>
      <c r="N52" s="49">
        <f t="shared" si="14"/>
        <v>0</v>
      </c>
      <c r="O52" s="49">
        <f t="shared" si="15"/>
        <v>0</v>
      </c>
      <c r="P52" s="49">
        <f t="shared" si="15"/>
        <v>0</v>
      </c>
      <c r="Q52" s="49">
        <f t="shared" si="15"/>
        <v>0</v>
      </c>
      <c r="R52" s="49">
        <f t="shared" si="15"/>
        <v>0</v>
      </c>
      <c r="S52" s="49">
        <f t="shared" si="15"/>
        <v>0</v>
      </c>
      <c r="T52" s="49">
        <f t="shared" si="15"/>
        <v>0</v>
      </c>
      <c r="U52" s="49">
        <f t="shared" si="15"/>
        <v>0</v>
      </c>
      <c r="V52" s="49">
        <f t="shared" si="15"/>
        <v>0</v>
      </c>
      <c r="W52" s="49">
        <f t="shared" si="15"/>
        <v>0</v>
      </c>
      <c r="X52" s="49">
        <f t="shared" si="15"/>
        <v>0</v>
      </c>
      <c r="Y52" s="49">
        <f t="shared" si="15"/>
        <v>0</v>
      </c>
      <c r="Z52" s="49">
        <f t="shared" si="15"/>
        <v>0</v>
      </c>
      <c r="AA52" s="49">
        <f t="shared" si="15"/>
        <v>0</v>
      </c>
      <c r="AB52" s="49">
        <f t="shared" si="15"/>
        <v>0</v>
      </c>
      <c r="AC52" s="49">
        <f t="shared" si="15"/>
        <v>0</v>
      </c>
      <c r="AD52" s="49">
        <f t="shared" si="15"/>
        <v>0</v>
      </c>
      <c r="AE52" s="49">
        <f t="shared" si="15"/>
        <v>0</v>
      </c>
      <c r="AF52" s="49">
        <f t="shared" si="15"/>
        <v>0</v>
      </c>
      <c r="AG52" s="49">
        <f t="shared" si="15"/>
        <v>0</v>
      </c>
      <c r="AH52" s="49">
        <f t="shared" si="15"/>
        <v>0</v>
      </c>
      <c r="AI52" s="49">
        <f t="shared" si="15"/>
        <v>0</v>
      </c>
      <c r="AJ52" s="49">
        <f t="shared" si="15"/>
        <v>0</v>
      </c>
      <c r="AK52" s="49">
        <f t="shared" si="15"/>
        <v>0</v>
      </c>
      <c r="AL52" s="49">
        <f t="shared" si="15"/>
        <v>0</v>
      </c>
      <c r="AM52" s="49">
        <f>+N52</f>
        <v>0</v>
      </c>
    </row>
    <row r="53" spans="1:40" s="49" customFormat="1" hidden="1" x14ac:dyDescent="0.25">
      <c r="A53" s="54">
        <f t="shared" si="17"/>
        <v>42369</v>
      </c>
      <c r="B53" s="53">
        <f t="shared" si="18"/>
        <v>3</v>
      </c>
      <c r="C53" s="53"/>
      <c r="D53" s="65"/>
      <c r="E53" s="58"/>
      <c r="F53" s="58"/>
      <c r="G53" s="58"/>
      <c r="H53" s="58"/>
      <c r="I53" s="58">
        <v>0</v>
      </c>
      <c r="J53" s="58">
        <v>0</v>
      </c>
      <c r="K53" s="92">
        <f t="shared" si="19"/>
        <v>0</v>
      </c>
      <c r="L53" s="10"/>
      <c r="M53" s="57">
        <f t="shared" si="16"/>
        <v>0</v>
      </c>
      <c r="N53" s="49">
        <f t="shared" si="14"/>
        <v>0</v>
      </c>
      <c r="O53" s="49">
        <f t="shared" si="15"/>
        <v>0</v>
      </c>
      <c r="P53" s="49">
        <f t="shared" si="15"/>
        <v>0</v>
      </c>
      <c r="Q53" s="49">
        <f t="shared" si="15"/>
        <v>0</v>
      </c>
      <c r="R53" s="49">
        <f t="shared" si="15"/>
        <v>0</v>
      </c>
      <c r="S53" s="49">
        <f t="shared" si="15"/>
        <v>0</v>
      </c>
      <c r="T53" s="49">
        <f t="shared" si="15"/>
        <v>0</v>
      </c>
      <c r="U53" s="49">
        <f t="shared" si="15"/>
        <v>0</v>
      </c>
      <c r="V53" s="49">
        <f t="shared" si="15"/>
        <v>0</v>
      </c>
      <c r="W53" s="49">
        <f t="shared" si="15"/>
        <v>0</v>
      </c>
      <c r="X53" s="49">
        <f t="shared" si="15"/>
        <v>0</v>
      </c>
      <c r="Y53" s="49">
        <f t="shared" si="15"/>
        <v>0</v>
      </c>
      <c r="Z53" s="49">
        <f t="shared" si="15"/>
        <v>0</v>
      </c>
      <c r="AA53" s="49">
        <f t="shared" si="15"/>
        <v>0</v>
      </c>
      <c r="AB53" s="49">
        <f t="shared" si="15"/>
        <v>0</v>
      </c>
      <c r="AC53" s="49">
        <f t="shared" si="15"/>
        <v>0</v>
      </c>
      <c r="AD53" s="49">
        <f t="shared" si="15"/>
        <v>0</v>
      </c>
      <c r="AE53" s="49">
        <f t="shared" si="15"/>
        <v>0</v>
      </c>
      <c r="AF53" s="49">
        <f t="shared" si="15"/>
        <v>0</v>
      </c>
      <c r="AG53" s="49">
        <f t="shared" si="15"/>
        <v>0</v>
      </c>
      <c r="AH53" s="49">
        <f t="shared" si="15"/>
        <v>0</v>
      </c>
      <c r="AI53" s="49">
        <f t="shared" si="15"/>
        <v>0</v>
      </c>
      <c r="AJ53" s="49">
        <f t="shared" si="15"/>
        <v>0</v>
      </c>
      <c r="AK53" s="49">
        <f t="shared" si="15"/>
        <v>0</v>
      </c>
      <c r="AL53" s="49">
        <f>+N53</f>
        <v>0</v>
      </c>
    </row>
    <row r="54" spans="1:40" s="49" customFormat="1" hidden="1" x14ac:dyDescent="0.25">
      <c r="A54" s="54">
        <f t="shared" si="17"/>
        <v>42735</v>
      </c>
      <c r="B54" s="53">
        <f t="shared" si="18"/>
        <v>4</v>
      </c>
      <c r="C54" s="53"/>
      <c r="D54" s="65"/>
      <c r="E54" s="58"/>
      <c r="F54" s="58"/>
      <c r="G54" s="58"/>
      <c r="H54" s="58"/>
      <c r="I54" s="58">
        <v>0</v>
      </c>
      <c r="J54" s="58">
        <v>0</v>
      </c>
      <c r="K54" s="92">
        <f t="shared" si="19"/>
        <v>0</v>
      </c>
      <c r="L54" s="10"/>
      <c r="M54" s="57">
        <f t="shared" si="16"/>
        <v>0</v>
      </c>
      <c r="N54" s="49">
        <f t="shared" si="14"/>
        <v>0</v>
      </c>
      <c r="O54" s="49">
        <f t="shared" si="15"/>
        <v>0</v>
      </c>
      <c r="P54" s="49">
        <f t="shared" si="15"/>
        <v>0</v>
      </c>
      <c r="Q54" s="49">
        <f t="shared" si="15"/>
        <v>0</v>
      </c>
      <c r="R54" s="49">
        <f t="shared" si="15"/>
        <v>0</v>
      </c>
      <c r="S54" s="49">
        <f t="shared" si="15"/>
        <v>0</v>
      </c>
      <c r="T54" s="49">
        <f t="shared" si="15"/>
        <v>0</v>
      </c>
      <c r="U54" s="49">
        <f t="shared" si="15"/>
        <v>0</v>
      </c>
      <c r="V54" s="49">
        <f t="shared" si="15"/>
        <v>0</v>
      </c>
      <c r="W54" s="49">
        <f t="shared" si="15"/>
        <v>0</v>
      </c>
      <c r="X54" s="49">
        <f t="shared" si="15"/>
        <v>0</v>
      </c>
      <c r="Y54" s="49">
        <f t="shared" si="15"/>
        <v>0</v>
      </c>
      <c r="Z54" s="49">
        <f t="shared" si="15"/>
        <v>0</v>
      </c>
      <c r="AA54" s="49">
        <f t="shared" si="15"/>
        <v>0</v>
      </c>
      <c r="AB54" s="49">
        <f t="shared" si="15"/>
        <v>0</v>
      </c>
      <c r="AC54" s="49">
        <f t="shared" si="15"/>
        <v>0</v>
      </c>
      <c r="AD54" s="49">
        <f t="shared" si="15"/>
        <v>0</v>
      </c>
      <c r="AE54" s="49">
        <f t="shared" si="15"/>
        <v>0</v>
      </c>
      <c r="AF54" s="49">
        <f t="shared" si="15"/>
        <v>0</v>
      </c>
      <c r="AG54" s="49">
        <f t="shared" si="15"/>
        <v>0</v>
      </c>
      <c r="AH54" s="49">
        <f t="shared" si="15"/>
        <v>0</v>
      </c>
      <c r="AI54" s="49">
        <f t="shared" si="15"/>
        <v>0</v>
      </c>
      <c r="AJ54" s="49">
        <f t="shared" si="15"/>
        <v>0</v>
      </c>
      <c r="AK54" s="49">
        <f>+N54</f>
        <v>0</v>
      </c>
    </row>
    <row r="55" spans="1:40" s="49" customFormat="1" hidden="1" x14ac:dyDescent="0.25">
      <c r="A55" s="54">
        <f t="shared" si="17"/>
        <v>43100</v>
      </c>
      <c r="B55" s="53">
        <f t="shared" si="18"/>
        <v>5</v>
      </c>
      <c r="C55" s="53"/>
      <c r="D55" s="65"/>
      <c r="E55" s="58"/>
      <c r="F55" s="58"/>
      <c r="G55" s="58"/>
      <c r="H55" s="58"/>
      <c r="I55" s="58">
        <v>7465247010</v>
      </c>
      <c r="J55" s="58">
        <v>11728041653</v>
      </c>
      <c r="K55" s="92">
        <f t="shared" si="19"/>
        <v>-19193288663</v>
      </c>
      <c r="L55" s="10"/>
      <c r="M55" s="57">
        <f t="shared" si="16"/>
        <v>0</v>
      </c>
      <c r="N55" s="49">
        <f t="shared" si="14"/>
        <v>0</v>
      </c>
      <c r="O55" s="49">
        <f t="shared" si="15"/>
        <v>0</v>
      </c>
      <c r="P55" s="49">
        <f t="shared" si="15"/>
        <v>0</v>
      </c>
      <c r="Q55" s="49">
        <f t="shared" si="15"/>
        <v>0</v>
      </c>
      <c r="R55" s="49">
        <f t="shared" si="15"/>
        <v>0</v>
      </c>
      <c r="S55" s="49">
        <f t="shared" si="15"/>
        <v>0</v>
      </c>
      <c r="T55" s="49">
        <f t="shared" si="15"/>
        <v>0</v>
      </c>
      <c r="U55" s="49">
        <f t="shared" si="15"/>
        <v>0</v>
      </c>
      <c r="V55" s="49">
        <f t="shared" si="15"/>
        <v>0</v>
      </c>
      <c r="W55" s="49">
        <f t="shared" si="15"/>
        <v>0</v>
      </c>
      <c r="X55" s="49">
        <f t="shared" si="15"/>
        <v>0</v>
      </c>
      <c r="Y55" s="49">
        <f t="shared" si="15"/>
        <v>0</v>
      </c>
      <c r="Z55" s="49">
        <f t="shared" si="15"/>
        <v>0</v>
      </c>
      <c r="AA55" s="49">
        <f t="shared" si="15"/>
        <v>0</v>
      </c>
      <c r="AB55" s="49">
        <f t="shared" si="15"/>
        <v>0</v>
      </c>
      <c r="AC55" s="49">
        <f t="shared" si="15"/>
        <v>0</v>
      </c>
      <c r="AD55" s="49">
        <f t="shared" si="15"/>
        <v>0</v>
      </c>
      <c r="AE55" s="49">
        <f t="shared" si="15"/>
        <v>0</v>
      </c>
      <c r="AF55" s="49">
        <f t="shared" si="15"/>
        <v>0</v>
      </c>
      <c r="AG55" s="49">
        <f t="shared" si="15"/>
        <v>0</v>
      </c>
      <c r="AH55" s="49">
        <f t="shared" si="15"/>
        <v>0</v>
      </c>
      <c r="AI55" s="49">
        <f t="shared" si="15"/>
        <v>0</v>
      </c>
      <c r="AJ55" s="49">
        <f>+N55</f>
        <v>0</v>
      </c>
    </row>
    <row r="56" spans="1:40" s="49" customFormat="1" hidden="1" x14ac:dyDescent="0.25">
      <c r="A56" s="54">
        <f t="shared" si="17"/>
        <v>43465</v>
      </c>
      <c r="B56" s="53">
        <f t="shared" si="18"/>
        <v>6</v>
      </c>
      <c r="C56" s="53"/>
      <c r="D56" s="65"/>
      <c r="E56" s="58"/>
      <c r="F56" s="58"/>
      <c r="G56" s="58"/>
      <c r="H56" s="58"/>
      <c r="I56" s="58">
        <v>10422233548</v>
      </c>
      <c r="J56" s="58">
        <v>16373522402</v>
      </c>
      <c r="K56" s="92">
        <f t="shared" si="19"/>
        <v>-26795755950</v>
      </c>
      <c r="L56" s="10"/>
      <c r="M56" s="57">
        <f t="shared" si="16"/>
        <v>0</v>
      </c>
      <c r="N56" s="49">
        <f t="shared" si="14"/>
        <v>0</v>
      </c>
      <c r="O56" s="49">
        <f t="shared" si="15"/>
        <v>0</v>
      </c>
      <c r="P56" s="49">
        <f t="shared" si="15"/>
        <v>0</v>
      </c>
      <c r="Q56" s="49">
        <f t="shared" si="15"/>
        <v>0</v>
      </c>
      <c r="R56" s="49">
        <f t="shared" si="15"/>
        <v>0</v>
      </c>
      <c r="S56" s="49">
        <f t="shared" si="15"/>
        <v>0</v>
      </c>
      <c r="T56" s="49">
        <f t="shared" si="15"/>
        <v>0</v>
      </c>
      <c r="U56" s="49">
        <f t="shared" si="15"/>
        <v>0</v>
      </c>
      <c r="V56" s="49">
        <f t="shared" si="15"/>
        <v>0</v>
      </c>
      <c r="W56" s="49">
        <f t="shared" si="15"/>
        <v>0</v>
      </c>
      <c r="X56" s="49">
        <f t="shared" si="15"/>
        <v>0</v>
      </c>
      <c r="Y56" s="49">
        <f t="shared" si="15"/>
        <v>0</v>
      </c>
      <c r="Z56" s="49">
        <f t="shared" si="15"/>
        <v>0</v>
      </c>
      <c r="AA56" s="49">
        <f t="shared" si="15"/>
        <v>0</v>
      </c>
      <c r="AB56" s="49">
        <f t="shared" si="15"/>
        <v>0</v>
      </c>
      <c r="AC56" s="49">
        <f t="shared" si="15"/>
        <v>0</v>
      </c>
      <c r="AD56" s="49">
        <f t="shared" si="15"/>
        <v>0</v>
      </c>
      <c r="AE56" s="49">
        <f t="shared" si="15"/>
        <v>0</v>
      </c>
      <c r="AF56" s="49">
        <f t="shared" si="15"/>
        <v>0</v>
      </c>
      <c r="AG56" s="49">
        <f t="shared" si="15"/>
        <v>0</v>
      </c>
      <c r="AH56" s="49">
        <f t="shared" si="15"/>
        <v>0</v>
      </c>
      <c r="AI56" s="49">
        <f>+N56</f>
        <v>0</v>
      </c>
    </row>
    <row r="57" spans="1:40" s="49" customFormat="1" hidden="1" x14ac:dyDescent="0.25">
      <c r="A57" s="54">
        <f t="shared" si="17"/>
        <v>43830</v>
      </c>
      <c r="B57" s="53">
        <f t="shared" si="18"/>
        <v>7</v>
      </c>
      <c r="C57" s="53"/>
      <c r="D57" s="65"/>
      <c r="E57" s="58"/>
      <c r="F57" s="58"/>
      <c r="G57" s="58"/>
      <c r="H57" s="58"/>
      <c r="I57" s="58">
        <v>10854487817</v>
      </c>
      <c r="J57" s="58">
        <v>17052601883</v>
      </c>
      <c r="K57" s="92">
        <f t="shared" si="19"/>
        <v>-27907089700</v>
      </c>
      <c r="L57" s="10"/>
      <c r="M57" s="57">
        <f t="shared" si="16"/>
        <v>0</v>
      </c>
      <c r="N57" s="49">
        <f t="shared" si="14"/>
        <v>0</v>
      </c>
      <c r="O57" s="49">
        <f t="shared" si="15"/>
        <v>0</v>
      </c>
      <c r="P57" s="49">
        <f t="shared" si="15"/>
        <v>0</v>
      </c>
      <c r="Q57" s="49">
        <f t="shared" si="15"/>
        <v>0</v>
      </c>
      <c r="R57" s="49">
        <f t="shared" si="15"/>
        <v>0</v>
      </c>
      <c r="S57" s="49">
        <f t="shared" si="15"/>
        <v>0</v>
      </c>
      <c r="T57" s="49">
        <f t="shared" si="15"/>
        <v>0</v>
      </c>
      <c r="U57" s="49">
        <f t="shared" si="15"/>
        <v>0</v>
      </c>
      <c r="V57" s="49">
        <f t="shared" si="15"/>
        <v>0</v>
      </c>
      <c r="W57" s="49">
        <f t="shared" si="15"/>
        <v>0</v>
      </c>
      <c r="X57" s="49">
        <f t="shared" si="15"/>
        <v>0</v>
      </c>
      <c r="Y57" s="49">
        <f t="shared" si="15"/>
        <v>0</v>
      </c>
      <c r="Z57" s="49">
        <f t="shared" si="15"/>
        <v>0</v>
      </c>
      <c r="AA57" s="49">
        <f t="shared" si="15"/>
        <v>0</v>
      </c>
      <c r="AB57" s="49">
        <f t="shared" si="15"/>
        <v>0</v>
      </c>
      <c r="AC57" s="49">
        <f t="shared" si="15"/>
        <v>0</v>
      </c>
      <c r="AD57" s="49">
        <f t="shared" si="15"/>
        <v>0</v>
      </c>
      <c r="AE57" s="49">
        <f t="shared" si="15"/>
        <v>0</v>
      </c>
      <c r="AF57" s="49">
        <f t="shared" si="15"/>
        <v>0</v>
      </c>
      <c r="AG57" s="49">
        <f t="shared" si="15"/>
        <v>0</v>
      </c>
      <c r="AH57" s="49">
        <f>+N57</f>
        <v>0</v>
      </c>
    </row>
    <row r="58" spans="1:40" s="49" customFormat="1" hidden="1" x14ac:dyDescent="0.25">
      <c r="A58" s="54">
        <f t="shared" si="17"/>
        <v>44196</v>
      </c>
      <c r="B58" s="53">
        <f t="shared" si="18"/>
        <v>8</v>
      </c>
      <c r="C58" s="53"/>
      <c r="D58" s="65"/>
      <c r="E58" s="58"/>
      <c r="F58" s="58"/>
      <c r="G58" s="58"/>
      <c r="H58" s="58"/>
      <c r="I58" s="58">
        <v>11239092964</v>
      </c>
      <c r="J58" s="58">
        <v>17656823711</v>
      </c>
      <c r="K58" s="92">
        <f t="shared" si="19"/>
        <v>-28895916675</v>
      </c>
      <c r="L58" s="10"/>
      <c r="M58" s="57">
        <f t="shared" si="16"/>
        <v>0</v>
      </c>
      <c r="N58" s="49">
        <f t="shared" si="14"/>
        <v>0</v>
      </c>
      <c r="O58" s="49">
        <f t="shared" si="15"/>
        <v>0</v>
      </c>
      <c r="P58" s="49">
        <f t="shared" si="15"/>
        <v>0</v>
      </c>
      <c r="Q58" s="49">
        <f t="shared" si="15"/>
        <v>0</v>
      </c>
      <c r="R58" s="49">
        <f t="shared" si="15"/>
        <v>0</v>
      </c>
      <c r="S58" s="49">
        <f t="shared" si="15"/>
        <v>0</v>
      </c>
      <c r="T58" s="49">
        <f t="shared" si="15"/>
        <v>0</v>
      </c>
      <c r="U58" s="49">
        <f t="shared" si="15"/>
        <v>0</v>
      </c>
      <c r="V58" s="49">
        <f t="shared" si="15"/>
        <v>0</v>
      </c>
      <c r="W58" s="49">
        <f t="shared" si="15"/>
        <v>0</v>
      </c>
      <c r="X58" s="49">
        <f t="shared" si="15"/>
        <v>0</v>
      </c>
      <c r="Y58" s="49">
        <f t="shared" si="15"/>
        <v>0</v>
      </c>
      <c r="Z58" s="49">
        <f t="shared" si="15"/>
        <v>0</v>
      </c>
      <c r="AA58" s="49">
        <f t="shared" si="15"/>
        <v>0</v>
      </c>
      <c r="AB58" s="49">
        <f t="shared" si="15"/>
        <v>0</v>
      </c>
      <c r="AC58" s="49">
        <f t="shared" si="15"/>
        <v>0</v>
      </c>
      <c r="AD58" s="49">
        <f t="shared" si="15"/>
        <v>0</v>
      </c>
      <c r="AE58" s="49">
        <f t="shared" si="15"/>
        <v>0</v>
      </c>
      <c r="AF58" s="49">
        <f t="shared" si="15"/>
        <v>0</v>
      </c>
      <c r="AG58" s="49">
        <f>+N58</f>
        <v>0</v>
      </c>
    </row>
    <row r="59" spans="1:40" s="49" customFormat="1" hidden="1" x14ac:dyDescent="0.25">
      <c r="A59" s="54">
        <f t="shared" si="17"/>
        <v>44561</v>
      </c>
      <c r="B59" s="53">
        <f t="shared" si="18"/>
        <v>9</v>
      </c>
      <c r="C59" s="53"/>
      <c r="D59" s="65"/>
      <c r="E59" s="58"/>
      <c r="F59" s="58"/>
      <c r="G59" s="58"/>
      <c r="H59" s="58"/>
      <c r="I59" s="58">
        <v>11631181906</v>
      </c>
      <c r="J59" s="58">
        <v>18272802719</v>
      </c>
      <c r="K59" s="92">
        <f t="shared" si="19"/>
        <v>-29903984625</v>
      </c>
      <c r="L59" s="10"/>
      <c r="M59" s="57">
        <f t="shared" si="16"/>
        <v>0</v>
      </c>
      <c r="N59" s="49">
        <f t="shared" si="14"/>
        <v>0</v>
      </c>
      <c r="O59" s="49">
        <f t="shared" si="15"/>
        <v>0</v>
      </c>
      <c r="P59" s="49">
        <f t="shared" si="15"/>
        <v>0</v>
      </c>
      <c r="Q59" s="49">
        <f t="shared" si="15"/>
        <v>0</v>
      </c>
      <c r="R59" s="49">
        <f t="shared" si="15"/>
        <v>0</v>
      </c>
      <c r="S59" s="49">
        <f t="shared" si="15"/>
        <v>0</v>
      </c>
      <c r="T59" s="49">
        <f t="shared" si="15"/>
        <v>0</v>
      </c>
      <c r="U59" s="49">
        <f t="shared" si="15"/>
        <v>0</v>
      </c>
      <c r="V59" s="49">
        <f t="shared" si="15"/>
        <v>0</v>
      </c>
      <c r="W59" s="49">
        <f t="shared" si="15"/>
        <v>0</v>
      </c>
      <c r="X59" s="49">
        <f t="shared" si="15"/>
        <v>0</v>
      </c>
      <c r="Y59" s="49">
        <f t="shared" si="15"/>
        <v>0</v>
      </c>
      <c r="Z59" s="49">
        <f t="shared" si="15"/>
        <v>0</v>
      </c>
      <c r="AA59" s="49">
        <f t="shared" si="15"/>
        <v>0</v>
      </c>
      <c r="AB59" s="49">
        <f t="shared" si="15"/>
        <v>0</v>
      </c>
      <c r="AC59" s="49">
        <f t="shared" si="15"/>
        <v>0</v>
      </c>
      <c r="AD59" s="49">
        <f t="shared" si="15"/>
        <v>0</v>
      </c>
      <c r="AE59" s="49">
        <f t="shared" si="15"/>
        <v>0</v>
      </c>
      <c r="AF59" s="49">
        <f>+N59</f>
        <v>0</v>
      </c>
    </row>
    <row r="60" spans="1:40" s="49" customFormat="1" hidden="1" x14ac:dyDescent="0.25">
      <c r="A60" s="54">
        <f t="shared" si="17"/>
        <v>44926</v>
      </c>
      <c r="B60" s="53">
        <f t="shared" si="18"/>
        <v>10</v>
      </c>
      <c r="C60" s="53"/>
      <c r="D60" s="65"/>
      <c r="E60" s="58"/>
      <c r="F60" s="58"/>
      <c r="G60" s="58"/>
      <c r="H60" s="58"/>
      <c r="I60" s="58">
        <v>12064549907</v>
      </c>
      <c r="J60" s="58">
        <v>18953631893</v>
      </c>
      <c r="K60" s="92">
        <f t="shared" si="19"/>
        <v>-31018181800</v>
      </c>
      <c r="L60" s="10"/>
      <c r="M60" s="57">
        <f t="shared" si="16"/>
        <v>0</v>
      </c>
      <c r="N60" s="49">
        <f t="shared" si="14"/>
        <v>0</v>
      </c>
      <c r="O60" s="49">
        <f t="shared" si="15"/>
        <v>0</v>
      </c>
      <c r="P60" s="49">
        <f t="shared" si="15"/>
        <v>0</v>
      </c>
      <c r="Q60" s="49">
        <f t="shared" si="15"/>
        <v>0</v>
      </c>
      <c r="R60" s="49">
        <f t="shared" si="15"/>
        <v>0</v>
      </c>
      <c r="S60" s="49">
        <f t="shared" si="15"/>
        <v>0</v>
      </c>
      <c r="T60" s="49">
        <f t="shared" si="15"/>
        <v>0</v>
      </c>
      <c r="U60" s="49">
        <f t="shared" si="15"/>
        <v>0</v>
      </c>
      <c r="V60" s="49">
        <f t="shared" si="15"/>
        <v>0</v>
      </c>
      <c r="W60" s="49">
        <f t="shared" si="15"/>
        <v>0</v>
      </c>
      <c r="X60" s="49">
        <f t="shared" si="15"/>
        <v>0</v>
      </c>
      <c r="Y60" s="49">
        <f t="shared" si="15"/>
        <v>0</v>
      </c>
      <c r="Z60" s="49">
        <f t="shared" si="15"/>
        <v>0</v>
      </c>
      <c r="AA60" s="49">
        <f t="shared" si="15"/>
        <v>0</v>
      </c>
      <c r="AB60" s="49">
        <f t="shared" si="15"/>
        <v>0</v>
      </c>
      <c r="AC60" s="49">
        <f t="shared" si="15"/>
        <v>0</v>
      </c>
      <c r="AD60" s="49">
        <f t="shared" si="15"/>
        <v>0</v>
      </c>
      <c r="AE60" s="49">
        <f>+N60</f>
        <v>0</v>
      </c>
    </row>
    <row r="61" spans="1:40" s="49" customFormat="1" hidden="1" x14ac:dyDescent="0.25">
      <c r="A61" s="54">
        <f t="shared" si="17"/>
        <v>45291</v>
      </c>
      <c r="B61" s="53">
        <f t="shared" si="18"/>
        <v>11</v>
      </c>
      <c r="C61" s="53"/>
      <c r="D61" s="65"/>
      <c r="E61" s="58"/>
      <c r="F61" s="58"/>
      <c r="G61" s="58"/>
      <c r="H61" s="58"/>
      <c r="I61" s="58">
        <v>12492575686</v>
      </c>
      <c r="J61" s="58">
        <v>19626068339</v>
      </c>
      <c r="K61" s="92">
        <f t="shared" si="19"/>
        <v>-32118644025</v>
      </c>
      <c r="L61" s="10"/>
      <c r="M61" s="57">
        <f t="shared" si="16"/>
        <v>0</v>
      </c>
      <c r="N61" s="49">
        <f t="shared" si="14"/>
        <v>0</v>
      </c>
      <c r="O61" s="49">
        <f t="shared" si="15"/>
        <v>0</v>
      </c>
      <c r="P61" s="49">
        <f t="shared" si="15"/>
        <v>0</v>
      </c>
      <c r="Q61" s="49">
        <f t="shared" si="15"/>
        <v>0</v>
      </c>
      <c r="R61" s="49">
        <f t="shared" si="15"/>
        <v>0</v>
      </c>
      <c r="S61" s="49">
        <f t="shared" si="15"/>
        <v>0</v>
      </c>
      <c r="T61" s="49">
        <f t="shared" si="15"/>
        <v>0</v>
      </c>
      <c r="U61" s="49">
        <f t="shared" si="15"/>
        <v>0</v>
      </c>
      <c r="V61" s="49">
        <f t="shared" si="15"/>
        <v>0</v>
      </c>
      <c r="W61" s="49">
        <f t="shared" si="15"/>
        <v>0</v>
      </c>
      <c r="X61" s="49">
        <f t="shared" si="15"/>
        <v>0</v>
      </c>
      <c r="Y61" s="49">
        <f t="shared" si="15"/>
        <v>0</v>
      </c>
      <c r="Z61" s="49">
        <f t="shared" si="15"/>
        <v>0</v>
      </c>
      <c r="AA61" s="49">
        <f t="shared" si="15"/>
        <v>0</v>
      </c>
      <c r="AB61" s="49">
        <f t="shared" si="15"/>
        <v>0</v>
      </c>
      <c r="AC61" s="49">
        <f t="shared" si="15"/>
        <v>0</v>
      </c>
      <c r="AD61" s="49">
        <f>+N61</f>
        <v>0</v>
      </c>
    </row>
    <row r="62" spans="1:40" s="49" customFormat="1" hidden="1" x14ac:dyDescent="0.25">
      <c r="A62" s="54">
        <f t="shared" si="17"/>
        <v>45657</v>
      </c>
      <c r="B62" s="53">
        <f t="shared" si="18"/>
        <v>12</v>
      </c>
      <c r="C62" s="53"/>
      <c r="D62" s="65"/>
      <c r="E62" s="58"/>
      <c r="F62" s="58"/>
      <c r="G62" s="58"/>
      <c r="H62" s="58"/>
      <c r="I62" s="58">
        <v>12948077774</v>
      </c>
      <c r="J62" s="58">
        <v>20341670575</v>
      </c>
      <c r="K62" s="92">
        <f t="shared" si="19"/>
        <v>-33289748349</v>
      </c>
      <c r="L62" s="10"/>
      <c r="M62" s="57">
        <f t="shared" si="16"/>
        <v>0</v>
      </c>
      <c r="N62" s="49">
        <f t="shared" si="14"/>
        <v>0</v>
      </c>
      <c r="O62" s="49">
        <f t="shared" si="15"/>
        <v>0</v>
      </c>
      <c r="P62" s="49">
        <f t="shared" si="15"/>
        <v>0</v>
      </c>
      <c r="Q62" s="49">
        <f t="shared" si="15"/>
        <v>0</v>
      </c>
      <c r="R62" s="49">
        <f t="shared" si="15"/>
        <v>0</v>
      </c>
      <c r="S62" s="49">
        <f t="shared" si="15"/>
        <v>0</v>
      </c>
      <c r="T62" s="49">
        <f t="shared" si="15"/>
        <v>0</v>
      </c>
      <c r="U62" s="49">
        <f t="shared" si="15"/>
        <v>0</v>
      </c>
      <c r="V62" s="49">
        <f t="shared" si="15"/>
        <v>0</v>
      </c>
      <c r="W62" s="49">
        <f t="shared" si="15"/>
        <v>0</v>
      </c>
      <c r="X62" s="49">
        <f t="shared" ref="X62:AB62" si="20">+-PV($D$6,$B63-$B62,0,X63,0)</f>
        <v>0</v>
      </c>
      <c r="Y62" s="49">
        <f t="shared" si="20"/>
        <v>0</v>
      </c>
      <c r="Z62" s="49">
        <f t="shared" si="20"/>
        <v>0</v>
      </c>
      <c r="AA62" s="49">
        <f t="shared" si="20"/>
        <v>0</v>
      </c>
      <c r="AB62" s="49">
        <f t="shared" si="20"/>
        <v>0</v>
      </c>
      <c r="AC62" s="49">
        <f>+N62</f>
        <v>0</v>
      </c>
    </row>
    <row r="63" spans="1:40" s="49" customFormat="1" hidden="1" x14ac:dyDescent="0.25">
      <c r="A63" s="54">
        <f t="shared" si="17"/>
        <v>46022</v>
      </c>
      <c r="B63" s="53">
        <f t="shared" si="18"/>
        <v>13</v>
      </c>
      <c r="C63" s="53"/>
      <c r="D63" s="65"/>
      <c r="E63" s="58"/>
      <c r="F63" s="58"/>
      <c r="G63" s="58"/>
      <c r="H63" s="58"/>
      <c r="I63" s="58">
        <v>13345797131</v>
      </c>
      <c r="J63" s="58">
        <v>20966495069</v>
      </c>
      <c r="K63" s="92">
        <f t="shared" si="19"/>
        <v>-34312292200</v>
      </c>
      <c r="L63" s="10"/>
      <c r="M63" s="57">
        <f t="shared" si="16"/>
        <v>0</v>
      </c>
      <c r="N63" s="49">
        <f t="shared" si="14"/>
        <v>0</v>
      </c>
      <c r="O63" s="49">
        <f t="shared" ref="O63:AA70" si="21">+-PV($D$6,$B64-$B63,0,O64,0)</f>
        <v>0</v>
      </c>
      <c r="P63" s="49">
        <f t="shared" si="21"/>
        <v>0</v>
      </c>
      <c r="Q63" s="49">
        <f t="shared" si="21"/>
        <v>0</v>
      </c>
      <c r="R63" s="49">
        <f t="shared" si="21"/>
        <v>0</v>
      </c>
      <c r="S63" s="49">
        <f t="shared" si="21"/>
        <v>0</v>
      </c>
      <c r="T63" s="49">
        <f t="shared" si="21"/>
        <v>0</v>
      </c>
      <c r="U63" s="49">
        <f t="shared" si="21"/>
        <v>0</v>
      </c>
      <c r="V63" s="49">
        <f t="shared" si="21"/>
        <v>0</v>
      </c>
      <c r="W63" s="49">
        <f t="shared" si="21"/>
        <v>0</v>
      </c>
      <c r="X63" s="49">
        <f t="shared" si="21"/>
        <v>0</v>
      </c>
      <c r="Y63" s="49">
        <f t="shared" si="21"/>
        <v>0</v>
      </c>
      <c r="Z63" s="49">
        <f t="shared" si="21"/>
        <v>0</v>
      </c>
      <c r="AA63" s="49">
        <f t="shared" si="21"/>
        <v>0</v>
      </c>
      <c r="AB63" s="49">
        <f>+N63</f>
        <v>0</v>
      </c>
    </row>
    <row r="64" spans="1:40" s="49" customFormat="1" hidden="1" x14ac:dyDescent="0.25">
      <c r="A64" s="54">
        <f t="shared" si="17"/>
        <v>46387</v>
      </c>
      <c r="B64" s="53">
        <f t="shared" si="18"/>
        <v>14</v>
      </c>
      <c r="C64" s="53"/>
      <c r="D64" s="65"/>
      <c r="E64" s="58"/>
      <c r="F64" s="58"/>
      <c r="G64" s="58"/>
      <c r="H64" s="58"/>
      <c r="I64" s="58">
        <v>13761161576</v>
      </c>
      <c r="J64" s="58">
        <v>21619040324</v>
      </c>
      <c r="K64" s="92">
        <f t="shared" si="19"/>
        <v>-35380201900</v>
      </c>
      <c r="L64" s="10"/>
      <c r="M64" s="57">
        <f t="shared" si="16"/>
        <v>0</v>
      </c>
      <c r="N64" s="49">
        <f t="shared" si="14"/>
        <v>0</v>
      </c>
      <c r="O64" s="49">
        <f t="shared" si="21"/>
        <v>0</v>
      </c>
      <c r="P64" s="49">
        <f t="shared" si="21"/>
        <v>0</v>
      </c>
      <c r="Q64" s="49">
        <f t="shared" si="21"/>
        <v>0</v>
      </c>
      <c r="R64" s="49">
        <f t="shared" si="21"/>
        <v>0</v>
      </c>
      <c r="S64" s="49">
        <f t="shared" si="21"/>
        <v>0</v>
      </c>
      <c r="T64" s="49">
        <f t="shared" si="21"/>
        <v>0</v>
      </c>
      <c r="U64" s="49">
        <f t="shared" si="21"/>
        <v>0</v>
      </c>
      <c r="V64" s="49">
        <f t="shared" si="21"/>
        <v>0</v>
      </c>
      <c r="W64" s="49">
        <f t="shared" si="21"/>
        <v>0</v>
      </c>
      <c r="X64" s="49">
        <f t="shared" si="21"/>
        <v>0</v>
      </c>
      <c r="Y64" s="49">
        <f t="shared" si="21"/>
        <v>0</v>
      </c>
      <c r="Z64" s="49">
        <f t="shared" si="21"/>
        <v>0</v>
      </c>
      <c r="AA64" s="49">
        <f>+N64</f>
        <v>0</v>
      </c>
    </row>
    <row r="65" spans="1:26" s="49" customFormat="1" hidden="1" x14ac:dyDescent="0.25">
      <c r="A65" s="54">
        <f t="shared" si="17"/>
        <v>46752</v>
      </c>
      <c r="B65" s="53">
        <f t="shared" si="18"/>
        <v>15</v>
      </c>
      <c r="C65" s="53"/>
      <c r="D65" s="65"/>
      <c r="E65" s="58"/>
      <c r="F65" s="58"/>
      <c r="G65" s="58"/>
      <c r="H65" s="58"/>
      <c r="I65" s="58">
        <v>14195903817</v>
      </c>
      <c r="J65" s="58">
        <v>22302028457</v>
      </c>
      <c r="K65" s="92">
        <f t="shared" si="19"/>
        <v>-36497932274</v>
      </c>
      <c r="L65" s="10"/>
      <c r="M65" s="57">
        <f t="shared" si="16"/>
        <v>0</v>
      </c>
      <c r="N65" s="49">
        <f t="shared" si="14"/>
        <v>0</v>
      </c>
      <c r="O65" s="49">
        <f t="shared" si="21"/>
        <v>0</v>
      </c>
      <c r="P65" s="49">
        <f t="shared" si="21"/>
        <v>0</v>
      </c>
      <c r="Q65" s="49">
        <f t="shared" si="21"/>
        <v>0</v>
      </c>
      <c r="R65" s="49">
        <f t="shared" si="21"/>
        <v>0</v>
      </c>
      <c r="S65" s="49">
        <f t="shared" si="21"/>
        <v>0</v>
      </c>
      <c r="T65" s="49">
        <f t="shared" si="21"/>
        <v>0</v>
      </c>
      <c r="U65" s="49">
        <f t="shared" si="21"/>
        <v>0</v>
      </c>
      <c r="V65" s="49">
        <f t="shared" si="21"/>
        <v>0</v>
      </c>
      <c r="W65" s="49">
        <f t="shared" si="21"/>
        <v>0</v>
      </c>
      <c r="X65" s="49">
        <f t="shared" si="21"/>
        <v>0</v>
      </c>
      <c r="Y65" s="49">
        <f t="shared" si="21"/>
        <v>0</v>
      </c>
      <c r="Z65" s="49">
        <f>+N65</f>
        <v>0</v>
      </c>
    </row>
    <row r="66" spans="1:26" s="49" customFormat="1" hidden="1" x14ac:dyDescent="0.25">
      <c r="A66" s="54">
        <f t="shared" si="17"/>
        <v>47118</v>
      </c>
      <c r="B66" s="53">
        <f t="shared" si="18"/>
        <v>16</v>
      </c>
      <c r="C66" s="53"/>
      <c r="D66" s="65"/>
      <c r="E66" s="58"/>
      <c r="F66" s="58"/>
      <c r="G66" s="58"/>
      <c r="H66" s="58"/>
      <c r="I66" s="58">
        <v>14626424668</v>
      </c>
      <c r="J66" s="58">
        <v>22978384707</v>
      </c>
      <c r="K66" s="92">
        <f t="shared" si="19"/>
        <v>-37604809375</v>
      </c>
      <c r="L66" s="10"/>
      <c r="M66" s="57">
        <f t="shared" si="16"/>
        <v>0</v>
      </c>
      <c r="N66" s="49">
        <f t="shared" si="14"/>
        <v>0</v>
      </c>
      <c r="O66" s="49">
        <f t="shared" si="21"/>
        <v>0</v>
      </c>
      <c r="P66" s="49">
        <f t="shared" si="21"/>
        <v>0</v>
      </c>
      <c r="Q66" s="49">
        <f t="shared" si="21"/>
        <v>0</v>
      </c>
      <c r="R66" s="49">
        <f t="shared" si="21"/>
        <v>0</v>
      </c>
      <c r="S66" s="49">
        <f t="shared" si="21"/>
        <v>0</v>
      </c>
      <c r="T66" s="49">
        <f t="shared" si="21"/>
        <v>0</v>
      </c>
      <c r="U66" s="49">
        <f t="shared" si="21"/>
        <v>0</v>
      </c>
      <c r="V66" s="49">
        <f t="shared" si="21"/>
        <v>0</v>
      </c>
      <c r="W66" s="49">
        <f t="shared" si="21"/>
        <v>0</v>
      </c>
      <c r="X66" s="49">
        <f t="shared" si="21"/>
        <v>0</v>
      </c>
      <c r="Y66" s="49">
        <f>+N66</f>
        <v>0</v>
      </c>
    </row>
    <row r="67" spans="1:26" s="49" customFormat="1" hidden="1" x14ac:dyDescent="0.25">
      <c r="A67" s="54">
        <f t="shared" si="17"/>
        <v>47483</v>
      </c>
      <c r="B67" s="53">
        <f t="shared" si="18"/>
        <v>17</v>
      </c>
      <c r="C67" s="53"/>
      <c r="D67" s="65"/>
      <c r="E67" s="58"/>
      <c r="F67" s="58"/>
      <c r="G67" s="58"/>
      <c r="H67" s="58"/>
      <c r="I67" s="58">
        <v>15074164706</v>
      </c>
      <c r="J67" s="58">
        <v>23681792619</v>
      </c>
      <c r="K67" s="92">
        <f t="shared" si="19"/>
        <v>-38755957325</v>
      </c>
      <c r="L67" s="10"/>
      <c r="M67" s="57">
        <f t="shared" si="16"/>
        <v>0</v>
      </c>
      <c r="N67" s="49">
        <f t="shared" si="14"/>
        <v>0</v>
      </c>
      <c r="O67" s="49">
        <f t="shared" si="21"/>
        <v>0</v>
      </c>
      <c r="P67" s="49">
        <f t="shared" si="21"/>
        <v>0</v>
      </c>
      <c r="Q67" s="49">
        <f t="shared" si="21"/>
        <v>0</v>
      </c>
      <c r="R67" s="49">
        <f t="shared" si="21"/>
        <v>0</v>
      </c>
      <c r="S67" s="49">
        <f t="shared" si="21"/>
        <v>0</v>
      </c>
      <c r="T67" s="49">
        <f t="shared" si="21"/>
        <v>0</v>
      </c>
      <c r="U67" s="49">
        <f t="shared" si="21"/>
        <v>0</v>
      </c>
      <c r="V67" s="49">
        <f t="shared" si="21"/>
        <v>0</v>
      </c>
      <c r="W67" s="49">
        <f t="shared" si="21"/>
        <v>0</v>
      </c>
      <c r="X67" s="49">
        <f>+N67</f>
        <v>0</v>
      </c>
    </row>
    <row r="68" spans="1:26" s="49" customFormat="1" hidden="1" x14ac:dyDescent="0.25">
      <c r="A68" s="54">
        <f t="shared" si="17"/>
        <v>47848</v>
      </c>
      <c r="B68" s="53">
        <f t="shared" si="18"/>
        <v>18</v>
      </c>
      <c r="C68" s="53"/>
      <c r="D68" s="65"/>
      <c r="E68" s="58"/>
      <c r="F68" s="58"/>
      <c r="G68" s="58"/>
      <c r="H68" s="58"/>
      <c r="I68" s="58">
        <v>15475870498</v>
      </c>
      <c r="J68" s="58">
        <v>24312879877</v>
      </c>
      <c r="K68" s="92">
        <f t="shared" si="19"/>
        <v>-39788750375</v>
      </c>
      <c r="L68" s="10"/>
      <c r="M68" s="57">
        <f t="shared" si="16"/>
        <v>0</v>
      </c>
      <c r="N68" s="49">
        <f t="shared" si="14"/>
        <v>0</v>
      </c>
      <c r="O68" s="49">
        <f t="shared" si="21"/>
        <v>0</v>
      </c>
      <c r="P68" s="49">
        <f t="shared" si="21"/>
        <v>0</v>
      </c>
      <c r="Q68" s="49">
        <f t="shared" si="21"/>
        <v>0</v>
      </c>
      <c r="R68" s="49">
        <f t="shared" si="21"/>
        <v>0</v>
      </c>
      <c r="S68" s="49">
        <f t="shared" si="21"/>
        <v>0</v>
      </c>
      <c r="T68" s="49">
        <f t="shared" si="21"/>
        <v>0</v>
      </c>
      <c r="U68" s="49">
        <f t="shared" si="21"/>
        <v>0</v>
      </c>
      <c r="V68" s="49">
        <f t="shared" si="21"/>
        <v>0</v>
      </c>
      <c r="W68" s="49">
        <f>+N68</f>
        <v>0</v>
      </c>
    </row>
    <row r="69" spans="1:26" s="49" customFormat="1" hidden="1" x14ac:dyDescent="0.25">
      <c r="A69" s="54">
        <f t="shared" si="17"/>
        <v>48213</v>
      </c>
      <c r="B69" s="53">
        <f t="shared" si="18"/>
        <v>19</v>
      </c>
      <c r="C69" s="53"/>
      <c r="D69" s="65"/>
      <c r="E69" s="58"/>
      <c r="F69" s="58"/>
      <c r="G69" s="58"/>
      <c r="H69" s="58"/>
      <c r="I69" s="58">
        <v>15874877496</v>
      </c>
      <c r="J69" s="58">
        <v>24939727279</v>
      </c>
      <c r="K69" s="92">
        <f t="shared" si="19"/>
        <v>-40814604775</v>
      </c>
      <c r="L69" s="10"/>
      <c r="M69" s="57">
        <f t="shared" si="16"/>
        <v>0</v>
      </c>
      <c r="N69" s="49">
        <f t="shared" si="14"/>
        <v>0</v>
      </c>
      <c r="O69" s="49">
        <f t="shared" si="21"/>
        <v>0</v>
      </c>
      <c r="P69" s="49">
        <f t="shared" si="21"/>
        <v>0</v>
      </c>
      <c r="Q69" s="49">
        <f t="shared" si="21"/>
        <v>0</v>
      </c>
      <c r="R69" s="49">
        <f t="shared" si="21"/>
        <v>0</v>
      </c>
      <c r="S69" s="49">
        <f t="shared" si="21"/>
        <v>0</v>
      </c>
      <c r="T69" s="49">
        <f t="shared" si="21"/>
        <v>0</v>
      </c>
      <c r="U69" s="49">
        <f t="shared" si="21"/>
        <v>0</v>
      </c>
      <c r="V69" s="49">
        <f>+N69</f>
        <v>0</v>
      </c>
    </row>
    <row r="70" spans="1:26" s="49" customFormat="1" hidden="1" x14ac:dyDescent="0.25">
      <c r="A70" s="54">
        <f t="shared" si="17"/>
        <v>48579</v>
      </c>
      <c r="B70" s="53">
        <f t="shared" si="18"/>
        <v>20</v>
      </c>
      <c r="C70" s="53"/>
      <c r="D70" s="65"/>
      <c r="E70" s="58"/>
      <c r="F70" s="58"/>
      <c r="G70" s="58"/>
      <c r="H70" s="58"/>
      <c r="I70" s="58">
        <v>16285718160</v>
      </c>
      <c r="J70" s="58">
        <v>25585165590</v>
      </c>
      <c r="K70" s="92">
        <f t="shared" si="19"/>
        <v>-41870883750</v>
      </c>
      <c r="L70" s="10"/>
      <c r="M70" s="57">
        <f t="shared" si="16"/>
        <v>0</v>
      </c>
      <c r="N70" s="49">
        <f t="shared" si="14"/>
        <v>0</v>
      </c>
      <c r="O70" s="49">
        <f t="shared" si="21"/>
        <v>0</v>
      </c>
      <c r="P70" s="49">
        <f t="shared" si="21"/>
        <v>0</v>
      </c>
      <c r="Q70" s="49">
        <f t="shared" si="21"/>
        <v>0</v>
      </c>
      <c r="R70" s="49">
        <f t="shared" si="21"/>
        <v>0</v>
      </c>
      <c r="S70" s="49">
        <f t="shared" si="21"/>
        <v>0</v>
      </c>
      <c r="T70" s="49">
        <f t="shared" si="21"/>
        <v>0</v>
      </c>
      <c r="U70" s="49">
        <f>+N70</f>
        <v>0</v>
      </c>
    </row>
    <row r="71" spans="1:26" s="49" customFormat="1" hidden="1" x14ac:dyDescent="0.25">
      <c r="A71" s="54">
        <f t="shared" si="17"/>
        <v>48944</v>
      </c>
      <c r="B71" s="53">
        <f t="shared" si="18"/>
        <v>21</v>
      </c>
      <c r="C71" s="53"/>
      <c r="D71" s="65"/>
      <c r="E71" s="58"/>
      <c r="F71" s="58"/>
      <c r="G71" s="58"/>
      <c r="H71" s="58"/>
      <c r="I71" s="58">
        <v>16713205884</v>
      </c>
      <c r="J71" s="58">
        <v>26256756740</v>
      </c>
      <c r="K71" s="92">
        <f t="shared" si="19"/>
        <v>-42969962624</v>
      </c>
      <c r="L71" s="10"/>
      <c r="M71" s="57">
        <f t="shared" si="16"/>
        <v>0</v>
      </c>
      <c r="N71" s="49">
        <f t="shared" si="14"/>
        <v>0</v>
      </c>
      <c r="O71" s="49">
        <f>+-PV($D$6,$B72-$B71,0,O72,0)</f>
        <v>0</v>
      </c>
      <c r="P71" s="49">
        <f>+-PV($D$6,$B72-$B71,0,P72,0)</f>
        <v>0</v>
      </c>
      <c r="Q71" s="49">
        <f>+-PV($D$6,$B72-$B71,0,Q72,0)</f>
        <v>0</v>
      </c>
      <c r="R71" s="49">
        <f>+-PV($D$6,$B72-$B71,0,R72,0)</f>
        <v>0</v>
      </c>
      <c r="S71" s="49">
        <f>+-PV($D$6,$B72-$B71,0,S72,0)</f>
        <v>0</v>
      </c>
      <c r="T71" s="49">
        <f>+N71</f>
        <v>0</v>
      </c>
    </row>
    <row r="72" spans="1:26" s="49" customFormat="1" hidden="1" x14ac:dyDescent="0.25">
      <c r="A72" s="54">
        <f t="shared" si="17"/>
        <v>49309</v>
      </c>
      <c r="B72" s="53">
        <f t="shared" si="18"/>
        <v>22</v>
      </c>
      <c r="C72" s="53"/>
      <c r="D72" s="65"/>
      <c r="E72" s="58"/>
      <c r="F72" s="58"/>
      <c r="G72" s="58"/>
      <c r="H72" s="58"/>
      <c r="I72" s="58">
        <v>17143969499</v>
      </c>
      <c r="J72" s="58">
        <v>26933494376</v>
      </c>
      <c r="K72" s="92">
        <f t="shared" si="19"/>
        <v>-44077463875</v>
      </c>
      <c r="L72" s="10"/>
      <c r="M72" s="57">
        <f t="shared" si="16"/>
        <v>0</v>
      </c>
      <c r="N72" s="49">
        <f t="shared" si="14"/>
        <v>0</v>
      </c>
      <c r="O72" s="49">
        <f>+-PV($D$6,$B73-$B72,0,O73,0)</f>
        <v>0</v>
      </c>
      <c r="P72" s="49">
        <f>+-PV($D$6,$B73-$B72,0,P73,0)</f>
        <v>0</v>
      </c>
      <c r="Q72" s="49">
        <f>+-PV($D$6,$B73-$B72,0,Q73,0)</f>
        <v>0</v>
      </c>
      <c r="R72" s="49">
        <f>+-PV($D$6,$B73-$B72,0,R73,0)</f>
        <v>0</v>
      </c>
      <c r="S72" s="49">
        <f>+N72</f>
        <v>0</v>
      </c>
    </row>
    <row r="73" spans="1:26" s="49" customFormat="1" hidden="1" x14ac:dyDescent="0.25">
      <c r="A73" s="54">
        <f t="shared" si="17"/>
        <v>49674</v>
      </c>
      <c r="B73" s="53">
        <f t="shared" si="18"/>
        <v>23</v>
      </c>
      <c r="C73" s="53"/>
      <c r="D73" s="65"/>
      <c r="E73" s="58"/>
      <c r="F73" s="58"/>
      <c r="G73" s="58"/>
      <c r="H73" s="58"/>
      <c r="I73" s="58">
        <v>17502213489</v>
      </c>
      <c r="J73" s="58">
        <v>27496302336</v>
      </c>
      <c r="K73" s="92">
        <f t="shared" si="19"/>
        <v>-44998515825</v>
      </c>
      <c r="L73" s="10"/>
      <c r="M73" s="57">
        <f t="shared" si="16"/>
        <v>0</v>
      </c>
      <c r="N73" s="49">
        <f t="shared" si="14"/>
        <v>0</v>
      </c>
      <c r="O73" s="49">
        <f>+-PV($D$6,$B74-$B73,0,O74,0)</f>
        <v>0</v>
      </c>
      <c r="P73" s="49">
        <f>+-PV($D$6,$B74-$B73,0,P74,0)</f>
        <v>0</v>
      </c>
      <c r="Q73" s="49">
        <f>+-PV($D$6,$B74-$B73,0,Q74,0)</f>
        <v>0</v>
      </c>
      <c r="R73" s="49">
        <f>+N73</f>
        <v>0</v>
      </c>
    </row>
    <row r="74" spans="1:26" s="49" customFormat="1" hidden="1" x14ac:dyDescent="0.25">
      <c r="A74" s="54">
        <f t="shared" si="17"/>
        <v>50040</v>
      </c>
      <c r="B74" s="53">
        <f t="shared" si="18"/>
        <v>24</v>
      </c>
      <c r="C74" s="53"/>
      <c r="D74" s="65"/>
      <c r="E74" s="58"/>
      <c r="F74" s="58"/>
      <c r="G74" s="58"/>
      <c r="H74" s="58"/>
      <c r="I74" s="58">
        <v>17867145548</v>
      </c>
      <c r="J74" s="58">
        <v>28069617378</v>
      </c>
      <c r="K74" s="92">
        <f t="shared" si="19"/>
        <v>-45936762926</v>
      </c>
      <c r="L74" s="10"/>
      <c r="M74" s="57">
        <f t="shared" si="16"/>
        <v>0</v>
      </c>
      <c r="N74" s="49">
        <f t="shared" si="14"/>
        <v>0</v>
      </c>
      <c r="O74" s="49">
        <f>+-PV($D$6,$B75-$B74,0,O75,0)</f>
        <v>0</v>
      </c>
      <c r="P74" s="49">
        <f>+-PV($D$6,$B75-$B74,0,P75,0)</f>
        <v>0</v>
      </c>
      <c r="Q74" s="49">
        <f>+N74</f>
        <v>0</v>
      </c>
    </row>
    <row r="75" spans="1:26" s="49" customFormat="1" hidden="1" x14ac:dyDescent="0.25">
      <c r="A75" s="54">
        <f t="shared" si="17"/>
        <v>50405</v>
      </c>
      <c r="B75" s="53">
        <f t="shared" si="18"/>
        <v>25</v>
      </c>
      <c r="C75" s="53"/>
      <c r="D75" s="65"/>
      <c r="E75" s="58"/>
      <c r="F75" s="58"/>
      <c r="G75" s="58"/>
      <c r="H75" s="58"/>
      <c r="I75" s="58">
        <v>18236521887</v>
      </c>
      <c r="J75" s="58">
        <v>28649914463</v>
      </c>
      <c r="K75" s="92">
        <f t="shared" si="19"/>
        <v>-46886436350</v>
      </c>
      <c r="L75" s="10"/>
      <c r="M75" s="57">
        <f t="shared" si="16"/>
        <v>0</v>
      </c>
      <c r="N75" s="49">
        <f t="shared" si="14"/>
        <v>0</v>
      </c>
      <c r="O75" s="49">
        <f>+-PV($D$6,$B76-$B75,0,O76,0)</f>
        <v>0</v>
      </c>
      <c r="P75" s="49">
        <f>+N75</f>
        <v>0</v>
      </c>
    </row>
    <row r="76" spans="1:26" s="49" customFormat="1" hidden="1" x14ac:dyDescent="0.25">
      <c r="A76" s="54">
        <f t="shared" si="17"/>
        <v>50770</v>
      </c>
      <c r="B76" s="53">
        <f t="shared" si="18"/>
        <v>26</v>
      </c>
      <c r="C76" s="53"/>
      <c r="D76" s="65"/>
      <c r="E76" s="58"/>
      <c r="F76" s="58"/>
      <c r="G76" s="58"/>
      <c r="H76" s="58"/>
      <c r="I76" s="58">
        <v>18603070242</v>
      </c>
      <c r="J76" s="58">
        <v>29225768733</v>
      </c>
      <c r="K76" s="92">
        <f t="shared" si="19"/>
        <v>-47828838975</v>
      </c>
      <c r="L76" s="10"/>
      <c r="M76" s="57">
        <f t="shared" si="16"/>
        <v>0</v>
      </c>
      <c r="N76" s="49">
        <f>+D76</f>
        <v>0</v>
      </c>
      <c r="O76" s="49">
        <f>+N76</f>
        <v>0</v>
      </c>
    </row>
    <row r="77" spans="1:26" hidden="1" x14ac:dyDescent="0.25">
      <c r="A77" s="52" t="s">
        <v>67</v>
      </c>
      <c r="D77" s="77">
        <f>SUM(D51:D76)</f>
        <v>0</v>
      </c>
      <c r="E77" s="60">
        <f t="shared" ref="E77:J77" si="22">SUM(E51:E76)</f>
        <v>0</v>
      </c>
      <c r="F77" s="60">
        <f t="shared" si="22"/>
        <v>0</v>
      </c>
      <c r="G77" s="60">
        <f t="shared" si="22"/>
        <v>0</v>
      </c>
      <c r="H77" s="60">
        <f t="shared" si="22"/>
        <v>0</v>
      </c>
      <c r="I77" s="60">
        <f t="shared" si="22"/>
        <v>313823491213</v>
      </c>
      <c r="J77" s="60">
        <f t="shared" si="22"/>
        <v>493022531123</v>
      </c>
      <c r="K77" s="92">
        <f t="shared" si="19"/>
        <v>-806846022336</v>
      </c>
    </row>
    <row r="78" spans="1:26" hidden="1" x14ac:dyDescent="0.25">
      <c r="E78" s="81" t="e">
        <f>+E77/$D$77</f>
        <v>#DIV/0!</v>
      </c>
      <c r="F78" s="81" t="e">
        <f t="shared" ref="F78:J78" si="23">+F77/$D$77</f>
        <v>#DIV/0!</v>
      </c>
      <c r="G78" s="81" t="e">
        <f t="shared" si="23"/>
        <v>#DIV/0!</v>
      </c>
      <c r="H78" s="81" t="e">
        <f t="shared" si="23"/>
        <v>#DIV/0!</v>
      </c>
      <c r="I78" s="81" t="e">
        <f t="shared" si="23"/>
        <v>#DIV/0!</v>
      </c>
      <c r="J78" s="81" t="e">
        <f t="shared" si="23"/>
        <v>#DIV/0!</v>
      </c>
      <c r="K78" s="91"/>
    </row>
    <row r="79" spans="1:26" hidden="1" x14ac:dyDescent="0.25"/>
    <row r="81" spans="3:5" x14ac:dyDescent="0.25">
      <c r="C81" t="s">
        <v>63</v>
      </c>
      <c r="D81" t="s">
        <v>94</v>
      </c>
      <c r="E81" t="s">
        <v>95</v>
      </c>
    </row>
    <row r="82" spans="3:5" x14ac:dyDescent="0.25">
      <c r="C82">
        <v>2013</v>
      </c>
      <c r="D82" s="102">
        <f t="shared" ref="D82:D108" si="24">+D21</f>
        <v>0</v>
      </c>
      <c r="E82" s="102">
        <f>+D51</f>
        <v>0</v>
      </c>
    </row>
    <row r="83" spans="3:5" x14ac:dyDescent="0.25">
      <c r="C83">
        <v>2014</v>
      </c>
      <c r="D83" s="102">
        <f t="shared" si="24"/>
        <v>0</v>
      </c>
      <c r="E83" s="102">
        <f>+D52</f>
        <v>0</v>
      </c>
    </row>
    <row r="84" spans="3:5" x14ac:dyDescent="0.25">
      <c r="C84">
        <v>2015</v>
      </c>
      <c r="D84" s="102">
        <f t="shared" si="24"/>
        <v>0</v>
      </c>
      <c r="E84" s="102">
        <f t="shared" ref="E84:E104" si="25">+D53</f>
        <v>0</v>
      </c>
    </row>
    <row r="85" spans="3:5" x14ac:dyDescent="0.25">
      <c r="C85">
        <v>2016</v>
      </c>
      <c r="D85" s="102">
        <f t="shared" si="24"/>
        <v>0</v>
      </c>
      <c r="E85" s="102">
        <f t="shared" si="25"/>
        <v>0</v>
      </c>
    </row>
    <row r="86" spans="3:5" x14ac:dyDescent="0.25">
      <c r="C86">
        <v>2017</v>
      </c>
      <c r="D86" s="102">
        <f t="shared" si="24"/>
        <v>7945321408</v>
      </c>
      <c r="E86" s="102">
        <f t="shared" si="25"/>
        <v>0</v>
      </c>
    </row>
    <row r="87" spans="3:5" x14ac:dyDescent="0.25">
      <c r="C87">
        <v>2018</v>
      </c>
      <c r="D87" s="102">
        <f t="shared" si="24"/>
        <v>7945321408</v>
      </c>
      <c r="E87" s="102">
        <f t="shared" si="25"/>
        <v>0</v>
      </c>
    </row>
    <row r="88" spans="3:5" x14ac:dyDescent="0.25">
      <c r="C88">
        <v>2019</v>
      </c>
      <c r="D88" s="102">
        <f t="shared" si="24"/>
        <v>54014167206</v>
      </c>
      <c r="E88" s="102">
        <f t="shared" si="25"/>
        <v>0</v>
      </c>
    </row>
    <row r="89" spans="3:5" x14ac:dyDescent="0.25">
      <c r="C89">
        <v>2020</v>
      </c>
      <c r="D89" s="102">
        <f t="shared" si="24"/>
        <v>132313086255</v>
      </c>
      <c r="E89" s="102">
        <f t="shared" si="25"/>
        <v>0</v>
      </c>
    </row>
    <row r="90" spans="3:5" x14ac:dyDescent="0.25">
      <c r="C90">
        <v>2021</v>
      </c>
      <c r="D90" s="102">
        <f t="shared" si="24"/>
        <v>132313086255</v>
      </c>
      <c r="E90" s="102">
        <f t="shared" si="25"/>
        <v>0</v>
      </c>
    </row>
    <row r="91" spans="3:5" x14ac:dyDescent="0.25">
      <c r="C91">
        <v>2022</v>
      </c>
      <c r="D91" s="102">
        <f t="shared" si="24"/>
        <v>132313086255</v>
      </c>
      <c r="E91" s="102">
        <f t="shared" si="25"/>
        <v>0</v>
      </c>
    </row>
    <row r="92" spans="3:5" x14ac:dyDescent="0.25">
      <c r="C92">
        <v>2023</v>
      </c>
      <c r="D92" s="102">
        <f t="shared" si="24"/>
        <v>132313086255</v>
      </c>
      <c r="E92" s="102">
        <f t="shared" si="25"/>
        <v>0</v>
      </c>
    </row>
    <row r="93" spans="3:5" x14ac:dyDescent="0.25">
      <c r="C93">
        <v>2024</v>
      </c>
      <c r="D93" s="102">
        <f t="shared" si="24"/>
        <v>132313086255</v>
      </c>
      <c r="E93" s="102">
        <f t="shared" si="25"/>
        <v>0</v>
      </c>
    </row>
    <row r="94" spans="3:5" x14ac:dyDescent="0.25">
      <c r="C94">
        <v>2025</v>
      </c>
      <c r="D94" s="102">
        <f t="shared" si="24"/>
        <v>132313086255</v>
      </c>
      <c r="E94" s="102">
        <f t="shared" si="25"/>
        <v>0</v>
      </c>
    </row>
    <row r="95" spans="3:5" x14ac:dyDescent="0.25">
      <c r="C95">
        <v>2026</v>
      </c>
      <c r="D95" s="102">
        <f t="shared" si="24"/>
        <v>132313086255</v>
      </c>
      <c r="E95" s="102">
        <f t="shared" si="25"/>
        <v>0</v>
      </c>
    </row>
    <row r="96" spans="3:5" x14ac:dyDescent="0.25">
      <c r="C96">
        <v>2027</v>
      </c>
      <c r="D96" s="102">
        <f t="shared" si="24"/>
        <v>132313086255</v>
      </c>
      <c r="E96" s="102">
        <f t="shared" si="25"/>
        <v>0</v>
      </c>
    </row>
    <row r="97" spans="3:5" x14ac:dyDescent="0.25">
      <c r="C97">
        <v>2028</v>
      </c>
      <c r="D97" s="102">
        <f t="shared" si="24"/>
        <v>132313086255</v>
      </c>
      <c r="E97" s="102">
        <f t="shared" si="25"/>
        <v>0</v>
      </c>
    </row>
    <row r="98" spans="3:5" x14ac:dyDescent="0.25">
      <c r="C98">
        <v>2029</v>
      </c>
      <c r="D98" s="102">
        <f t="shared" si="24"/>
        <v>132313086255</v>
      </c>
      <c r="E98" s="102">
        <f t="shared" si="25"/>
        <v>0</v>
      </c>
    </row>
    <row r="99" spans="3:5" x14ac:dyDescent="0.25">
      <c r="C99">
        <v>2030</v>
      </c>
      <c r="D99" s="102">
        <f t="shared" si="24"/>
        <v>132313086255</v>
      </c>
      <c r="E99" s="102">
        <f t="shared" si="25"/>
        <v>0</v>
      </c>
    </row>
    <row r="100" spans="3:5" x14ac:dyDescent="0.25">
      <c r="C100">
        <v>2031</v>
      </c>
      <c r="D100" s="102">
        <f t="shared" si="24"/>
        <v>132313086255</v>
      </c>
      <c r="E100" s="102">
        <f t="shared" si="25"/>
        <v>0</v>
      </c>
    </row>
    <row r="101" spans="3:5" x14ac:dyDescent="0.25">
      <c r="C101">
        <v>2032</v>
      </c>
      <c r="D101" s="102">
        <f t="shared" si="24"/>
        <v>132313086255</v>
      </c>
      <c r="E101" s="102">
        <f t="shared" si="25"/>
        <v>0</v>
      </c>
    </row>
    <row r="102" spans="3:5" x14ac:dyDescent="0.25">
      <c r="C102">
        <v>2033</v>
      </c>
      <c r="D102" s="102">
        <f t="shared" si="24"/>
        <v>132313086255</v>
      </c>
      <c r="E102" s="102">
        <f t="shared" si="25"/>
        <v>0</v>
      </c>
    </row>
    <row r="103" spans="3:5" x14ac:dyDescent="0.25">
      <c r="C103">
        <v>2034</v>
      </c>
      <c r="D103" s="102">
        <f t="shared" si="24"/>
        <v>132313086255</v>
      </c>
      <c r="E103" s="102">
        <f t="shared" si="25"/>
        <v>0</v>
      </c>
    </row>
    <row r="104" spans="3:5" x14ac:dyDescent="0.25">
      <c r="C104">
        <v>2035</v>
      </c>
      <c r="D104" s="102">
        <f t="shared" si="24"/>
        <v>132313086255</v>
      </c>
      <c r="E104" s="102">
        <f t="shared" si="25"/>
        <v>0</v>
      </c>
    </row>
    <row r="105" spans="3:5" x14ac:dyDescent="0.25">
      <c r="C105">
        <v>2036</v>
      </c>
      <c r="D105" s="102">
        <f t="shared" si="24"/>
        <v>132313086255</v>
      </c>
      <c r="E105" s="102">
        <f>+D74</f>
        <v>0</v>
      </c>
    </row>
    <row r="106" spans="3:5" x14ac:dyDescent="0.25">
      <c r="C106">
        <v>2037</v>
      </c>
      <c r="D106" s="102">
        <f t="shared" si="24"/>
        <v>132313086255</v>
      </c>
      <c r="E106" s="102">
        <f>+D75</f>
        <v>0</v>
      </c>
    </row>
    <row r="107" spans="3:5" x14ac:dyDescent="0.25">
      <c r="C107">
        <v>2038</v>
      </c>
      <c r="D107" s="102">
        <f t="shared" si="24"/>
        <v>132313086255</v>
      </c>
      <c r="E107" s="102">
        <f t="shared" ref="E107:E108" si="26">+D76</f>
        <v>0</v>
      </c>
    </row>
    <row r="108" spans="3:5" x14ac:dyDescent="0.25">
      <c r="C108" s="10" t="s">
        <v>93</v>
      </c>
      <c r="D108" s="103">
        <f t="shared" si="24"/>
        <v>2583853448867</v>
      </c>
      <c r="E108" s="103">
        <f t="shared" si="26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V76"/>
  <sheetViews>
    <sheetView workbookViewId="0">
      <selection activeCell="E22" sqref="E22"/>
    </sheetView>
  </sheetViews>
  <sheetFormatPr baseColWidth="10" defaultRowHeight="15" x14ac:dyDescent="0.25"/>
  <cols>
    <col min="1" max="1" width="12.5703125" style="1" customWidth="1"/>
    <col min="2" max="2" width="27.42578125" style="1" customWidth="1"/>
    <col min="3" max="3" width="20.28515625" style="1" bestFit="1" customWidth="1"/>
    <col min="4" max="4" width="13.28515625" style="1" customWidth="1"/>
    <col min="5" max="5" width="27.85546875" style="1" bestFit="1" customWidth="1"/>
    <col min="6" max="7" width="20.28515625" style="1" bestFit="1" customWidth="1"/>
    <col min="8" max="8" width="21.85546875" style="1" customWidth="1"/>
    <col min="9" max="9" width="12" style="1" bestFit="1" customWidth="1"/>
    <col min="10" max="10" width="11.7109375" style="1" bestFit="1" customWidth="1"/>
    <col min="11" max="13" width="11.42578125" style="1"/>
    <col min="14" max="14" width="11.140625" style="1" customWidth="1"/>
    <col min="15" max="15" width="15.140625" style="1" bestFit="1" customWidth="1"/>
    <col min="16" max="16" width="8.42578125" style="1" bestFit="1" customWidth="1"/>
    <col min="17" max="17" width="29.7109375" style="1" bestFit="1" customWidth="1"/>
    <col min="18" max="18" width="16.28515625" style="1" bestFit="1" customWidth="1"/>
    <col min="19" max="19" width="28.140625" style="1" bestFit="1" customWidth="1"/>
    <col min="20" max="20" width="16.28515625" style="1" bestFit="1" customWidth="1"/>
    <col min="21" max="21" width="28.140625" style="1" bestFit="1" customWidth="1"/>
    <col min="22" max="22" width="16.28515625" style="1" bestFit="1" customWidth="1"/>
    <col min="23" max="16384" width="11.42578125" style="1"/>
  </cols>
  <sheetData>
    <row r="1" spans="1:22" ht="46.5" x14ac:dyDescent="0.35">
      <c r="A1" s="3" t="s">
        <v>15</v>
      </c>
      <c r="B1" s="4"/>
      <c r="C1" s="4"/>
      <c r="D1" s="4"/>
      <c r="E1" s="4"/>
      <c r="F1" s="5" t="s">
        <v>16</v>
      </c>
      <c r="G1" s="5" t="s">
        <v>17</v>
      </c>
      <c r="H1" s="5" t="s">
        <v>18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4"/>
      <c r="B2" s="4"/>
      <c r="C2" s="4"/>
      <c r="D2" s="6" t="s">
        <v>19</v>
      </c>
      <c r="E2" s="7" t="s">
        <v>0</v>
      </c>
      <c r="F2" s="24">
        <f>+AVERAGE('Tablero Adjudicación'!C35:C36)</f>
        <v>814215343329.5</v>
      </c>
      <c r="G2" s="25"/>
      <c r="H2" s="2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5">
      <c r="A3" s="153" t="s">
        <v>5</v>
      </c>
      <c r="B3" s="153"/>
      <c r="C3" s="105" t="s">
        <v>6</v>
      </c>
      <c r="D3" s="6"/>
      <c r="E3" s="7" t="s">
        <v>55</v>
      </c>
      <c r="F3" s="36">
        <f>0.9*F2</f>
        <v>732793808996.55005</v>
      </c>
      <c r="G3" s="25"/>
      <c r="H3" s="2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A4" s="30">
        <v>2</v>
      </c>
      <c r="B4" s="30">
        <v>2</v>
      </c>
      <c r="C4" s="30">
        <v>2</v>
      </c>
      <c r="D4" s="6"/>
      <c r="E4" s="4"/>
      <c r="F4" s="25"/>
      <c r="G4" s="25"/>
      <c r="H4" s="2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x14ac:dyDescent="0.25">
      <c r="A5" s="30">
        <v>3</v>
      </c>
      <c r="B5" s="30">
        <v>3</v>
      </c>
      <c r="C5" s="30">
        <v>1</v>
      </c>
      <c r="D5" s="6" t="s">
        <v>20</v>
      </c>
      <c r="E5" s="7" t="s">
        <v>0</v>
      </c>
      <c r="F5" s="25"/>
      <c r="G5" s="24">
        <f>+AVERAGE('Tablero Adjudicación'!C35:C36)</f>
        <v>814215343329.5</v>
      </c>
      <c r="H5" s="2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x14ac:dyDescent="0.25">
      <c r="A6" s="30">
        <v>4</v>
      </c>
      <c r="B6" s="30">
        <v>9</v>
      </c>
      <c r="C6" s="30">
        <v>3</v>
      </c>
      <c r="D6" s="4"/>
      <c r="E6" s="7" t="s">
        <v>2</v>
      </c>
      <c r="F6" s="25"/>
      <c r="G6" s="24">
        <f>+MAX('Tablero Adjudicación'!C35:C36)</f>
        <v>850103866559</v>
      </c>
      <c r="H6" s="2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5">
      <c r="A7" s="30">
        <v>10</v>
      </c>
      <c r="B7" s="30">
        <v>12</v>
      </c>
      <c r="C7" s="30">
        <v>4</v>
      </c>
      <c r="D7" s="6"/>
      <c r="E7" s="7" t="s">
        <v>1</v>
      </c>
      <c r="F7" s="25"/>
      <c r="G7" s="24">
        <f>+AVERAGE(G5,G6)</f>
        <v>832159604944.25</v>
      </c>
      <c r="H7" s="2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x14ac:dyDescent="0.25">
      <c r="A8" s="30">
        <v>13</v>
      </c>
      <c r="B8" s="30">
        <v>15</v>
      </c>
      <c r="C8" s="30">
        <v>5</v>
      </c>
      <c r="D8" s="6"/>
      <c r="E8" s="7" t="s">
        <v>55</v>
      </c>
      <c r="F8" s="25"/>
      <c r="G8" s="36">
        <f>0.9*G7</f>
        <v>748943644449.82507</v>
      </c>
      <c r="H8" s="2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25">
      <c r="A9" s="4"/>
      <c r="B9" s="4"/>
      <c r="C9" s="4"/>
      <c r="D9" s="4"/>
      <c r="E9" s="4"/>
      <c r="F9" s="25"/>
      <c r="G9" s="25"/>
      <c r="H9" s="25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25">
      <c r="A10" s="4"/>
      <c r="B10" s="4"/>
      <c r="C10" s="4"/>
      <c r="D10" s="6" t="s">
        <v>21</v>
      </c>
      <c r="E10" s="7" t="s">
        <v>4</v>
      </c>
      <c r="F10" s="26"/>
      <c r="G10" s="26"/>
      <c r="H10" s="24" t="e">
        <f>+'Tablero Adjudicación'!#REF!</f>
        <v>#REF!</v>
      </c>
      <c r="I10" s="4"/>
      <c r="J10" s="10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A11" s="7" t="s">
        <v>13</v>
      </c>
      <c r="B11" s="4"/>
      <c r="C11" s="8" t="e">
        <f>0.7*H10</f>
        <v>#REF!</v>
      </c>
      <c r="D11" s="4"/>
      <c r="E11" s="7" t="s">
        <v>3</v>
      </c>
      <c r="F11" s="25"/>
      <c r="G11" s="25"/>
      <c r="H11" s="24" t="e">
        <f>+(+H10^+VLOOKUP('Tablero Adjudicación'!$C$37,$A$4:$C$8,3)*PRODUCT('Tablero Adjudicación'!C35:C36))^(1/(+VLOOKUP('Tablero Adjudicación'!$C$37,$A$4:$C$8,3)+'Tablero Adjudicación'!C37))</f>
        <v>#REF!</v>
      </c>
      <c r="J11" s="2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idden="1" x14ac:dyDescent="0.25">
      <c r="A12" s="7"/>
      <c r="B12" s="4"/>
      <c r="C12" s="8"/>
      <c r="D12" s="4"/>
      <c r="E12" s="7"/>
      <c r="F12" s="26" t="s">
        <v>44</v>
      </c>
      <c r="G12" s="25"/>
      <c r="H12" s="24" t="e">
        <f>H10^VLOOKUP('Tablero Adjudicación'!$C$37,$A$4:$C$8,3)</f>
        <v>#REF!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idden="1" x14ac:dyDescent="0.25">
      <c r="A13" s="7"/>
      <c r="B13" s="4"/>
      <c r="C13" s="8"/>
      <c r="D13" s="4"/>
      <c r="E13" s="7"/>
      <c r="F13" s="26" t="s">
        <v>45</v>
      </c>
      <c r="G13" s="25"/>
      <c r="H13" s="24">
        <f>+PRODUCT('Tablero Adjudicación'!C35:C36)</f>
        <v>6.6165863921358125E+23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idden="1" x14ac:dyDescent="0.25">
      <c r="A14" s="7"/>
      <c r="B14" s="4"/>
      <c r="C14" s="8"/>
      <c r="D14" s="4"/>
      <c r="E14" s="7"/>
      <c r="F14" s="26" t="s">
        <v>46</v>
      </c>
      <c r="G14" s="25"/>
      <c r="H14" s="24" t="e">
        <f>+(H12*H13)^(1/('Tablero Adjudicación'!C37+VLOOKUP('Tablero Adjudicación'!$C$37,$A$4:$C$8,3)))</f>
        <v>#REF!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7"/>
      <c r="B15" s="4"/>
      <c r="C15" s="8"/>
      <c r="D15" s="4"/>
      <c r="E15" s="7" t="s">
        <v>55</v>
      </c>
      <c r="F15" s="25"/>
      <c r="G15" s="25"/>
      <c r="H15" s="35" t="e">
        <f>0.9*H11</f>
        <v>#REF!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x14ac:dyDescent="0.25">
      <c r="A16" s="4"/>
      <c r="B16" s="4"/>
      <c r="C16" s="4"/>
      <c r="D16" s="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4"/>
      <c r="B18" s="4"/>
      <c r="C18" s="4"/>
      <c r="D18" s="7" t="s">
        <v>52</v>
      </c>
      <c r="E18" s="10" t="s">
        <v>59</v>
      </c>
      <c r="F18" s="37" t="s">
        <v>56</v>
      </c>
      <c r="G18" s="37" t="s">
        <v>57</v>
      </c>
      <c r="H18" s="37" t="s">
        <v>58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x14ac:dyDescent="0.25">
      <c r="A19" s="4"/>
      <c r="B19" s="4"/>
      <c r="C19" s="4"/>
      <c r="D19" s="4">
        <v>1</v>
      </c>
      <c r="E19" s="2">
        <f>+'Tablero Adjudicación'!C35</f>
        <v>850103866559</v>
      </c>
      <c r="F19" s="38">
        <f>+IF('Tablero Adjudicación'!C35=0,"",IF('Tablero Adjudicación'!C35&lt;$F$3,"rechazada por &lt; 90%",'Tablero Adjudicación'!C35))</f>
        <v>850103866559</v>
      </c>
      <c r="G19" s="38">
        <f>+IF('Tablero Adjudicación'!C35=0,"",IF('Tablero Adjudicación'!C35&lt;$G$8,"rechazada por &lt; 90%",'Tablero Adjudicación'!C35))</f>
        <v>850103866559</v>
      </c>
      <c r="H19" s="38" t="e">
        <f>+IF('Tablero Adjudicación'!C35=0,"",IF('Tablero Adjudicación'!C35&lt;$H$15,"rechazada por &lt; 90%",'Tablero Adjudicación'!C35))</f>
        <v>#REF!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x14ac:dyDescent="0.25">
      <c r="A20" s="4"/>
      <c r="B20" s="4"/>
      <c r="C20" s="4"/>
      <c r="D20" s="4">
        <v>2</v>
      </c>
      <c r="E20" s="2">
        <f>+'Tablero Adjudicación'!C36</f>
        <v>778326820100</v>
      </c>
      <c r="F20" s="38">
        <f>+IF('Tablero Adjudicación'!C36=0,"",IF('Tablero Adjudicación'!C36&lt;$F$3,"rechazada por &lt; 90%",'Tablero Adjudicación'!C36))</f>
        <v>778326820100</v>
      </c>
      <c r="G20" s="38">
        <f>+IF('Tablero Adjudicación'!C36=0,"",IF('Tablero Adjudicación'!C36&lt;$G$8,"rechazada por &lt; 90%",'Tablero Adjudicación'!C36))</f>
        <v>778326820100</v>
      </c>
      <c r="H20" s="38" t="e">
        <f>+IF('Tablero Adjudicación'!C36=0,"",IF('Tablero Adjudicación'!C36&lt;$H$15,"rechazada por &lt; 90%",'Tablero Adjudicación'!C36))</f>
        <v>#REF!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4"/>
      <c r="B21" s="4"/>
      <c r="C21" s="4"/>
      <c r="D21" s="4">
        <v>3</v>
      </c>
      <c r="E21" s="2" t="e">
        <f>+'Tablero Adjudicación'!#REF!</f>
        <v>#REF!</v>
      </c>
      <c r="F21" s="38" t="e">
        <f>+IF('Tablero Adjudicación'!#REF!=0,"",IF('Tablero Adjudicación'!#REF!&lt;$F$3,"rechazada por &lt; 90%",'Tablero Adjudicación'!#REF!))</f>
        <v>#REF!</v>
      </c>
      <c r="G21" s="38" t="e">
        <f>+IF('Tablero Adjudicación'!#REF!=0,"",IF('Tablero Adjudicación'!#REF!&lt;$G$8,"rechazada por &lt; 90%",'Tablero Adjudicación'!#REF!))</f>
        <v>#REF!</v>
      </c>
      <c r="H21" s="38" t="e">
        <f>+IF('Tablero Adjudicación'!#REF!=0,"",IF('Tablero Adjudicación'!#REF!&lt;$H$15,"rechazada por &lt; 90%",'Tablero Adjudicación'!#REF!))</f>
        <v>#REF!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x14ac:dyDescent="0.25">
      <c r="A22" s="4"/>
      <c r="B22" s="4"/>
      <c r="C22" s="4"/>
      <c r="D22" s="4">
        <v>4</v>
      </c>
      <c r="E22" s="2" t="e">
        <f>+'Tablero Adjudicación'!#REF!</f>
        <v>#REF!</v>
      </c>
      <c r="F22" s="38" t="e">
        <f>+IF('Tablero Adjudicación'!#REF!=0,"",IF('Tablero Adjudicación'!#REF!&lt;$F$3,"rechazada por &lt; 90%",'Tablero Adjudicación'!#REF!))</f>
        <v>#REF!</v>
      </c>
      <c r="G22" s="38" t="e">
        <f>+IF('Tablero Adjudicación'!#REF!=0,"",IF('Tablero Adjudicación'!#REF!&lt;$G$8,"rechazada por &lt; 90%",'Tablero Adjudicación'!#REF!))</f>
        <v>#REF!</v>
      </c>
      <c r="H22" s="38" t="e">
        <f>+IF('Tablero Adjudicación'!#REF!=0,"",IF('Tablero Adjudicación'!#REF!&lt;$H$15,"rechazada por &lt; 90%",'Tablero Adjudicación'!#REF!))</f>
        <v>#REF!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x14ac:dyDescent="0.25">
      <c r="A23" s="4"/>
      <c r="B23" s="4"/>
      <c r="C23" s="4"/>
      <c r="D23" s="4">
        <v>5</v>
      </c>
      <c r="E23" s="2" t="e">
        <f>+'Tablero Adjudicación'!#REF!</f>
        <v>#REF!</v>
      </c>
      <c r="F23" s="38" t="e">
        <f>+IF('Tablero Adjudicación'!#REF!=0,"",IF('Tablero Adjudicación'!#REF!&lt;$F$3,"rechazada por &lt; 90%",'Tablero Adjudicación'!#REF!))</f>
        <v>#REF!</v>
      </c>
      <c r="G23" s="38" t="e">
        <f>+IF('Tablero Adjudicación'!#REF!=0,"",IF('Tablero Adjudicación'!#REF!&lt;$G$8,"rechazada por &lt; 90%",'Tablero Adjudicación'!#REF!))</f>
        <v>#REF!</v>
      </c>
      <c r="H23" s="38" t="e">
        <f>+IF('Tablero Adjudicación'!#REF!=0,"",IF('Tablero Adjudicación'!#REF!&lt;$H$15,"rechazada por &lt; 90%",'Tablero Adjudicación'!#REF!))</f>
        <v>#REF!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4"/>
      <c r="B24" s="4"/>
      <c r="C24" s="4"/>
      <c r="D24" s="4">
        <v>6</v>
      </c>
      <c r="E24" s="2" t="e">
        <f>+'Tablero Adjudicación'!#REF!</f>
        <v>#REF!</v>
      </c>
      <c r="F24" s="38" t="e">
        <f>+IF('Tablero Adjudicación'!#REF!=0,"",IF('Tablero Adjudicación'!#REF!&lt;$F$3,"rechazada por &lt; 90%",'Tablero Adjudicación'!#REF!))</f>
        <v>#REF!</v>
      </c>
      <c r="G24" s="38" t="e">
        <f>+IF('Tablero Adjudicación'!#REF!=0,"",IF('Tablero Adjudicación'!#REF!&lt;$G$8,"rechazada por &lt; 90%",'Tablero Adjudicación'!#REF!))</f>
        <v>#REF!</v>
      </c>
      <c r="H24" s="38" t="e">
        <f>+IF('Tablero Adjudicación'!#REF!=0,"",IF('Tablero Adjudicación'!#REF!&lt;$H$15,"rechazada por &lt; 90%",'Tablero Adjudicación'!#REF!))</f>
        <v>#REF!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4"/>
      <c r="B25" s="4"/>
      <c r="C25" s="4"/>
      <c r="D25" s="4">
        <v>7</v>
      </c>
      <c r="E25" s="2" t="e">
        <f>+'Tablero Adjudicación'!#REF!</f>
        <v>#REF!</v>
      </c>
      <c r="F25" s="38" t="e">
        <f>+IF('Tablero Adjudicación'!#REF!=0,"",IF('Tablero Adjudicación'!#REF!&lt;$F$3,"rechazada por &lt; 90%",'Tablero Adjudicación'!#REF!))</f>
        <v>#REF!</v>
      </c>
      <c r="G25" s="38" t="e">
        <f>+IF('Tablero Adjudicación'!#REF!=0,"",IF('Tablero Adjudicación'!#REF!&lt;$G$8,"rechazada por &lt; 90%",'Tablero Adjudicación'!#REF!))</f>
        <v>#REF!</v>
      </c>
      <c r="H25" s="38" t="e">
        <f>+IF('Tablero Adjudicación'!#REF!=0,"",IF('Tablero Adjudicación'!#REF!&lt;$H$15,"rechazada por &lt; 90%",'Tablero Adjudicación'!#REF!))</f>
        <v>#REF!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4"/>
      <c r="B26" s="4"/>
      <c r="C26" s="4"/>
      <c r="D26" s="4">
        <v>8</v>
      </c>
      <c r="E26" s="2" t="e">
        <f>+'Tablero Adjudicación'!#REF!</f>
        <v>#REF!</v>
      </c>
      <c r="F26" s="38" t="e">
        <f>+IF('Tablero Adjudicación'!#REF!=0,"",IF('Tablero Adjudicación'!#REF!&lt;$F$3,"rechazada por &lt; 90%",'Tablero Adjudicación'!#REF!))</f>
        <v>#REF!</v>
      </c>
      <c r="G26" s="38" t="e">
        <f>+IF('Tablero Adjudicación'!#REF!=0,"",IF('Tablero Adjudicación'!#REF!&lt;$G$8,"rechazada por &lt; 90%",'Tablero Adjudicación'!#REF!))</f>
        <v>#REF!</v>
      </c>
      <c r="H26" s="38" t="e">
        <f>+IF('Tablero Adjudicación'!#REF!=0,"",IF('Tablero Adjudicación'!#REF!&lt;$H$15,"rechazada por &lt; 90%",'Tablero Adjudicación'!#REF!))</f>
        <v>#REF!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4"/>
      <c r="B27" s="4"/>
      <c r="C27" s="4"/>
      <c r="D27" s="4">
        <v>9</v>
      </c>
      <c r="E27" s="2" t="e">
        <f>+'Tablero Adjudicación'!#REF!</f>
        <v>#REF!</v>
      </c>
      <c r="F27" s="38" t="e">
        <f>+IF('Tablero Adjudicación'!#REF!=0,"",IF('Tablero Adjudicación'!#REF!&lt;$F$3,"rechazada por &lt; 90%",'Tablero Adjudicación'!#REF!))</f>
        <v>#REF!</v>
      </c>
      <c r="G27" s="38" t="e">
        <f>+IF('Tablero Adjudicación'!#REF!=0,"",IF('Tablero Adjudicación'!#REF!&lt;$G$8,"rechazada por &lt; 90%",'Tablero Adjudicación'!#REF!))</f>
        <v>#REF!</v>
      </c>
      <c r="H27" s="38" t="e">
        <f>+IF('Tablero Adjudicación'!#REF!=0,"",IF('Tablero Adjudicación'!#REF!&lt;$H$15,"rechazada por &lt; 90%",'Tablero Adjudicación'!#REF!))</f>
        <v>#REF!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x14ac:dyDescent="0.25">
      <c r="A28" s="4"/>
      <c r="B28" s="4"/>
      <c r="C28" s="4"/>
      <c r="D28" s="4">
        <v>10</v>
      </c>
      <c r="E28" s="2" t="e">
        <f>+'Tablero Adjudicación'!#REF!</f>
        <v>#REF!</v>
      </c>
      <c r="F28" s="38" t="e">
        <f>+IF('Tablero Adjudicación'!#REF!=0,"",IF('Tablero Adjudicación'!#REF!&lt;$F$3,"rechazada por &lt; 90%",'Tablero Adjudicación'!#REF!))</f>
        <v>#REF!</v>
      </c>
      <c r="G28" s="38" t="e">
        <f>+IF('Tablero Adjudicación'!#REF!=0,"",IF('Tablero Adjudicación'!#REF!&lt;$G$8,"rechazada por &lt; 90%",'Tablero Adjudicación'!#REF!))</f>
        <v>#REF!</v>
      </c>
      <c r="H28" s="38" t="e">
        <f>+IF('Tablero Adjudicación'!#REF!=0,"",IF('Tablero Adjudicación'!#REF!&lt;$H$15,"rechazada por &lt; 90%",'Tablero Adjudicación'!#REF!))</f>
        <v>#REF!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A29" s="4"/>
      <c r="B29" s="4"/>
      <c r="C29" s="4"/>
      <c r="D29" s="4"/>
      <c r="E29" s="4"/>
      <c r="F29" s="2"/>
      <c r="G29" s="2"/>
      <c r="H29" s="2"/>
      <c r="I29" s="4"/>
      <c r="J29" s="7"/>
      <c r="K29" s="7"/>
      <c r="L29" s="7"/>
      <c r="M29" s="4"/>
      <c r="N29" s="4"/>
      <c r="O29" s="4"/>
      <c r="P29" s="4"/>
      <c r="Q29" s="7"/>
      <c r="R29" s="7"/>
      <c r="S29" s="7"/>
      <c r="T29" s="7"/>
      <c r="U29" s="7"/>
      <c r="V29" s="7"/>
    </row>
    <row r="30" spans="1:22" x14ac:dyDescent="0.25">
      <c r="A30" s="4"/>
      <c r="B30" s="4"/>
      <c r="C30" s="4"/>
      <c r="D30" s="4"/>
      <c r="E30" s="4"/>
      <c r="F30" s="2"/>
      <c r="G30" s="2"/>
      <c r="H30" s="2"/>
      <c r="I30" s="4"/>
      <c r="J30" s="7" t="s">
        <v>25</v>
      </c>
      <c r="K30" s="7" t="s">
        <v>25</v>
      </c>
      <c r="L30" s="7" t="s">
        <v>25</v>
      </c>
      <c r="M30" s="29"/>
      <c r="N30" s="4"/>
      <c r="O30" s="4"/>
      <c r="P30" s="4"/>
      <c r="Q30" s="7" t="s">
        <v>27</v>
      </c>
      <c r="R30" s="7" t="s">
        <v>26</v>
      </c>
      <c r="S30" s="7" t="s">
        <v>27</v>
      </c>
      <c r="T30" s="7" t="s">
        <v>26</v>
      </c>
      <c r="U30" s="7" t="s">
        <v>27</v>
      </c>
      <c r="V30" s="7" t="s">
        <v>26</v>
      </c>
    </row>
    <row r="31" spans="1:22" x14ac:dyDescent="0.25">
      <c r="A31" s="4"/>
      <c r="B31" s="4"/>
      <c r="C31" s="4"/>
      <c r="D31" s="4"/>
      <c r="E31" s="7" t="s">
        <v>60</v>
      </c>
      <c r="F31" s="33">
        <v>700</v>
      </c>
      <c r="G31" s="4"/>
      <c r="H31" s="4"/>
      <c r="I31" s="4"/>
      <c r="J31" s="9" t="s">
        <v>23</v>
      </c>
      <c r="K31" s="9" t="s">
        <v>22</v>
      </c>
      <c r="L31" s="9" t="s">
        <v>24</v>
      </c>
      <c r="M31" s="28"/>
      <c r="N31" s="154" t="s">
        <v>53</v>
      </c>
      <c r="O31" s="154"/>
      <c r="P31" s="33" t="s">
        <v>54</v>
      </c>
      <c r="Q31" s="33" t="s">
        <v>23</v>
      </c>
      <c r="R31" s="33" t="s">
        <v>23</v>
      </c>
      <c r="S31" s="33" t="s">
        <v>22</v>
      </c>
      <c r="T31" s="33" t="s">
        <v>22</v>
      </c>
      <c r="U31" s="33" t="s">
        <v>24</v>
      </c>
      <c r="V31" s="33" t="s">
        <v>24</v>
      </c>
    </row>
    <row r="32" spans="1:22" x14ac:dyDescent="0.25">
      <c r="A32" s="4"/>
      <c r="B32" s="4"/>
      <c r="C32" s="4"/>
      <c r="D32" s="4"/>
      <c r="E32" s="4">
        <v>1</v>
      </c>
      <c r="F32" s="27" t="str">
        <f>IF(F19="","",IF(ISERR(MIN($F$19:$F$28)/F19*$F$31),"rechazada",MIN($F$19:$F$28)/F19*$F$31))</f>
        <v>rechazada</v>
      </c>
      <c r="G32" s="27" t="str">
        <f>IF(G19="","",IF(ISERR(MIN($G$19:$G$28)/G19*$F$31),"rechazada",MIN($G$19:$G$28)/G19*$F$31))</f>
        <v>rechazada</v>
      </c>
      <c r="H32" s="27" t="e">
        <f>IF(H19="","",IF(ISERR(MIN($H$19:$H$28)/H19*$F$31),"rechazada",MIN($H$19:$H$28)/H19*$F$31))</f>
        <v>#REF!</v>
      </c>
      <c r="I32" s="4"/>
      <c r="J32" s="30" t="str">
        <f t="shared" ref="J32:J41" si="0">IF(ISERR(+RANK(F32,$F$32:$F$41,FALSE)),"rechazada",RANK(F32,$F$32:$F$41,FALSE))</f>
        <v>rechazada</v>
      </c>
      <c r="K32" s="30" t="str">
        <f t="shared" ref="K32:K41" si="1">IF(ISERR(+RANK(G32,$G$32:$G$41,FALSE)),"rechazada",RANK(G32,$G$32:$G$41,FALSE))</f>
        <v>rechazada</v>
      </c>
      <c r="L32" s="30" t="str">
        <f t="shared" ref="L32:L41" si="2">IF(ISERR(+RANK(H32,$H$32:$H$41,FALSE)),"rechazada",RANK(H32,$H$32:$H$41,FALSE))</f>
        <v>rechazada</v>
      </c>
      <c r="M32" s="28"/>
      <c r="N32" s="31" t="str">
        <f>+'Tablero Adjudicación'!B35</f>
        <v>EP SHIKUN Y BINUI - GRODCO</v>
      </c>
      <c r="O32" s="32">
        <f>+'Tablero Adjudicación'!C35</f>
        <v>850103866559</v>
      </c>
      <c r="P32" s="34">
        <v>1</v>
      </c>
      <c r="Q32" s="4" t="e">
        <f t="shared" ref="Q32:Q41" si="3">+VLOOKUP(P32,$J$32:$O$41,5,FALSE)</f>
        <v>#N/A</v>
      </c>
      <c r="R32" s="2" t="e">
        <f t="shared" ref="R32:R41" si="4">+VLOOKUP(P32,$J$32:$O$41,6,FALSE)</f>
        <v>#N/A</v>
      </c>
      <c r="S32" s="4" t="e">
        <f t="shared" ref="S32:S41" si="5">VLOOKUP(P32,$K$32:$O$41,4,FALSE)</f>
        <v>#N/A</v>
      </c>
      <c r="T32" s="2" t="e">
        <f t="shared" ref="T32:T41" si="6">+VLOOKUP(P32,$K$32:$O$41,5,FALSE)</f>
        <v>#N/A</v>
      </c>
      <c r="U32" s="4" t="e">
        <f t="shared" ref="U32:U41" si="7">+VLOOKUP(P32,$L$32:$O$41,3,FALSE)</f>
        <v>#N/A</v>
      </c>
      <c r="V32" s="2" t="e">
        <f t="shared" ref="V32:V41" si="8">VLOOKUP(P32,$L$32:$O$41,4,FALSE)</f>
        <v>#N/A</v>
      </c>
    </row>
    <row r="33" spans="1:22" x14ac:dyDescent="0.25">
      <c r="A33" s="4"/>
      <c r="B33" s="4"/>
      <c r="C33" s="4"/>
      <c r="D33" s="4"/>
      <c r="E33" s="4">
        <v>2</v>
      </c>
      <c r="F33" s="27" t="str">
        <f>IF(F20="","",IF(ISERR(MIN($F$19:$F$28)/F20*$F$31),"rechazada",MIN($F$19:$F$28)/F20*$F$31))</f>
        <v>rechazada</v>
      </c>
      <c r="G33" s="27" t="str">
        <f t="shared" ref="G33:G41" si="9">IF(G20="","",IF(ISERR(MIN($G$19:$G$28)/G20*$F$31),"rechazada",MIN($G$19:$G$28)/G20*$F$31))</f>
        <v>rechazada</v>
      </c>
      <c r="H33" s="27" t="e">
        <f t="shared" ref="H33:H41" si="10">IF(H20="","",IF(ISERR(MIN($H$19:$H$28)/H20*$F$31),"rechazada",MIN($H$19:$H$28)/H20*$F$31))</f>
        <v>#REF!</v>
      </c>
      <c r="I33" s="4"/>
      <c r="J33" s="30" t="str">
        <f t="shared" si="0"/>
        <v>rechazada</v>
      </c>
      <c r="K33" s="30" t="str">
        <f t="shared" si="1"/>
        <v>rechazada</v>
      </c>
      <c r="L33" s="30" t="str">
        <f t="shared" si="2"/>
        <v>rechazada</v>
      </c>
      <c r="M33" s="28"/>
      <c r="N33" s="31" t="str">
        <f>+'Tablero Adjudicación'!B36</f>
        <v xml:space="preserve">EP MARIO ALBERTO HUERTAS COTES - CONSTRUCTORA MECO SUCURSAL COLOMBIA </v>
      </c>
      <c r="O33" s="32">
        <f>+'Tablero Adjudicación'!C36</f>
        <v>778326820100</v>
      </c>
      <c r="P33" s="34">
        <v>2</v>
      </c>
      <c r="Q33" s="4" t="e">
        <f t="shared" si="3"/>
        <v>#N/A</v>
      </c>
      <c r="R33" s="2" t="e">
        <f t="shared" si="4"/>
        <v>#N/A</v>
      </c>
      <c r="S33" s="4" t="e">
        <f t="shared" si="5"/>
        <v>#N/A</v>
      </c>
      <c r="T33" s="2" t="e">
        <f t="shared" si="6"/>
        <v>#N/A</v>
      </c>
      <c r="U33" s="4" t="e">
        <f t="shared" si="7"/>
        <v>#N/A</v>
      </c>
      <c r="V33" s="2" t="e">
        <f t="shared" si="8"/>
        <v>#N/A</v>
      </c>
    </row>
    <row r="34" spans="1:22" x14ac:dyDescent="0.25">
      <c r="A34" s="4"/>
      <c r="B34" s="4"/>
      <c r="C34" s="4"/>
      <c r="D34" s="4"/>
      <c r="E34" s="4">
        <v>3</v>
      </c>
      <c r="F34" s="27" t="e">
        <f t="shared" ref="F34:F41" si="11">IF(F21="","",IF(ISERR(MIN($F$19:$F$28)/F21*$F$31),"rechazada",MIN($F$19:$F$28)/F21*$F$31))</f>
        <v>#REF!</v>
      </c>
      <c r="G34" s="27" t="e">
        <f t="shared" si="9"/>
        <v>#REF!</v>
      </c>
      <c r="H34" s="27" t="e">
        <f t="shared" si="10"/>
        <v>#REF!</v>
      </c>
      <c r="I34" s="4"/>
      <c r="J34" s="30" t="str">
        <f t="shared" si="0"/>
        <v>rechazada</v>
      </c>
      <c r="K34" s="30" t="str">
        <f t="shared" si="1"/>
        <v>rechazada</v>
      </c>
      <c r="L34" s="30" t="str">
        <f t="shared" si="2"/>
        <v>rechazada</v>
      </c>
      <c r="M34" s="28"/>
      <c r="N34" s="31" t="e">
        <f>+'Tablero Adjudicación'!#REF!</f>
        <v>#REF!</v>
      </c>
      <c r="O34" s="32" t="e">
        <f>+'Tablero Adjudicación'!#REF!</f>
        <v>#REF!</v>
      </c>
      <c r="P34" s="34">
        <v>3</v>
      </c>
      <c r="Q34" s="4" t="e">
        <f t="shared" si="3"/>
        <v>#N/A</v>
      </c>
      <c r="R34" s="2" t="e">
        <f t="shared" si="4"/>
        <v>#N/A</v>
      </c>
      <c r="S34" s="4" t="e">
        <f t="shared" si="5"/>
        <v>#N/A</v>
      </c>
      <c r="T34" s="2" t="e">
        <f t="shared" si="6"/>
        <v>#N/A</v>
      </c>
      <c r="U34" s="4" t="e">
        <f t="shared" si="7"/>
        <v>#N/A</v>
      </c>
      <c r="V34" s="2" t="e">
        <f t="shared" si="8"/>
        <v>#N/A</v>
      </c>
    </row>
    <row r="35" spans="1:22" x14ac:dyDescent="0.25">
      <c r="A35" s="4"/>
      <c r="B35" s="4"/>
      <c r="C35" s="4"/>
      <c r="D35" s="4"/>
      <c r="E35" s="4">
        <v>4</v>
      </c>
      <c r="F35" s="27" t="e">
        <f t="shared" si="11"/>
        <v>#REF!</v>
      </c>
      <c r="G35" s="27" t="e">
        <f t="shared" si="9"/>
        <v>#REF!</v>
      </c>
      <c r="H35" s="27" t="e">
        <f t="shared" si="10"/>
        <v>#REF!</v>
      </c>
      <c r="I35" s="4"/>
      <c r="J35" s="30" t="str">
        <f t="shared" si="0"/>
        <v>rechazada</v>
      </c>
      <c r="K35" s="30" t="str">
        <f t="shared" si="1"/>
        <v>rechazada</v>
      </c>
      <c r="L35" s="30" t="str">
        <f t="shared" si="2"/>
        <v>rechazada</v>
      </c>
      <c r="M35" s="28"/>
      <c r="N35" s="31" t="e">
        <f>+'Tablero Adjudicación'!#REF!</f>
        <v>#REF!</v>
      </c>
      <c r="O35" s="32" t="e">
        <f>+'Tablero Adjudicación'!#REF!</f>
        <v>#REF!</v>
      </c>
      <c r="P35" s="34">
        <v>4</v>
      </c>
      <c r="Q35" s="4" t="e">
        <f t="shared" si="3"/>
        <v>#N/A</v>
      </c>
      <c r="R35" s="2" t="e">
        <f t="shared" si="4"/>
        <v>#N/A</v>
      </c>
      <c r="S35" s="4" t="e">
        <f t="shared" si="5"/>
        <v>#N/A</v>
      </c>
      <c r="T35" s="2" t="e">
        <f t="shared" si="6"/>
        <v>#N/A</v>
      </c>
      <c r="U35" s="4" t="e">
        <f t="shared" si="7"/>
        <v>#N/A</v>
      </c>
      <c r="V35" s="2" t="e">
        <f t="shared" si="8"/>
        <v>#N/A</v>
      </c>
    </row>
    <row r="36" spans="1:22" x14ac:dyDescent="0.25">
      <c r="A36" s="4"/>
      <c r="B36" s="4"/>
      <c r="C36" s="4"/>
      <c r="D36" s="4"/>
      <c r="E36" s="4">
        <v>5</v>
      </c>
      <c r="F36" s="27" t="e">
        <f t="shared" si="11"/>
        <v>#REF!</v>
      </c>
      <c r="G36" s="27" t="e">
        <f t="shared" si="9"/>
        <v>#REF!</v>
      </c>
      <c r="H36" s="27" t="e">
        <f t="shared" si="10"/>
        <v>#REF!</v>
      </c>
      <c r="I36" s="4"/>
      <c r="J36" s="30" t="str">
        <f t="shared" si="0"/>
        <v>rechazada</v>
      </c>
      <c r="K36" s="30" t="str">
        <f t="shared" si="1"/>
        <v>rechazada</v>
      </c>
      <c r="L36" s="30" t="str">
        <f t="shared" si="2"/>
        <v>rechazada</v>
      </c>
      <c r="M36" s="28"/>
      <c r="N36" s="31" t="e">
        <f>+'Tablero Adjudicación'!#REF!</f>
        <v>#REF!</v>
      </c>
      <c r="O36" s="32" t="e">
        <f>+'Tablero Adjudicación'!#REF!</f>
        <v>#REF!</v>
      </c>
      <c r="P36" s="34">
        <v>5</v>
      </c>
      <c r="Q36" s="4" t="e">
        <f t="shared" si="3"/>
        <v>#N/A</v>
      </c>
      <c r="R36" s="2" t="e">
        <f t="shared" si="4"/>
        <v>#N/A</v>
      </c>
      <c r="S36" s="4" t="e">
        <f t="shared" si="5"/>
        <v>#N/A</v>
      </c>
      <c r="T36" s="2" t="e">
        <f t="shared" si="6"/>
        <v>#N/A</v>
      </c>
      <c r="U36" s="4" t="e">
        <f t="shared" si="7"/>
        <v>#N/A</v>
      </c>
      <c r="V36" s="2" t="e">
        <f t="shared" si="8"/>
        <v>#N/A</v>
      </c>
    </row>
    <row r="37" spans="1:22" x14ac:dyDescent="0.25">
      <c r="A37" s="4"/>
      <c r="B37" s="4"/>
      <c r="C37" s="4"/>
      <c r="D37" s="4"/>
      <c r="E37" s="4">
        <v>6</v>
      </c>
      <c r="F37" s="27" t="e">
        <f t="shared" si="11"/>
        <v>#REF!</v>
      </c>
      <c r="G37" s="27" t="e">
        <f t="shared" si="9"/>
        <v>#REF!</v>
      </c>
      <c r="H37" s="27" t="e">
        <f t="shared" si="10"/>
        <v>#REF!</v>
      </c>
      <c r="I37" s="4"/>
      <c r="J37" s="30" t="str">
        <f t="shared" si="0"/>
        <v>rechazada</v>
      </c>
      <c r="K37" s="30" t="str">
        <f t="shared" si="1"/>
        <v>rechazada</v>
      </c>
      <c r="L37" s="30" t="str">
        <f t="shared" si="2"/>
        <v>rechazada</v>
      </c>
      <c r="M37" s="28"/>
      <c r="N37" s="31" t="e">
        <f>+'Tablero Adjudicación'!#REF!</f>
        <v>#REF!</v>
      </c>
      <c r="O37" s="32" t="e">
        <f>+'Tablero Adjudicación'!#REF!</f>
        <v>#REF!</v>
      </c>
      <c r="P37" s="34">
        <v>6</v>
      </c>
      <c r="Q37" s="4" t="e">
        <f t="shared" si="3"/>
        <v>#N/A</v>
      </c>
      <c r="R37" s="2" t="e">
        <f t="shared" si="4"/>
        <v>#N/A</v>
      </c>
      <c r="S37" s="4" t="e">
        <f t="shared" si="5"/>
        <v>#N/A</v>
      </c>
      <c r="T37" s="2" t="e">
        <f t="shared" si="6"/>
        <v>#N/A</v>
      </c>
      <c r="U37" s="4" t="e">
        <f t="shared" si="7"/>
        <v>#N/A</v>
      </c>
      <c r="V37" s="2" t="e">
        <f t="shared" si="8"/>
        <v>#N/A</v>
      </c>
    </row>
    <row r="38" spans="1:22" x14ac:dyDescent="0.25">
      <c r="A38" s="4"/>
      <c r="B38" s="4"/>
      <c r="C38" s="4"/>
      <c r="D38" s="4"/>
      <c r="E38" s="4">
        <v>7</v>
      </c>
      <c r="F38" s="27" t="e">
        <f t="shared" si="11"/>
        <v>#REF!</v>
      </c>
      <c r="G38" s="27" t="e">
        <f t="shared" si="9"/>
        <v>#REF!</v>
      </c>
      <c r="H38" s="27" t="e">
        <f t="shared" si="10"/>
        <v>#REF!</v>
      </c>
      <c r="I38" s="4"/>
      <c r="J38" s="30" t="str">
        <f t="shared" si="0"/>
        <v>rechazada</v>
      </c>
      <c r="K38" s="30" t="str">
        <f t="shared" si="1"/>
        <v>rechazada</v>
      </c>
      <c r="L38" s="30" t="str">
        <f t="shared" si="2"/>
        <v>rechazada</v>
      </c>
      <c r="M38" s="28"/>
      <c r="N38" s="31" t="e">
        <f>+'Tablero Adjudicación'!#REF!</f>
        <v>#REF!</v>
      </c>
      <c r="O38" s="32" t="e">
        <f>+'Tablero Adjudicación'!#REF!</f>
        <v>#REF!</v>
      </c>
      <c r="P38" s="34">
        <v>7</v>
      </c>
      <c r="Q38" s="4" t="e">
        <f t="shared" si="3"/>
        <v>#N/A</v>
      </c>
      <c r="R38" s="2" t="e">
        <f t="shared" si="4"/>
        <v>#N/A</v>
      </c>
      <c r="S38" s="4" t="e">
        <f t="shared" si="5"/>
        <v>#N/A</v>
      </c>
      <c r="T38" s="2" t="e">
        <f t="shared" si="6"/>
        <v>#N/A</v>
      </c>
      <c r="U38" s="4" t="e">
        <f t="shared" si="7"/>
        <v>#N/A</v>
      </c>
      <c r="V38" s="2" t="e">
        <f t="shared" si="8"/>
        <v>#N/A</v>
      </c>
    </row>
    <row r="39" spans="1:22" x14ac:dyDescent="0.25">
      <c r="A39" s="4"/>
      <c r="B39" s="4"/>
      <c r="C39" s="4"/>
      <c r="D39" s="4"/>
      <c r="E39" s="4">
        <v>8</v>
      </c>
      <c r="F39" s="27" t="e">
        <f t="shared" si="11"/>
        <v>#REF!</v>
      </c>
      <c r="G39" s="27" t="e">
        <f t="shared" si="9"/>
        <v>#REF!</v>
      </c>
      <c r="H39" s="27" t="e">
        <f t="shared" si="10"/>
        <v>#REF!</v>
      </c>
      <c r="I39" s="4"/>
      <c r="J39" s="30" t="str">
        <f t="shared" si="0"/>
        <v>rechazada</v>
      </c>
      <c r="K39" s="30" t="str">
        <f t="shared" si="1"/>
        <v>rechazada</v>
      </c>
      <c r="L39" s="30" t="str">
        <f t="shared" si="2"/>
        <v>rechazada</v>
      </c>
      <c r="M39" s="28"/>
      <c r="N39" s="31" t="e">
        <f>+'Tablero Adjudicación'!#REF!</f>
        <v>#REF!</v>
      </c>
      <c r="O39" s="32" t="e">
        <f>+'Tablero Adjudicación'!#REF!</f>
        <v>#REF!</v>
      </c>
      <c r="P39" s="34">
        <v>8</v>
      </c>
      <c r="Q39" s="4" t="e">
        <f t="shared" si="3"/>
        <v>#N/A</v>
      </c>
      <c r="R39" s="2" t="e">
        <f t="shared" si="4"/>
        <v>#N/A</v>
      </c>
      <c r="S39" s="4" t="e">
        <f t="shared" si="5"/>
        <v>#N/A</v>
      </c>
      <c r="T39" s="2" t="e">
        <f t="shared" si="6"/>
        <v>#N/A</v>
      </c>
      <c r="U39" s="4" t="e">
        <f t="shared" si="7"/>
        <v>#N/A</v>
      </c>
      <c r="V39" s="2" t="e">
        <f t="shared" si="8"/>
        <v>#N/A</v>
      </c>
    </row>
    <row r="40" spans="1:22" x14ac:dyDescent="0.25">
      <c r="A40" s="4"/>
      <c r="B40" s="4"/>
      <c r="C40" s="4"/>
      <c r="D40" s="4"/>
      <c r="E40" s="4">
        <v>9</v>
      </c>
      <c r="F40" s="27" t="e">
        <f t="shared" si="11"/>
        <v>#REF!</v>
      </c>
      <c r="G40" s="27" t="e">
        <f t="shared" si="9"/>
        <v>#REF!</v>
      </c>
      <c r="H40" s="27" t="e">
        <f t="shared" si="10"/>
        <v>#REF!</v>
      </c>
      <c r="I40" s="4"/>
      <c r="J40" s="30" t="str">
        <f t="shared" si="0"/>
        <v>rechazada</v>
      </c>
      <c r="K40" s="30" t="str">
        <f t="shared" si="1"/>
        <v>rechazada</v>
      </c>
      <c r="L40" s="30" t="str">
        <f t="shared" si="2"/>
        <v>rechazada</v>
      </c>
      <c r="M40" s="28"/>
      <c r="N40" s="31" t="e">
        <f>+'Tablero Adjudicación'!#REF!</f>
        <v>#REF!</v>
      </c>
      <c r="O40" s="32" t="e">
        <f>+'Tablero Adjudicación'!#REF!</f>
        <v>#REF!</v>
      </c>
      <c r="P40" s="34">
        <v>9</v>
      </c>
      <c r="Q40" s="4" t="e">
        <f t="shared" si="3"/>
        <v>#N/A</v>
      </c>
      <c r="R40" s="2" t="e">
        <f t="shared" si="4"/>
        <v>#N/A</v>
      </c>
      <c r="S40" s="4" t="e">
        <f t="shared" si="5"/>
        <v>#N/A</v>
      </c>
      <c r="T40" s="2" t="e">
        <f t="shared" si="6"/>
        <v>#N/A</v>
      </c>
      <c r="U40" s="4" t="e">
        <f t="shared" si="7"/>
        <v>#N/A</v>
      </c>
      <c r="V40" s="2" t="e">
        <f t="shared" si="8"/>
        <v>#N/A</v>
      </c>
    </row>
    <row r="41" spans="1:22" x14ac:dyDescent="0.25">
      <c r="A41" s="4"/>
      <c r="B41" s="4"/>
      <c r="C41" s="4"/>
      <c r="D41" s="4"/>
      <c r="E41" s="4">
        <v>10</v>
      </c>
      <c r="F41" s="27" t="e">
        <f t="shared" si="11"/>
        <v>#REF!</v>
      </c>
      <c r="G41" s="27" t="e">
        <f t="shared" si="9"/>
        <v>#REF!</v>
      </c>
      <c r="H41" s="27" t="e">
        <f t="shared" si="10"/>
        <v>#REF!</v>
      </c>
      <c r="I41" s="4"/>
      <c r="J41" s="30" t="str">
        <f t="shared" si="0"/>
        <v>rechazada</v>
      </c>
      <c r="K41" s="30" t="str">
        <f t="shared" si="1"/>
        <v>rechazada</v>
      </c>
      <c r="L41" s="30" t="str">
        <f t="shared" si="2"/>
        <v>rechazada</v>
      </c>
      <c r="M41" s="28"/>
      <c r="N41" s="31" t="e">
        <f>+'Tablero Adjudicación'!#REF!</f>
        <v>#REF!</v>
      </c>
      <c r="O41" s="32" t="e">
        <f>+'Tablero Adjudicación'!#REF!</f>
        <v>#REF!</v>
      </c>
      <c r="P41" s="34">
        <v>10</v>
      </c>
      <c r="Q41" s="4" t="e">
        <f t="shared" si="3"/>
        <v>#N/A</v>
      </c>
      <c r="R41" s="2" t="e">
        <f t="shared" si="4"/>
        <v>#N/A</v>
      </c>
      <c r="S41" s="4" t="e">
        <f t="shared" si="5"/>
        <v>#N/A</v>
      </c>
      <c r="T41" s="2" t="e">
        <f t="shared" si="6"/>
        <v>#N/A</v>
      </c>
      <c r="U41" s="4" t="e">
        <f t="shared" si="7"/>
        <v>#N/A</v>
      </c>
      <c r="V41" s="2" t="e">
        <f t="shared" si="8"/>
        <v>#N/A</v>
      </c>
    </row>
    <row r="42" spans="1:22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2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2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2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7" t="s">
        <v>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4" t="s">
        <v>7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4" t="s">
        <v>8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4" t="s">
        <v>10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4" t="s">
        <v>11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3" spans="1:22" x14ac:dyDescent="0.25">
      <c r="A53" s="10" t="s">
        <v>33</v>
      </c>
    </row>
    <row r="55" spans="1:22" x14ac:dyDescent="0.25">
      <c r="A55" s="11"/>
    </row>
    <row r="56" spans="1:22" x14ac:dyDescent="0.25">
      <c r="A56" s="12"/>
      <c r="B56" s="13" t="s">
        <v>28</v>
      </c>
      <c r="C56" s="14" t="s">
        <v>29</v>
      </c>
    </row>
    <row r="57" spans="1:22" ht="57" x14ac:dyDescent="0.25">
      <c r="A57" s="15" t="s">
        <v>48</v>
      </c>
      <c r="B57" s="13" t="s">
        <v>28</v>
      </c>
      <c r="C57" s="14" t="s">
        <v>30</v>
      </c>
    </row>
    <row r="58" spans="1:22" ht="42.75" x14ac:dyDescent="0.25">
      <c r="A58" s="15" t="s">
        <v>31</v>
      </c>
      <c r="B58" s="13" t="s">
        <v>28</v>
      </c>
      <c r="C58" s="14" t="s">
        <v>32</v>
      </c>
    </row>
    <row r="61" spans="1:22" x14ac:dyDescent="0.25">
      <c r="A61" s="10" t="s">
        <v>34</v>
      </c>
    </row>
    <row r="63" spans="1:22" x14ac:dyDescent="0.25">
      <c r="A63" s="11"/>
    </row>
    <row r="64" spans="1:22" ht="15.75" thickBot="1" x14ac:dyDescent="0.3"/>
    <row r="65" spans="1:3" ht="29.25" thickBot="1" x14ac:dyDescent="0.3">
      <c r="A65" s="16"/>
      <c r="B65" s="17" t="s">
        <v>28</v>
      </c>
      <c r="C65" s="18" t="s">
        <v>35</v>
      </c>
    </row>
    <row r="66" spans="1:3" ht="100.5" thickBot="1" x14ac:dyDescent="0.3">
      <c r="A66" s="19" t="s">
        <v>49</v>
      </c>
      <c r="B66" s="20" t="s">
        <v>28</v>
      </c>
      <c r="C66" s="21" t="s">
        <v>50</v>
      </c>
    </row>
    <row r="67" spans="1:3" x14ac:dyDescent="0.25">
      <c r="A67" s="22"/>
    </row>
    <row r="69" spans="1:3" x14ac:dyDescent="0.25">
      <c r="A69" s="10" t="s">
        <v>36</v>
      </c>
    </row>
    <row r="71" spans="1:3" x14ac:dyDescent="0.25">
      <c r="A71" s="11"/>
    </row>
    <row r="72" spans="1:3" ht="42.75" x14ac:dyDescent="0.25">
      <c r="A72" s="23"/>
      <c r="B72" s="14" t="s">
        <v>28</v>
      </c>
      <c r="C72" s="14" t="s">
        <v>37</v>
      </c>
    </row>
    <row r="73" spans="1:3" ht="57" x14ac:dyDescent="0.25">
      <c r="A73" s="15" t="s">
        <v>38</v>
      </c>
      <c r="B73" s="14" t="s">
        <v>28</v>
      </c>
      <c r="C73" s="14" t="s">
        <v>39</v>
      </c>
    </row>
    <row r="74" spans="1:3" ht="42.75" x14ac:dyDescent="0.25">
      <c r="A74" s="15" t="s">
        <v>31</v>
      </c>
      <c r="B74" s="14" t="s">
        <v>28</v>
      </c>
      <c r="C74" s="14" t="s">
        <v>40</v>
      </c>
    </row>
    <row r="75" spans="1:3" ht="28.5" x14ac:dyDescent="0.25">
      <c r="A75" s="15" t="s">
        <v>41</v>
      </c>
      <c r="B75" s="14" t="s">
        <v>28</v>
      </c>
      <c r="C75" s="14" t="s">
        <v>42</v>
      </c>
    </row>
    <row r="76" spans="1:3" ht="71.25" x14ac:dyDescent="0.25">
      <c r="A76" s="15" t="s">
        <v>51</v>
      </c>
      <c r="B76" s="14" t="s">
        <v>28</v>
      </c>
      <c r="C76" s="14" t="s">
        <v>43</v>
      </c>
    </row>
  </sheetData>
  <mergeCells count="2">
    <mergeCell ref="A3:B3"/>
    <mergeCell ref="N31:O31"/>
  </mergeCells>
  <pageMargins left="0.7" right="0.7" top="0.75" bottom="0.75" header="0.3" footer="0.3"/>
  <pageSetup paperSize="9" orientation="portrait" r:id="rId1"/>
  <ignoredErrors>
    <ignoredError sqref="O39" evalError="1"/>
  </ignoredErrors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autoPict="0" r:id="rId5">
            <anchor moveWithCells="1" sizeWithCells="1">
              <from>
                <xdr:col>0</xdr:col>
                <xdr:colOff>0</xdr:colOff>
                <xdr:row>54</xdr:row>
                <xdr:rowOff>0</xdr:rowOff>
              </from>
              <to>
                <xdr:col>0</xdr:col>
                <xdr:colOff>657225</xdr:colOff>
                <xdr:row>56</xdr:row>
                <xdr:rowOff>47625</xdr:rowOff>
              </to>
            </anchor>
          </objectPr>
        </oleObject>
      </mc:Choice>
      <mc:Fallback>
        <oleObject progId="Equation.3" shapeId="1026" r:id="rId4"/>
      </mc:Fallback>
    </mc:AlternateContent>
    <mc:AlternateContent xmlns:mc="http://schemas.openxmlformats.org/markup-compatibility/2006">
      <mc:Choice Requires="x14">
        <oleObject progId="Equation.3" shapeId="1028" r:id="rId6">
          <objectPr defaultSize="0" autoPict="0" r:id="rId7">
            <anchor moveWithCells="1" sizeWithCells="1">
              <from>
                <xdr:col>0</xdr:col>
                <xdr:colOff>0</xdr:colOff>
                <xdr:row>62</xdr:row>
                <xdr:rowOff>0</xdr:rowOff>
              </from>
              <to>
                <xdr:col>1</xdr:col>
                <xdr:colOff>161925</xdr:colOff>
                <xdr:row>64</xdr:row>
                <xdr:rowOff>0</xdr:rowOff>
              </to>
            </anchor>
          </objectPr>
        </oleObject>
      </mc:Choice>
      <mc:Fallback>
        <oleObject progId="Equation.3" shapeId="1028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 sizeWithCells="1">
              <from>
                <xdr:col>0</xdr:col>
                <xdr:colOff>0</xdr:colOff>
                <xdr:row>64</xdr:row>
                <xdr:rowOff>0</xdr:rowOff>
              </from>
              <to>
                <xdr:col>0</xdr:col>
                <xdr:colOff>247650</xdr:colOff>
                <xdr:row>64</xdr:row>
                <xdr:rowOff>285750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9" r:id="rId10">
          <objectPr defaultSize="0" autoPict="0" r:id="rId11">
            <anchor moveWithCells="1" sizeWithCells="1">
              <from>
                <xdr:col>0</xdr:col>
                <xdr:colOff>0</xdr:colOff>
                <xdr:row>71</xdr:row>
                <xdr:rowOff>0</xdr:rowOff>
              </from>
              <to>
                <xdr:col>0</xdr:col>
                <xdr:colOff>304800</xdr:colOff>
                <xdr:row>71</xdr:row>
                <xdr:rowOff>247650</xdr:rowOff>
              </to>
            </anchor>
          </objectPr>
        </oleObject>
      </mc:Choice>
      <mc:Fallback>
        <oleObject progId="Equation.3" shapeId="1029" r:id="rId10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52"/>
  <sheetViews>
    <sheetView showGridLines="0" tabSelected="1" zoomScale="90" zoomScaleNormal="90" zoomScaleSheetLayoutView="150" workbookViewId="0">
      <selection activeCell="A39" sqref="A39"/>
    </sheetView>
  </sheetViews>
  <sheetFormatPr baseColWidth="10" defaultRowHeight="12.75" x14ac:dyDescent="0.2"/>
  <cols>
    <col min="1" max="1" width="9.28515625" style="40" bestFit="1" customWidth="1"/>
    <col min="2" max="2" width="35.42578125" style="40" customWidth="1"/>
    <col min="3" max="3" width="35.140625" style="43" bestFit="1" customWidth="1"/>
    <col min="4" max="4" width="6.5703125" style="40" customWidth="1"/>
    <col min="5" max="5" width="19.85546875" style="40" hidden="1" customWidth="1"/>
    <col min="6" max="6" width="6.7109375" style="40" hidden="1" customWidth="1"/>
    <col min="7" max="7" width="33.28515625" style="40" hidden="1" customWidth="1"/>
    <col min="8" max="8" width="5.7109375" style="40" hidden="1" customWidth="1"/>
    <col min="9" max="9" width="23.7109375" style="40" customWidth="1"/>
    <col min="10" max="10" width="18.28515625" style="40" customWidth="1"/>
    <col min="11" max="11" width="18.7109375" style="40" customWidth="1"/>
    <col min="12" max="12" width="19.5703125" style="40" hidden="1" customWidth="1"/>
    <col min="13" max="13" width="23" style="40" hidden="1" customWidth="1"/>
    <col min="14" max="15" width="0" style="40" hidden="1" customWidth="1"/>
    <col min="16" max="16" width="15.42578125" style="40" hidden="1" customWidth="1"/>
    <col min="17" max="17" width="11.42578125" style="40"/>
    <col min="18" max="18" width="15.140625" style="40" bestFit="1" customWidth="1"/>
    <col min="19" max="16384" width="11.42578125" style="40"/>
  </cols>
  <sheetData>
    <row r="1" spans="1:20" x14ac:dyDescent="0.2">
      <c r="C1" s="40"/>
      <c r="L1" s="39"/>
      <c r="M1" s="39"/>
      <c r="N1" s="39"/>
      <c r="O1" s="48"/>
      <c r="P1" s="47"/>
    </row>
    <row r="2" spans="1:20" customFormat="1" ht="23.25" x14ac:dyDescent="0.25">
      <c r="B2" s="160" t="s">
        <v>101</v>
      </c>
      <c r="C2" s="160"/>
      <c r="D2" s="160"/>
      <c r="E2" s="160"/>
      <c r="F2" s="160"/>
      <c r="G2" s="160"/>
      <c r="H2" s="160"/>
      <c r="I2" s="160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</row>
    <row r="3" spans="1:20" customFormat="1" ht="15.75" x14ac:dyDescent="0.25">
      <c r="B3" s="161" t="s">
        <v>115</v>
      </c>
      <c r="C3" s="161"/>
      <c r="D3" s="161"/>
      <c r="E3" s="161"/>
      <c r="F3" s="161"/>
      <c r="G3" s="161"/>
      <c r="H3" s="161"/>
      <c r="I3" s="16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</row>
    <row r="4" spans="1:20" customFormat="1" ht="15.75" x14ac:dyDescent="0.25">
      <c r="B4" s="162" t="s">
        <v>114</v>
      </c>
      <c r="C4" s="162"/>
      <c r="D4" s="162"/>
      <c r="E4" s="162"/>
      <c r="F4" s="162"/>
      <c r="G4" s="162"/>
      <c r="H4" s="162"/>
      <c r="I4" s="162"/>
      <c r="J4" s="121"/>
      <c r="K4" s="134"/>
      <c r="L4" s="121"/>
      <c r="M4" s="121"/>
      <c r="N4" s="121"/>
      <c r="O4" s="121"/>
      <c r="P4" s="121"/>
      <c r="Q4" s="121"/>
      <c r="R4" s="121"/>
      <c r="S4" s="121"/>
      <c r="T4" s="121"/>
    </row>
    <row r="5" spans="1:20" x14ac:dyDescent="0.2">
      <c r="A5" s="118"/>
      <c r="B5" s="119">
        <v>850103866559.33899</v>
      </c>
      <c r="C5" s="120">
        <v>778326820099.81726</v>
      </c>
      <c r="E5" s="111"/>
      <c r="F5" s="112"/>
      <c r="G5" s="113"/>
      <c r="H5" s="114"/>
      <c r="I5" s="112"/>
    </row>
    <row r="6" spans="1:20" ht="15.75" x14ac:dyDescent="0.2">
      <c r="B6" s="158" t="s">
        <v>104</v>
      </c>
      <c r="C6" s="159"/>
      <c r="E6" s="111"/>
      <c r="F6" s="112"/>
      <c r="G6" s="113"/>
      <c r="H6" s="114"/>
    </row>
    <row r="7" spans="1:20" ht="47.25" x14ac:dyDescent="0.2">
      <c r="A7" s="122" t="s">
        <v>63</v>
      </c>
      <c r="B7" s="122" t="s">
        <v>118</v>
      </c>
      <c r="C7" s="122" t="s">
        <v>121</v>
      </c>
      <c r="E7" s="111"/>
      <c r="F7" s="112"/>
      <c r="G7" s="113"/>
      <c r="H7" s="114"/>
      <c r="I7" s="122" t="s">
        <v>103</v>
      </c>
      <c r="J7" s="122" t="s">
        <v>99</v>
      </c>
      <c r="K7" s="122" t="s">
        <v>100</v>
      </c>
      <c r="R7" s="147"/>
    </row>
    <row r="8" spans="1:20" x14ac:dyDescent="0.2">
      <c r="A8" s="115">
        <v>2017</v>
      </c>
      <c r="B8" s="116">
        <v>7945321407</v>
      </c>
      <c r="C8" s="116">
        <v>7945321408</v>
      </c>
      <c r="E8" s="111"/>
      <c r="F8" s="112"/>
      <c r="G8" s="113"/>
      <c r="H8" s="114"/>
      <c r="I8" s="116">
        <v>7945321408</v>
      </c>
      <c r="J8" s="123" t="s">
        <v>122</v>
      </c>
      <c r="K8" s="123" t="s">
        <v>122</v>
      </c>
      <c r="R8" s="41"/>
      <c r="S8" s="144"/>
    </row>
    <row r="9" spans="1:20" x14ac:dyDescent="0.2">
      <c r="A9" s="115">
        <v>2018</v>
      </c>
      <c r="B9" s="116">
        <v>7945321407</v>
      </c>
      <c r="C9" s="116">
        <v>7945321408</v>
      </c>
      <c r="E9" s="111"/>
      <c r="F9" s="112"/>
      <c r="G9" s="113"/>
      <c r="H9" s="114"/>
      <c r="I9" s="116">
        <v>7945321408</v>
      </c>
      <c r="J9" s="123" t="s">
        <v>122</v>
      </c>
      <c r="K9" s="123" t="s">
        <v>122</v>
      </c>
      <c r="R9" s="41"/>
      <c r="S9" s="144"/>
    </row>
    <row r="10" spans="1:20" x14ac:dyDescent="0.2">
      <c r="A10" s="115">
        <v>2019</v>
      </c>
      <c r="B10" s="116">
        <v>54014167205</v>
      </c>
      <c r="C10" s="116">
        <v>54014167206</v>
      </c>
      <c r="E10" s="111"/>
      <c r="F10" s="112"/>
      <c r="G10" s="113"/>
      <c r="H10" s="114"/>
      <c r="I10" s="116">
        <v>54014167206</v>
      </c>
      <c r="J10" s="123" t="s">
        <v>122</v>
      </c>
      <c r="K10" s="123" t="s">
        <v>122</v>
      </c>
      <c r="R10" s="41"/>
      <c r="S10" s="144"/>
    </row>
    <row r="11" spans="1:20" x14ac:dyDescent="0.2">
      <c r="A11" s="115">
        <v>2020</v>
      </c>
      <c r="B11" s="116">
        <v>132313086254</v>
      </c>
      <c r="C11" s="116">
        <v>132313086255</v>
      </c>
      <c r="E11" s="111"/>
      <c r="F11" s="112"/>
      <c r="G11" s="113"/>
      <c r="H11" s="114"/>
      <c r="I11" s="116">
        <v>132313086255</v>
      </c>
      <c r="J11" s="123" t="s">
        <v>122</v>
      </c>
      <c r="K11" s="123" t="s">
        <v>122</v>
      </c>
      <c r="R11" s="41"/>
      <c r="S11" s="144"/>
    </row>
    <row r="12" spans="1:20" x14ac:dyDescent="0.2">
      <c r="A12" s="115">
        <v>2021</v>
      </c>
      <c r="B12" s="116">
        <v>132313086254</v>
      </c>
      <c r="C12" s="116">
        <v>132313086255</v>
      </c>
      <c r="E12" s="111"/>
      <c r="F12" s="112"/>
      <c r="G12" s="113"/>
      <c r="H12" s="114"/>
      <c r="I12" s="116">
        <v>132313086255</v>
      </c>
      <c r="J12" s="123" t="s">
        <v>122</v>
      </c>
      <c r="K12" s="123" t="s">
        <v>122</v>
      </c>
      <c r="R12" s="41"/>
      <c r="S12" s="144"/>
    </row>
    <row r="13" spans="1:20" x14ac:dyDescent="0.2">
      <c r="A13" s="115">
        <v>2022</v>
      </c>
      <c r="B13" s="116">
        <v>132313086254</v>
      </c>
      <c r="C13" s="116">
        <v>132313086255</v>
      </c>
      <c r="E13" s="111"/>
      <c r="F13" s="112"/>
      <c r="G13" s="113"/>
      <c r="H13" s="114"/>
      <c r="I13" s="116">
        <v>132313086255</v>
      </c>
      <c r="J13" s="123" t="s">
        <v>122</v>
      </c>
      <c r="K13" s="123" t="s">
        <v>122</v>
      </c>
      <c r="R13" s="41"/>
      <c r="S13" s="144"/>
    </row>
    <row r="14" spans="1:20" x14ac:dyDescent="0.2">
      <c r="A14" s="115">
        <v>2023</v>
      </c>
      <c r="B14" s="116">
        <v>132313086254</v>
      </c>
      <c r="C14" s="116">
        <v>132313086255</v>
      </c>
      <c r="E14" s="111"/>
      <c r="F14" s="112"/>
      <c r="G14" s="113"/>
      <c r="H14" s="114"/>
      <c r="I14" s="116">
        <v>132313086255</v>
      </c>
      <c r="J14" s="123" t="s">
        <v>122</v>
      </c>
      <c r="K14" s="123" t="s">
        <v>122</v>
      </c>
      <c r="R14" s="41"/>
      <c r="S14" s="144"/>
    </row>
    <row r="15" spans="1:20" x14ac:dyDescent="0.2">
      <c r="A15" s="115">
        <v>2024</v>
      </c>
      <c r="B15" s="116">
        <v>132313086254</v>
      </c>
      <c r="C15" s="116">
        <v>132313086255</v>
      </c>
      <c r="E15" s="111"/>
      <c r="F15" s="112"/>
      <c r="G15" s="113"/>
      <c r="H15" s="114"/>
      <c r="I15" s="116">
        <v>132313086255</v>
      </c>
      <c r="J15" s="123" t="s">
        <v>122</v>
      </c>
      <c r="K15" s="123" t="s">
        <v>122</v>
      </c>
      <c r="R15" s="41"/>
      <c r="S15" s="144"/>
    </row>
    <row r="16" spans="1:20" x14ac:dyDescent="0.2">
      <c r="A16" s="115">
        <v>2025</v>
      </c>
      <c r="B16" s="116">
        <v>132313086254</v>
      </c>
      <c r="C16" s="116">
        <v>132313086255</v>
      </c>
      <c r="E16" s="111"/>
      <c r="F16" s="112"/>
      <c r="G16" s="113"/>
      <c r="H16" s="114"/>
      <c r="I16" s="116">
        <v>132313086255</v>
      </c>
      <c r="J16" s="123" t="s">
        <v>122</v>
      </c>
      <c r="K16" s="123" t="s">
        <v>122</v>
      </c>
      <c r="R16" s="41"/>
      <c r="S16" s="144"/>
    </row>
    <row r="17" spans="1:19" x14ac:dyDescent="0.2">
      <c r="A17" s="115">
        <v>2026</v>
      </c>
      <c r="B17" s="116">
        <v>132313086254</v>
      </c>
      <c r="C17" s="116">
        <v>132313086255</v>
      </c>
      <c r="E17" s="111"/>
      <c r="F17" s="112"/>
      <c r="G17" s="113"/>
      <c r="H17" s="114"/>
      <c r="I17" s="116">
        <v>132313086255</v>
      </c>
      <c r="J17" s="123" t="s">
        <v>122</v>
      </c>
      <c r="K17" s="123" t="s">
        <v>122</v>
      </c>
      <c r="R17" s="41"/>
      <c r="S17" s="144"/>
    </row>
    <row r="18" spans="1:19" x14ac:dyDescent="0.2">
      <c r="A18" s="115">
        <v>2027</v>
      </c>
      <c r="B18" s="116">
        <v>132313086254</v>
      </c>
      <c r="C18" s="116">
        <v>132313086255</v>
      </c>
      <c r="E18" s="111"/>
      <c r="F18" s="112"/>
      <c r="G18" s="113"/>
      <c r="H18" s="114"/>
      <c r="I18" s="116">
        <v>132313086255</v>
      </c>
      <c r="J18" s="123" t="s">
        <v>122</v>
      </c>
      <c r="K18" s="123" t="s">
        <v>122</v>
      </c>
      <c r="R18" s="41"/>
      <c r="S18" s="144"/>
    </row>
    <row r="19" spans="1:19" x14ac:dyDescent="0.2">
      <c r="A19" s="115">
        <v>2028</v>
      </c>
      <c r="B19" s="116">
        <v>132313086254</v>
      </c>
      <c r="C19" s="116">
        <v>132313086255</v>
      </c>
      <c r="E19" s="111"/>
      <c r="F19" s="112"/>
      <c r="G19" s="113"/>
      <c r="H19" s="114"/>
      <c r="I19" s="116">
        <v>132313086255</v>
      </c>
      <c r="J19" s="123" t="s">
        <v>122</v>
      </c>
      <c r="K19" s="123" t="s">
        <v>122</v>
      </c>
      <c r="R19" s="41"/>
      <c r="S19" s="144"/>
    </row>
    <row r="20" spans="1:19" x14ac:dyDescent="0.2">
      <c r="A20" s="115">
        <v>2029</v>
      </c>
      <c r="B20" s="116">
        <v>132313086254</v>
      </c>
      <c r="C20" s="116">
        <v>132313086255</v>
      </c>
      <c r="E20" s="111"/>
      <c r="F20" s="112"/>
      <c r="G20" s="113"/>
      <c r="H20" s="114"/>
      <c r="I20" s="116">
        <v>132313086255</v>
      </c>
      <c r="J20" s="123" t="s">
        <v>122</v>
      </c>
      <c r="K20" s="123" t="s">
        <v>122</v>
      </c>
      <c r="R20" s="41"/>
      <c r="S20" s="144"/>
    </row>
    <row r="21" spans="1:19" x14ac:dyDescent="0.2">
      <c r="A21" s="115">
        <v>2030</v>
      </c>
      <c r="B21" s="116">
        <v>132313086254</v>
      </c>
      <c r="C21" s="116">
        <v>132313086255</v>
      </c>
      <c r="E21" s="111"/>
      <c r="F21" s="112"/>
      <c r="G21" s="113"/>
      <c r="H21" s="114"/>
      <c r="I21" s="116">
        <v>132313086255</v>
      </c>
      <c r="J21" s="123" t="s">
        <v>122</v>
      </c>
      <c r="K21" s="123" t="s">
        <v>122</v>
      </c>
      <c r="R21" s="41"/>
      <c r="S21" s="144"/>
    </row>
    <row r="22" spans="1:19" x14ac:dyDescent="0.2">
      <c r="A22" s="115">
        <v>2031</v>
      </c>
      <c r="B22" s="116">
        <v>132313086254</v>
      </c>
      <c r="C22" s="116">
        <v>132313086255</v>
      </c>
      <c r="E22" s="111"/>
      <c r="F22" s="112"/>
      <c r="G22" s="113"/>
      <c r="H22" s="114"/>
      <c r="I22" s="116">
        <v>132313086255</v>
      </c>
      <c r="J22" s="123" t="s">
        <v>122</v>
      </c>
      <c r="K22" s="123" t="s">
        <v>122</v>
      </c>
      <c r="R22" s="41"/>
      <c r="S22" s="144"/>
    </row>
    <row r="23" spans="1:19" x14ac:dyDescent="0.2">
      <c r="A23" s="115">
        <v>2032</v>
      </c>
      <c r="B23" s="116">
        <v>132313086254</v>
      </c>
      <c r="C23" s="116">
        <v>132313086255</v>
      </c>
      <c r="E23" s="111"/>
      <c r="F23" s="112"/>
      <c r="G23" s="113"/>
      <c r="H23" s="114"/>
      <c r="I23" s="116">
        <v>132313086255</v>
      </c>
      <c r="J23" s="123" t="s">
        <v>122</v>
      </c>
      <c r="K23" s="123" t="s">
        <v>122</v>
      </c>
      <c r="R23" s="41"/>
      <c r="S23" s="144"/>
    </row>
    <row r="24" spans="1:19" x14ac:dyDescent="0.2">
      <c r="A24" s="115">
        <v>2033</v>
      </c>
      <c r="B24" s="116">
        <v>132313086254</v>
      </c>
      <c r="C24" s="116">
        <v>132313086255</v>
      </c>
      <c r="E24" s="111"/>
      <c r="F24" s="112"/>
      <c r="G24" s="113"/>
      <c r="H24" s="114"/>
      <c r="I24" s="116">
        <v>132313086255</v>
      </c>
      <c r="J24" s="123" t="s">
        <v>122</v>
      </c>
      <c r="K24" s="123" t="s">
        <v>122</v>
      </c>
      <c r="R24" s="41"/>
      <c r="S24" s="144"/>
    </row>
    <row r="25" spans="1:19" x14ac:dyDescent="0.2">
      <c r="A25" s="115">
        <v>2034</v>
      </c>
      <c r="B25" s="116">
        <v>132313086254</v>
      </c>
      <c r="C25" s="116">
        <v>62941335132</v>
      </c>
      <c r="E25" s="111"/>
      <c r="F25" s="112"/>
      <c r="G25" s="113"/>
      <c r="H25" s="114"/>
      <c r="I25" s="116">
        <v>132313086255</v>
      </c>
      <c r="J25" s="123" t="s">
        <v>122</v>
      </c>
      <c r="K25" s="123" t="s">
        <v>122</v>
      </c>
      <c r="R25" s="41"/>
      <c r="S25" s="144"/>
    </row>
    <row r="26" spans="1:19" x14ac:dyDescent="0.2">
      <c r="A26" s="115">
        <v>2035</v>
      </c>
      <c r="B26" s="116">
        <v>132313086254</v>
      </c>
      <c r="C26" s="116">
        <v>0</v>
      </c>
      <c r="E26" s="111"/>
      <c r="F26" s="112"/>
      <c r="G26" s="113"/>
      <c r="H26" s="114"/>
      <c r="I26" s="116">
        <v>132313086255</v>
      </c>
      <c r="J26" s="123" t="s">
        <v>122</v>
      </c>
      <c r="K26" s="123" t="s">
        <v>122</v>
      </c>
      <c r="R26" s="41"/>
      <c r="S26" s="144"/>
    </row>
    <row r="27" spans="1:19" x14ac:dyDescent="0.2">
      <c r="A27" s="115">
        <v>2036</v>
      </c>
      <c r="B27" s="116">
        <v>132313086254</v>
      </c>
      <c r="C27" s="116">
        <v>0</v>
      </c>
      <c r="E27" s="111"/>
      <c r="F27" s="112"/>
      <c r="G27" s="113"/>
      <c r="H27" s="114"/>
      <c r="I27" s="116">
        <v>132313086255</v>
      </c>
      <c r="J27" s="123" t="s">
        <v>122</v>
      </c>
      <c r="K27" s="123" t="s">
        <v>122</v>
      </c>
      <c r="R27" s="41"/>
      <c r="S27" s="144"/>
    </row>
    <row r="28" spans="1:19" x14ac:dyDescent="0.2">
      <c r="A28" s="115">
        <v>2037</v>
      </c>
      <c r="B28" s="116">
        <v>12477908430</v>
      </c>
      <c r="C28" s="116">
        <v>0</v>
      </c>
      <c r="E28" s="111"/>
      <c r="F28" s="112"/>
      <c r="G28" s="113"/>
      <c r="H28" s="114"/>
      <c r="I28" s="116">
        <v>132313086255</v>
      </c>
      <c r="J28" s="123" t="s">
        <v>122</v>
      </c>
      <c r="K28" s="123" t="s">
        <v>122</v>
      </c>
      <c r="R28" s="41"/>
      <c r="S28" s="144"/>
    </row>
    <row r="29" spans="1:19" x14ac:dyDescent="0.2">
      <c r="A29" s="115">
        <v>2038</v>
      </c>
      <c r="B29" s="116">
        <v>0</v>
      </c>
      <c r="C29" s="116">
        <v>0</v>
      </c>
      <c r="E29" s="111"/>
      <c r="F29" s="112"/>
      <c r="G29" s="113"/>
      <c r="H29" s="114"/>
      <c r="I29" s="116">
        <v>132313086255</v>
      </c>
      <c r="J29" s="123" t="s">
        <v>122</v>
      </c>
      <c r="K29" s="123" t="s">
        <v>122</v>
      </c>
      <c r="R29" s="41"/>
      <c r="S29" s="144"/>
    </row>
    <row r="30" spans="1:19" x14ac:dyDescent="0.2">
      <c r="A30" s="135" t="s">
        <v>97</v>
      </c>
      <c r="B30" s="136">
        <v>850103866559</v>
      </c>
      <c r="C30" s="136">
        <v>778326820100</v>
      </c>
      <c r="E30" s="111"/>
      <c r="F30" s="112"/>
      <c r="G30" s="113"/>
      <c r="H30" s="114"/>
      <c r="I30" s="112"/>
      <c r="J30" s="117"/>
      <c r="K30" s="117"/>
      <c r="R30" s="147"/>
    </row>
    <row r="31" spans="1:19" ht="13.5" thickBot="1" x14ac:dyDescent="0.25">
      <c r="E31" s="111"/>
      <c r="F31" s="112"/>
      <c r="G31" s="113"/>
      <c r="H31" s="114"/>
      <c r="I31" s="112"/>
    </row>
    <row r="32" spans="1:19" ht="13.5" thickBot="1" x14ac:dyDescent="0.25">
      <c r="E32" s="155">
        <v>1</v>
      </c>
      <c r="F32" s="156"/>
      <c r="G32" s="155">
        <v>2</v>
      </c>
      <c r="H32" s="157"/>
    </row>
    <row r="33" spans="1:10" ht="13.5" thickBot="1" x14ac:dyDescent="0.25">
      <c r="A33" s="132"/>
      <c r="B33" s="133"/>
      <c r="C33" s="41"/>
      <c r="E33" s="129"/>
      <c r="F33" s="130"/>
      <c r="G33" s="129"/>
      <c r="H33" s="131"/>
    </row>
    <row r="34" spans="1:10" ht="32.25" thickBot="1" x14ac:dyDescent="0.25">
      <c r="A34" s="122" t="s">
        <v>12</v>
      </c>
      <c r="B34" s="142" t="s">
        <v>105</v>
      </c>
      <c r="C34" s="122" t="s">
        <v>106</v>
      </c>
      <c r="D34" s="42"/>
      <c r="E34" s="44" t="s">
        <v>61</v>
      </c>
      <c r="F34" s="45" t="s">
        <v>47</v>
      </c>
      <c r="G34" s="44" t="s">
        <v>61</v>
      </c>
      <c r="H34" s="127" t="s">
        <v>47</v>
      </c>
      <c r="I34" s="122" t="s">
        <v>107</v>
      </c>
    </row>
    <row r="35" spans="1:10" ht="22.5" customHeight="1" x14ac:dyDescent="0.2">
      <c r="A35" s="150">
        <v>1</v>
      </c>
      <c r="B35" s="149" t="s">
        <v>117</v>
      </c>
      <c r="C35" s="141">
        <v>850103866559</v>
      </c>
      <c r="D35" s="42"/>
      <c r="E35" s="107">
        <v>640</v>
      </c>
      <c r="F35" s="108">
        <v>0.949999794633407</v>
      </c>
      <c r="G35" s="107">
        <v>640</v>
      </c>
      <c r="H35" s="108">
        <v>0.949999794633407</v>
      </c>
      <c r="I35" s="123" t="s">
        <v>123</v>
      </c>
    </row>
    <row r="36" spans="1:10" ht="25.5" customHeight="1" x14ac:dyDescent="0.2">
      <c r="A36" s="150">
        <v>2</v>
      </c>
      <c r="B36" s="148" t="s">
        <v>119</v>
      </c>
      <c r="C36" s="141">
        <v>778326820100</v>
      </c>
      <c r="D36" s="42"/>
      <c r="E36" s="109">
        <v>700</v>
      </c>
      <c r="F36" s="110">
        <v>0.86978820864044992</v>
      </c>
      <c r="G36" s="109">
        <v>700</v>
      </c>
      <c r="H36" s="110">
        <v>0.86978820864044992</v>
      </c>
      <c r="I36" s="123" t="s">
        <v>123</v>
      </c>
    </row>
    <row r="37" spans="1:10" s="42" customFormat="1" ht="15.75" x14ac:dyDescent="0.25">
      <c r="A37" s="124" t="s">
        <v>98</v>
      </c>
      <c r="B37" s="125"/>
      <c r="C37" s="126">
        <v>2</v>
      </c>
      <c r="I37" s="133"/>
    </row>
    <row r="38" spans="1:10" s="42" customFormat="1" x14ac:dyDescent="0.2">
      <c r="A38" s="46"/>
      <c r="C38" s="46"/>
    </row>
    <row r="40" spans="1:10" ht="32.25" customHeight="1" x14ac:dyDescent="0.2">
      <c r="A40" s="163" t="s">
        <v>108</v>
      </c>
      <c r="B40" s="163"/>
      <c r="C40" s="137">
        <v>853164422700.55176</v>
      </c>
      <c r="I40" s="145"/>
      <c r="J40" s="146"/>
    </row>
    <row r="41" spans="1:10" ht="18.75" x14ac:dyDescent="0.2">
      <c r="A41" s="164" t="s">
        <v>102</v>
      </c>
      <c r="B41" s="164"/>
      <c r="C41" s="137">
        <v>767847980430.49658</v>
      </c>
      <c r="I41" s="145"/>
    </row>
    <row r="42" spans="1:10" x14ac:dyDescent="0.2">
      <c r="C42" s="40"/>
    </row>
    <row r="43" spans="1:10" x14ac:dyDescent="0.2">
      <c r="C43" s="40"/>
    </row>
    <row r="44" spans="1:10" ht="31.5" x14ac:dyDescent="0.2">
      <c r="A44" s="122" t="s">
        <v>12</v>
      </c>
      <c r="B44" s="122" t="s">
        <v>105</v>
      </c>
      <c r="C44" s="122" t="s">
        <v>113</v>
      </c>
      <c r="D44" s="122" t="s">
        <v>47</v>
      </c>
    </row>
    <row r="45" spans="1:10" ht="33" customHeight="1" x14ac:dyDescent="0.3">
      <c r="A45" s="151">
        <v>1</v>
      </c>
      <c r="B45" s="148" t="s">
        <v>117</v>
      </c>
      <c r="C45" s="138">
        <v>641</v>
      </c>
      <c r="D45" s="128">
        <v>0.949999794633407</v>
      </c>
      <c r="I45" s="144"/>
    </row>
    <row r="46" spans="1:10" ht="38.25" x14ac:dyDescent="0.3">
      <c r="A46" s="151">
        <v>2</v>
      </c>
      <c r="B46" s="148" t="s">
        <v>119</v>
      </c>
      <c r="C46" s="138">
        <v>700</v>
      </c>
      <c r="D46" s="128">
        <v>0.86978820864044992</v>
      </c>
      <c r="I46" s="144"/>
    </row>
    <row r="47" spans="1:10" x14ac:dyDescent="0.2">
      <c r="C47" s="40"/>
    </row>
    <row r="48" spans="1:10" x14ac:dyDescent="0.2">
      <c r="C48" s="40"/>
    </row>
    <row r="49" spans="1:3" x14ac:dyDescent="0.2">
      <c r="C49" s="40"/>
    </row>
    <row r="50" spans="1:3" x14ac:dyDescent="0.2">
      <c r="A50" s="43"/>
      <c r="B50" s="43"/>
    </row>
    <row r="51" spans="1:3" x14ac:dyDescent="0.2">
      <c r="A51" s="43"/>
      <c r="B51" s="43"/>
    </row>
    <row r="52" spans="1:3" x14ac:dyDescent="0.2">
      <c r="A52" s="43"/>
      <c r="B52" s="43"/>
    </row>
  </sheetData>
  <dataConsolidate/>
  <mergeCells count="8">
    <mergeCell ref="A40:B40"/>
    <mergeCell ref="A41:B41"/>
    <mergeCell ref="E32:F32"/>
    <mergeCell ref="G32:H32"/>
    <mergeCell ref="B6:C6"/>
    <mergeCell ref="B2:I2"/>
    <mergeCell ref="B3:I3"/>
    <mergeCell ref="B4:I4"/>
  </mergeCells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showGridLines="0" workbookViewId="0">
      <selection activeCell="H8" sqref="H8"/>
    </sheetView>
  </sheetViews>
  <sheetFormatPr baseColWidth="10" defaultRowHeight="15" x14ac:dyDescent="0.25"/>
  <cols>
    <col min="3" max="3" width="42.42578125" customWidth="1"/>
    <col min="4" max="4" width="18.5703125" customWidth="1"/>
    <col min="5" max="5" width="19.7109375" customWidth="1"/>
    <col min="6" max="6" width="16.28515625" customWidth="1"/>
    <col min="7" max="7" width="17.85546875" customWidth="1"/>
    <col min="8" max="8" width="20.140625" customWidth="1"/>
  </cols>
  <sheetData>
    <row r="2" spans="2:9" x14ac:dyDescent="0.25">
      <c r="B2" s="40"/>
      <c r="C2" s="40"/>
      <c r="D2" s="40"/>
      <c r="E2" s="40"/>
      <c r="F2" s="40"/>
      <c r="G2" s="40"/>
      <c r="H2" s="40"/>
      <c r="I2" s="40"/>
    </row>
    <row r="3" spans="2:9" ht="23.25" x14ac:dyDescent="0.25">
      <c r="B3" s="160" t="s">
        <v>101</v>
      </c>
      <c r="C3" s="160"/>
      <c r="D3" s="160"/>
      <c r="E3" s="160"/>
      <c r="F3" s="160"/>
      <c r="G3" s="160"/>
      <c r="H3" s="160"/>
      <c r="I3" s="160"/>
    </row>
    <row r="4" spans="2:9" ht="15.75" x14ac:dyDescent="0.25">
      <c r="B4" s="161" t="s">
        <v>116</v>
      </c>
      <c r="C4" s="161"/>
      <c r="D4" s="161"/>
      <c r="E4" s="161"/>
      <c r="F4" s="161"/>
      <c r="G4" s="161"/>
      <c r="H4" s="161"/>
      <c r="I4" s="161"/>
    </row>
    <row r="5" spans="2:9" ht="15.75" x14ac:dyDescent="0.25">
      <c r="B5" s="162" t="s">
        <v>114</v>
      </c>
      <c r="C5" s="162"/>
      <c r="D5" s="162"/>
      <c r="E5" s="162"/>
      <c r="F5" s="162"/>
      <c r="G5" s="162"/>
      <c r="H5" s="162"/>
      <c r="I5" s="162"/>
    </row>
    <row r="7" spans="2:9" ht="31.5" x14ac:dyDescent="0.25">
      <c r="B7" s="122" t="s">
        <v>12</v>
      </c>
      <c r="C7" s="122" t="s">
        <v>105</v>
      </c>
      <c r="D7" s="122" t="s">
        <v>59</v>
      </c>
      <c r="E7" s="122" t="s">
        <v>109</v>
      </c>
      <c r="F7" s="122" t="s">
        <v>110</v>
      </c>
      <c r="G7" s="122" t="s">
        <v>111</v>
      </c>
      <c r="H7" s="122" t="s">
        <v>112</v>
      </c>
    </row>
    <row r="8" spans="2:9" ht="26.25" customHeight="1" x14ac:dyDescent="0.3">
      <c r="B8" s="115">
        <v>1</v>
      </c>
      <c r="C8" s="143" t="str">
        <f>'Tablero Adjudicación'!B45</f>
        <v>EP SHIKUN Y BINUI - GRODCO</v>
      </c>
      <c r="D8" s="139">
        <f>+'Tablero Adjudicación'!C45</f>
        <v>641</v>
      </c>
      <c r="E8" s="139">
        <v>100</v>
      </c>
      <c r="F8" s="139">
        <v>100</v>
      </c>
      <c r="G8" s="139">
        <v>100</v>
      </c>
      <c r="H8" s="140">
        <f>+D8+E8+F8+G8</f>
        <v>941</v>
      </c>
    </row>
    <row r="9" spans="2:9" ht="24" x14ac:dyDescent="0.3">
      <c r="B9" s="115">
        <v>2</v>
      </c>
      <c r="C9" s="152" t="str">
        <f>'Tablero Adjudicación'!B46</f>
        <v xml:space="preserve">EP MARIO ALBERTO HUERTAS COTES - CONSTRUCTORA MECO SUCURSAL COLOMBIA </v>
      </c>
      <c r="D9" s="139">
        <f>+'Tablero Adjudicación'!C46</f>
        <v>700</v>
      </c>
      <c r="E9" s="139">
        <v>100</v>
      </c>
      <c r="F9" s="139">
        <v>100</v>
      </c>
      <c r="G9" s="139">
        <v>100</v>
      </c>
      <c r="H9" s="140">
        <f>+D9+E9+F9+G9</f>
        <v>1000</v>
      </c>
    </row>
    <row r="10" spans="2:9" ht="15.75" x14ac:dyDescent="0.25">
      <c r="B10" s="124" t="s">
        <v>98</v>
      </c>
      <c r="C10" s="125"/>
      <c r="D10" s="126">
        <f>+'Tablero Adjudicación'!C37</f>
        <v>2</v>
      </c>
    </row>
  </sheetData>
  <mergeCells count="3">
    <mergeCell ref="B3:I3"/>
    <mergeCell ref="B4:I4"/>
    <mergeCell ref="B5:I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E108"/>
  <sheetViews>
    <sheetView workbookViewId="0">
      <pane xSplit="8" ySplit="1" topLeftCell="I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RowHeight="15" x14ac:dyDescent="0.25"/>
  <cols>
    <col min="1" max="1" width="20.7109375" bestFit="1" customWidth="1"/>
    <col min="2" max="2" width="5.28515625" bestFit="1" customWidth="1"/>
    <col min="3" max="3" width="6.5703125" bestFit="1" customWidth="1"/>
    <col min="4" max="4" width="21.5703125" bestFit="1" customWidth="1"/>
    <col min="5" max="5" width="17.85546875" bestFit="1" customWidth="1"/>
    <col min="6" max="6" width="17.42578125" bestFit="1" customWidth="1"/>
    <col min="7" max="7" width="18.5703125" bestFit="1" customWidth="1"/>
    <col min="8" max="8" width="17.42578125" bestFit="1" customWidth="1"/>
    <col min="9" max="9" width="15.7109375" style="71" bestFit="1" customWidth="1"/>
    <col min="10" max="10" width="18.5703125" bestFit="1" customWidth="1"/>
    <col min="11" max="11" width="6.7109375" style="85" bestFit="1" customWidth="1"/>
    <col min="12" max="12" width="9.5703125" style="10" bestFit="1" customWidth="1"/>
    <col min="13" max="14" width="17.42578125" bestFit="1" customWidth="1"/>
    <col min="15" max="35" width="15.7109375" bestFit="1" customWidth="1"/>
    <col min="36" max="37" width="14.7109375" bestFit="1" customWidth="1"/>
    <col min="38" max="40" width="3" bestFit="1" customWidth="1"/>
    <col min="52" max="52" width="14.7109375" bestFit="1" customWidth="1"/>
  </cols>
  <sheetData>
    <row r="1" spans="1:12" s="69" customFormat="1" ht="18.75" x14ac:dyDescent="0.3">
      <c r="A1" s="66" t="s">
        <v>71</v>
      </c>
      <c r="B1" s="67"/>
      <c r="C1" s="67"/>
      <c r="D1" s="68" t="s">
        <v>72</v>
      </c>
      <c r="E1" s="67"/>
      <c r="F1" s="67"/>
      <c r="G1" s="67"/>
      <c r="H1" s="67"/>
      <c r="I1" s="71"/>
      <c r="K1" s="84"/>
      <c r="L1" s="70"/>
    </row>
    <row r="2" spans="1:12" x14ac:dyDescent="0.25">
      <c r="A2" t="s">
        <v>73</v>
      </c>
      <c r="D2" s="62">
        <v>5.4869999999999997E-3</v>
      </c>
    </row>
    <row r="3" spans="1:12" x14ac:dyDescent="0.25">
      <c r="A3" t="s">
        <v>68</v>
      </c>
      <c r="D3" s="64">
        <v>0.25</v>
      </c>
    </row>
    <row r="4" spans="1:12" x14ac:dyDescent="0.25">
      <c r="A4" t="s">
        <v>69</v>
      </c>
      <c r="D4" s="63">
        <v>2021</v>
      </c>
    </row>
    <row r="5" spans="1:12" x14ac:dyDescent="0.25">
      <c r="A5" t="s">
        <v>70</v>
      </c>
      <c r="D5" s="49">
        <f>+D3*O47/D4</f>
        <v>289154581.92986143</v>
      </c>
      <c r="E5" s="80">
        <f>+D5-P47</f>
        <v>0</v>
      </c>
    </row>
    <row r="6" spans="1:12" x14ac:dyDescent="0.25">
      <c r="A6" t="s">
        <v>74</v>
      </c>
      <c r="D6" s="61">
        <f>+(1+D2)^12-1</f>
        <v>6.7867869375054068E-2</v>
      </c>
    </row>
    <row r="7" spans="1:12" x14ac:dyDescent="0.25">
      <c r="A7" s="78" t="s">
        <v>83</v>
      </c>
      <c r="B7" s="10" t="s">
        <v>47</v>
      </c>
      <c r="C7" s="10"/>
      <c r="D7" s="61"/>
      <c r="E7" s="79">
        <f>+D8/(D12+D8)</f>
        <v>0.58874481494549191</v>
      </c>
    </row>
    <row r="8" spans="1:12" s="49" customFormat="1" x14ac:dyDescent="0.25">
      <c r="A8" t="s">
        <v>75</v>
      </c>
      <c r="D8" s="49">
        <f>+NPV(D6,D20:D46)</f>
        <v>916372808307.79565</v>
      </c>
      <c r="E8"/>
      <c r="G8"/>
      <c r="I8" s="72"/>
      <c r="K8" s="86"/>
      <c r="L8" s="57"/>
    </row>
    <row r="9" spans="1:12" s="49" customFormat="1" x14ac:dyDescent="0.25">
      <c r="A9" t="s">
        <v>76</v>
      </c>
      <c r="D9" s="50">
        <f>+NPV(D6,O20:O46)</f>
        <v>916372808307.79565</v>
      </c>
      <c r="E9"/>
      <c r="G9"/>
      <c r="I9" s="72"/>
      <c r="K9" s="86"/>
      <c r="L9" s="57"/>
    </row>
    <row r="10" spans="1:12" s="49" customFormat="1" x14ac:dyDescent="0.25">
      <c r="A10" t="s">
        <v>76</v>
      </c>
      <c r="D10" s="50">
        <f>-PV($D$6,B46,0,D46,0)-PV($D$6,B45,0,D45,0)-PV($D$6,B44,0,D44,0)-PV($D$6,B43,0,D43,0)-PV($D$6,B42,0,D42,0)-PV($D$6,B41,0,D41,0)-PV($D$6,B40,0,D40,0)-PV($D$6,B39,0,D39,0)-PV($D$6,B38,0,D38,0)-PV($D$6,B37,0,D37,0)-PV($D$6,B36,0,D36,0)-PV($D$6,B35,0,D35,0)-PV($D$6,B34,0,D34,0)-PV($D$6,B33,0,D33,0)-PV($D$6,B32,0,D32,0)-PV($D$6,B31,0,D31,0)-PV($D$6,B30,0,D30,0)-PV($D$6,B29,0,D29,0)-PV($D$6,B28,0,D28,0)-PV($D$6,B27,0,D27,0)-PV($D$6,B26,0,D26,0)-PV($D$6,B25,0,D25,0)-PV($D$6,B24,0,D24,0)-PV($D$6,B23,0,D23,0)-PV($D$6,B22,0,D22,0)-PV($D$6,B21,0,D21,0)-PV($D$6,B20,0,D20,0)</f>
        <v>916372808307.79529</v>
      </c>
      <c r="E10"/>
      <c r="G10"/>
      <c r="I10" s="72"/>
      <c r="K10" s="86"/>
      <c r="L10" s="57"/>
    </row>
    <row r="11" spans="1:12" s="49" customFormat="1" x14ac:dyDescent="0.25">
      <c r="A11" s="78" t="s">
        <v>82</v>
      </c>
      <c r="B11" s="10" t="s">
        <v>47</v>
      </c>
      <c r="C11" s="10"/>
      <c r="D11" s="50"/>
      <c r="E11" s="79">
        <f>+D12/(D12+D8)</f>
        <v>0.41125518505450814</v>
      </c>
      <c r="G11"/>
      <c r="I11" s="72"/>
      <c r="K11" s="86"/>
      <c r="L11" s="57"/>
    </row>
    <row r="12" spans="1:12" s="49" customFormat="1" x14ac:dyDescent="0.25">
      <c r="A12" t="s">
        <v>81</v>
      </c>
      <c r="D12" s="50">
        <f>+NPV(D6,D50:D76)</f>
        <v>640112760728.828</v>
      </c>
      <c r="E12"/>
      <c r="G12"/>
      <c r="I12" s="72"/>
      <c r="K12" s="86"/>
      <c r="L12" s="57"/>
    </row>
    <row r="13" spans="1:12" s="49" customFormat="1" x14ac:dyDescent="0.25">
      <c r="A13" t="s">
        <v>80</v>
      </c>
      <c r="D13" s="50">
        <f>+NPV(D6,D50:D69)</f>
        <v>470130489854.12561</v>
      </c>
      <c r="E13"/>
      <c r="G13"/>
      <c r="I13" s="72"/>
      <c r="K13" s="86"/>
      <c r="L13" s="57"/>
    </row>
    <row r="14" spans="1:12" s="49" customFormat="1" x14ac:dyDescent="0.25">
      <c r="A14" t="s">
        <v>79</v>
      </c>
      <c r="D14" s="50">
        <f>+NPV(D6,D50:D64)</f>
        <v>315460070269.3288</v>
      </c>
      <c r="E14"/>
      <c r="G14"/>
      <c r="I14" s="72"/>
      <c r="K14" s="86"/>
      <c r="L14" s="57"/>
    </row>
    <row r="15" spans="1:12" s="49" customFormat="1" x14ac:dyDescent="0.25">
      <c r="A15" t="s">
        <v>78</v>
      </c>
      <c r="D15" s="50">
        <f>+NPV(D6,D50:D59)</f>
        <v>131172555842.31781</v>
      </c>
      <c r="E15"/>
      <c r="G15"/>
      <c r="I15" s="72"/>
      <c r="K15" s="86"/>
      <c r="L15" s="57"/>
    </row>
    <row r="16" spans="1:12" s="49" customFormat="1" x14ac:dyDescent="0.25">
      <c r="A16"/>
      <c r="D16" s="50"/>
      <c r="E16"/>
      <c r="G16"/>
      <c r="I16" s="72"/>
      <c r="K16" s="86"/>
      <c r="L16" s="57"/>
    </row>
    <row r="17" spans="1:57" s="49" customFormat="1" x14ac:dyDescent="0.25">
      <c r="A17"/>
      <c r="B17" s="75" t="s">
        <v>62</v>
      </c>
      <c r="C17" s="75"/>
      <c r="D17" s="76">
        <f>+D8-D9+D9-D10+D8-D10+D5-P47</f>
        <v>7.3248147964477539E-4</v>
      </c>
      <c r="E17"/>
      <c r="G17"/>
      <c r="I17" s="72"/>
      <c r="K17" s="86"/>
      <c r="L17" s="57"/>
    </row>
    <row r="18" spans="1:57" s="49" customFormat="1" x14ac:dyDescent="0.25">
      <c r="A18"/>
      <c r="E18"/>
      <c r="G18"/>
      <c r="I18" s="72"/>
      <c r="K18" s="86"/>
      <c r="L18" s="57"/>
    </row>
    <row r="19" spans="1:57" s="49" customFormat="1" x14ac:dyDescent="0.25">
      <c r="A19" s="51" t="s">
        <v>64</v>
      </c>
      <c r="B19" s="51" t="s">
        <v>63</v>
      </c>
      <c r="C19" s="51"/>
      <c r="D19" s="51" t="s">
        <v>96</v>
      </c>
      <c r="E19" s="82" t="s">
        <v>87</v>
      </c>
      <c r="F19" s="82" t="s">
        <v>88</v>
      </c>
      <c r="G19" s="82" t="s">
        <v>89</v>
      </c>
      <c r="H19" s="82" t="s">
        <v>90</v>
      </c>
      <c r="I19" s="82" t="s">
        <v>91</v>
      </c>
      <c r="J19" s="82" t="s">
        <v>92</v>
      </c>
      <c r="N19" s="93" t="s">
        <v>65</v>
      </c>
      <c r="O19" s="51" t="s">
        <v>84</v>
      </c>
      <c r="P19" s="51" t="s">
        <v>85</v>
      </c>
      <c r="Q19" s="51" t="s">
        <v>86</v>
      </c>
      <c r="R19" s="72"/>
      <c r="T19" s="86"/>
      <c r="U19" s="10"/>
      <c r="V19" s="51" t="s">
        <v>63</v>
      </c>
      <c r="W19" s="51"/>
      <c r="X19" s="51">
        <v>1</v>
      </c>
      <c r="Y19" s="51">
        <v>2</v>
      </c>
      <c r="Z19" s="51">
        <v>3</v>
      </c>
      <c r="AA19" s="51">
        <v>4</v>
      </c>
      <c r="AB19" s="51">
        <v>5</v>
      </c>
      <c r="AC19" s="51">
        <v>6</v>
      </c>
      <c r="AD19" s="51">
        <v>7</v>
      </c>
      <c r="AE19" s="51">
        <v>8</v>
      </c>
      <c r="AF19" s="51">
        <v>9</v>
      </c>
      <c r="AG19" s="51">
        <v>10</v>
      </c>
      <c r="AH19" s="51">
        <v>11</v>
      </c>
      <c r="AI19" s="51">
        <v>12</v>
      </c>
      <c r="AJ19" s="51">
        <v>13</v>
      </c>
      <c r="AK19" s="51">
        <v>14</v>
      </c>
      <c r="AL19" s="51">
        <v>15</v>
      </c>
      <c r="AM19" s="51">
        <v>16</v>
      </c>
      <c r="AN19" s="51">
        <v>17</v>
      </c>
      <c r="AO19" s="51">
        <v>18</v>
      </c>
      <c r="AP19" s="51">
        <v>19</v>
      </c>
      <c r="AQ19" s="51">
        <v>20</v>
      </c>
      <c r="AR19" s="51">
        <v>21</v>
      </c>
      <c r="AS19" s="51">
        <v>22</v>
      </c>
      <c r="AT19" s="51">
        <v>23</v>
      </c>
      <c r="AU19" s="51">
        <v>24</v>
      </c>
      <c r="AV19" s="51">
        <v>25</v>
      </c>
      <c r="AW19" s="51">
        <v>26</v>
      </c>
    </row>
    <row r="20" spans="1:57" s="49" customFormat="1" x14ac:dyDescent="0.25">
      <c r="A20" s="54">
        <v>41274</v>
      </c>
      <c r="B20" s="53">
        <v>0</v>
      </c>
      <c r="C20" s="99"/>
      <c r="D20" s="100"/>
      <c r="N20" s="94"/>
      <c r="O20" s="55"/>
      <c r="P20" s="55"/>
      <c r="Q20" s="55"/>
      <c r="R20" s="73" t="s">
        <v>62</v>
      </c>
      <c r="S20" s="56"/>
      <c r="T20" s="87"/>
      <c r="U20" s="52" t="s">
        <v>66</v>
      </c>
      <c r="V20" s="57">
        <f>SUM(X20:AW20)</f>
        <v>916372808307.79578</v>
      </c>
      <c r="W20" s="49">
        <v>0</v>
      </c>
      <c r="X20" s="49">
        <f t="shared" ref="X20:AW20" si="0">+-PV($D$6,$B21-$B20,0,X21,0)</f>
        <v>19410925716.929634</v>
      </c>
      <c r="Y20" s="49">
        <f t="shared" si="0"/>
        <v>20728303887.935093</v>
      </c>
      <c r="Z20" s="49">
        <f t="shared" si="0"/>
        <v>22135089708.567898</v>
      </c>
      <c r="AA20" s="49">
        <f t="shared" si="0"/>
        <v>23637351085.514088</v>
      </c>
      <c r="AB20" s="49">
        <f t="shared" si="0"/>
        <v>25241567741.358051</v>
      </c>
      <c r="AC20" s="49">
        <f t="shared" si="0"/>
        <v>26954659163.65012</v>
      </c>
      <c r="AD20" s="49">
        <f t="shared" si="0"/>
        <v>28784014450.817829</v>
      </c>
      <c r="AE20" s="49">
        <f t="shared" si="0"/>
        <v>30737524183.655602</v>
      </c>
      <c r="AF20" s="49">
        <f t="shared" si="0"/>
        <v>32823614459.864506</v>
      </c>
      <c r="AG20" s="49">
        <f t="shared" si="0"/>
        <v>35051283238.443726</v>
      </c>
      <c r="AH20" s="49">
        <f t="shared" si="0"/>
        <v>37430139150.698448</v>
      </c>
      <c r="AI20" s="49">
        <f t="shared" si="0"/>
        <v>39970442945.26815</v>
      </c>
      <c r="AJ20" s="49">
        <f t="shared" si="0"/>
        <v>42683151745.940659</v>
      </c>
      <c r="AK20" s="49">
        <f t="shared" si="0"/>
        <v>45579966313.149773</v>
      </c>
      <c r="AL20" s="49">
        <f t="shared" si="0"/>
        <v>48673381513.009987</v>
      </c>
      <c r="AM20" s="49">
        <f t="shared" si="0"/>
        <v>51976740211.577118</v>
      </c>
      <c r="AN20" s="49">
        <f t="shared" si="0"/>
        <v>55504290826.797554</v>
      </c>
      <c r="AO20" s="49">
        <f t="shared" si="0"/>
        <v>59271248786.385658</v>
      </c>
      <c r="AP20" s="49">
        <f t="shared" si="0"/>
        <v>61604330226.974815</v>
      </c>
      <c r="AQ20" s="49">
        <f t="shared" si="0"/>
        <v>65785284863.756836</v>
      </c>
      <c r="AR20" s="49">
        <f t="shared" si="0"/>
        <v>70249991983.69101</v>
      </c>
      <c r="AS20" s="49">
        <f t="shared" si="0"/>
        <v>52998956817.855164</v>
      </c>
      <c r="AT20" s="49">
        <f t="shared" si="0"/>
        <v>19140549285.953953</v>
      </c>
      <c r="AU20" s="49">
        <f t="shared" si="0"/>
        <v>0</v>
      </c>
      <c r="AV20" s="49">
        <f t="shared" si="0"/>
        <v>0</v>
      </c>
      <c r="AW20" s="49">
        <f t="shared" si="0"/>
        <v>0</v>
      </c>
    </row>
    <row r="21" spans="1:57" s="49" customFormat="1" x14ac:dyDescent="0.25">
      <c r="A21" s="54">
        <f>+EOMONTH(A20,12)</f>
        <v>41639</v>
      </c>
      <c r="B21" s="53">
        <f>+B20+1</f>
        <v>1</v>
      </c>
      <c r="C21" s="99">
        <v>2013</v>
      </c>
      <c r="D21" s="101">
        <v>0</v>
      </c>
      <c r="N21" s="95"/>
      <c r="O21" s="58">
        <f t="shared" ref="O21:O46" si="1">+N21*D21</f>
        <v>0</v>
      </c>
      <c r="P21" s="58">
        <f t="shared" ref="P21:P46" si="2">IF(AND(B21&lt;20,B21&gt;=5),+$D$5/15,0)</f>
        <v>0</v>
      </c>
      <c r="Q21" s="58">
        <f t="shared" ref="Q21:Q46" si="3">+O21-P21*$D$4</f>
        <v>0</v>
      </c>
      <c r="R21" s="74">
        <f t="shared" ref="R21:R47" si="4">+P21*$D$4+Q21-O21</f>
        <v>0</v>
      </c>
      <c r="S21" s="59"/>
      <c r="T21" s="88"/>
      <c r="U21" s="10"/>
      <c r="V21" s="57">
        <f t="shared" ref="V21:V46" si="5">SUM(X21:AW21)</f>
        <v>978565078360.88074</v>
      </c>
      <c r="W21" s="49">
        <f t="shared" ref="W21:W46" si="6">+O21</f>
        <v>0</v>
      </c>
      <c r="X21" s="49">
        <f t="shared" ref="X21:AV21" si="7">+-PV($D$6,$B22-$B21,0,X22,0)</f>
        <v>20728303887.935093</v>
      </c>
      <c r="Y21" s="49">
        <f t="shared" si="7"/>
        <v>22135089708.567898</v>
      </c>
      <c r="Z21" s="49">
        <f t="shared" si="7"/>
        <v>23637351085.514088</v>
      </c>
      <c r="AA21" s="49">
        <f t="shared" si="7"/>
        <v>25241567741.358051</v>
      </c>
      <c r="AB21" s="49">
        <f t="shared" si="7"/>
        <v>26954659163.65012</v>
      </c>
      <c r="AC21" s="49">
        <f t="shared" si="7"/>
        <v>28784014450.817829</v>
      </c>
      <c r="AD21" s="49">
        <f t="shared" si="7"/>
        <v>30737524183.655602</v>
      </c>
      <c r="AE21" s="49">
        <f t="shared" si="7"/>
        <v>32823614459.864506</v>
      </c>
      <c r="AF21" s="49">
        <f t="shared" si="7"/>
        <v>35051283238.443726</v>
      </c>
      <c r="AG21" s="49">
        <f t="shared" si="7"/>
        <v>37430139150.698448</v>
      </c>
      <c r="AH21" s="49">
        <f t="shared" si="7"/>
        <v>39970442945.26815</v>
      </c>
      <c r="AI21" s="49">
        <f t="shared" si="7"/>
        <v>42683151745.940659</v>
      </c>
      <c r="AJ21" s="49">
        <f t="shared" si="7"/>
        <v>45579966313.149773</v>
      </c>
      <c r="AK21" s="49">
        <f t="shared" si="7"/>
        <v>48673381513.009987</v>
      </c>
      <c r="AL21" s="49">
        <f t="shared" si="7"/>
        <v>51976740211.577118</v>
      </c>
      <c r="AM21" s="49">
        <f t="shared" si="7"/>
        <v>55504290826.797554</v>
      </c>
      <c r="AN21" s="49">
        <f t="shared" si="7"/>
        <v>59271248786.385658</v>
      </c>
      <c r="AO21" s="49">
        <f t="shared" si="7"/>
        <v>63293862156.716415</v>
      </c>
      <c r="AP21" s="49">
        <f t="shared" si="7"/>
        <v>65785284863.756836</v>
      </c>
      <c r="AQ21" s="49">
        <f t="shared" si="7"/>
        <v>70249991983.69101</v>
      </c>
      <c r="AR21" s="49">
        <f t="shared" si="7"/>
        <v>75017709263.238739</v>
      </c>
      <c r="AS21" s="49">
        <f t="shared" si="7"/>
        <v>56595883096.183487</v>
      </c>
      <c r="AT21" s="49">
        <f t="shared" si="7"/>
        <v>20439577584.659859</v>
      </c>
      <c r="AU21" s="49">
        <f t="shared" si="7"/>
        <v>0</v>
      </c>
      <c r="AV21" s="49">
        <f t="shared" si="7"/>
        <v>0</v>
      </c>
      <c r="AW21" s="49">
        <f>+W21</f>
        <v>0</v>
      </c>
    </row>
    <row r="22" spans="1:57" s="49" customFormat="1" x14ac:dyDescent="0.25">
      <c r="A22" s="54">
        <f t="shared" ref="A22:A46" si="8">+EOMONTH(A21,12)</f>
        <v>42004</v>
      </c>
      <c r="B22" s="53">
        <f t="shared" ref="B22:B46" si="9">+B21+1</f>
        <v>2</v>
      </c>
      <c r="C22" s="99">
        <v>2014</v>
      </c>
      <c r="D22" s="101">
        <v>0</v>
      </c>
      <c r="N22" s="95"/>
      <c r="O22" s="58">
        <f t="shared" si="1"/>
        <v>0</v>
      </c>
      <c r="P22" s="58">
        <f t="shared" si="2"/>
        <v>0</v>
      </c>
      <c r="Q22" s="58">
        <f t="shared" si="3"/>
        <v>0</v>
      </c>
      <c r="R22" s="74">
        <f t="shared" si="4"/>
        <v>0</v>
      </c>
      <c r="S22" s="59"/>
      <c r="T22" s="88"/>
      <c r="U22" s="10"/>
      <c r="V22" s="57">
        <f t="shared" si="5"/>
        <v>1044978205274.0665</v>
      </c>
      <c r="W22" s="49">
        <f t="shared" si="6"/>
        <v>0</v>
      </c>
      <c r="X22" s="49">
        <f t="shared" ref="X22:AU22" si="10">+-PV($D$6,$B23-$B22,0,X23,0)</f>
        <v>22135089708.567898</v>
      </c>
      <c r="Y22" s="49">
        <f t="shared" si="10"/>
        <v>23637351085.514088</v>
      </c>
      <c r="Z22" s="49">
        <f t="shared" si="10"/>
        <v>25241567741.358051</v>
      </c>
      <c r="AA22" s="49">
        <f t="shared" si="10"/>
        <v>26954659163.65012</v>
      </c>
      <c r="AB22" s="49">
        <f t="shared" si="10"/>
        <v>28784014450.817829</v>
      </c>
      <c r="AC22" s="49">
        <f t="shared" si="10"/>
        <v>30737524183.655602</v>
      </c>
      <c r="AD22" s="49">
        <f t="shared" si="10"/>
        <v>32823614459.864506</v>
      </c>
      <c r="AE22" s="49">
        <f t="shared" si="10"/>
        <v>35051283238.443726</v>
      </c>
      <c r="AF22" s="49">
        <f t="shared" si="10"/>
        <v>37430139150.698448</v>
      </c>
      <c r="AG22" s="49">
        <f t="shared" si="10"/>
        <v>39970442945.26815</v>
      </c>
      <c r="AH22" s="49">
        <f t="shared" si="10"/>
        <v>42683151745.940659</v>
      </c>
      <c r="AI22" s="49">
        <f t="shared" si="10"/>
        <v>45579966313.149773</v>
      </c>
      <c r="AJ22" s="49">
        <f t="shared" si="10"/>
        <v>48673381513.009987</v>
      </c>
      <c r="AK22" s="49">
        <f t="shared" si="10"/>
        <v>51976740211.577118</v>
      </c>
      <c r="AL22" s="49">
        <f t="shared" si="10"/>
        <v>55504290826.797554</v>
      </c>
      <c r="AM22" s="49">
        <f t="shared" si="10"/>
        <v>59271248786.385658</v>
      </c>
      <c r="AN22" s="49">
        <f t="shared" si="10"/>
        <v>63293862156.716415</v>
      </c>
      <c r="AO22" s="49">
        <f t="shared" si="10"/>
        <v>67589481725.811119</v>
      </c>
      <c r="AP22" s="49">
        <f t="shared" si="10"/>
        <v>70249991983.69101</v>
      </c>
      <c r="AQ22" s="49">
        <f t="shared" si="10"/>
        <v>75017709263.238739</v>
      </c>
      <c r="AR22" s="49">
        <f t="shared" si="10"/>
        <v>80109001356.332016</v>
      </c>
      <c r="AS22" s="49">
        <f t="shared" si="10"/>
        <v>60436925097.321098</v>
      </c>
      <c r="AT22" s="49">
        <f t="shared" si="10"/>
        <v>21826768166.256836</v>
      </c>
      <c r="AU22" s="49">
        <f t="shared" si="10"/>
        <v>0</v>
      </c>
      <c r="AV22" s="49">
        <f>+W22</f>
        <v>0</v>
      </c>
    </row>
    <row r="23" spans="1:57" s="49" customFormat="1" x14ac:dyDescent="0.25">
      <c r="A23" s="54">
        <f t="shared" si="8"/>
        <v>42369</v>
      </c>
      <c r="B23" s="53">
        <f t="shared" si="9"/>
        <v>3</v>
      </c>
      <c r="C23" s="99">
        <v>2015</v>
      </c>
      <c r="D23" s="101">
        <v>0</v>
      </c>
      <c r="N23" s="95"/>
      <c r="O23" s="58">
        <f t="shared" si="1"/>
        <v>0</v>
      </c>
      <c r="P23" s="58">
        <f t="shared" si="2"/>
        <v>0</v>
      </c>
      <c r="Q23" s="58">
        <f t="shared" si="3"/>
        <v>0</v>
      </c>
      <c r="R23" s="74">
        <f t="shared" si="4"/>
        <v>0</v>
      </c>
      <c r="S23" s="59"/>
      <c r="T23" s="88"/>
      <c r="U23" s="10"/>
      <c r="V23" s="57">
        <f t="shared" si="5"/>
        <v>1115898649609.3853</v>
      </c>
      <c r="W23" s="49">
        <f t="shared" si="6"/>
        <v>0</v>
      </c>
      <c r="X23" s="49">
        <f t="shared" ref="X23:AT23" si="11">+-PV($D$6,$B24-$B23,0,X24,0)</f>
        <v>23637351085.514088</v>
      </c>
      <c r="Y23" s="49">
        <f t="shared" si="11"/>
        <v>25241567741.358051</v>
      </c>
      <c r="Z23" s="49">
        <f t="shared" si="11"/>
        <v>26954659163.65012</v>
      </c>
      <c r="AA23" s="49">
        <f t="shared" si="11"/>
        <v>28784014450.817829</v>
      </c>
      <c r="AB23" s="49">
        <f t="shared" si="11"/>
        <v>30737524183.655602</v>
      </c>
      <c r="AC23" s="49">
        <f t="shared" si="11"/>
        <v>32823614459.864506</v>
      </c>
      <c r="AD23" s="49">
        <f t="shared" si="11"/>
        <v>35051283238.443726</v>
      </c>
      <c r="AE23" s="49">
        <f t="shared" si="11"/>
        <v>37430139150.698448</v>
      </c>
      <c r="AF23" s="49">
        <f t="shared" si="11"/>
        <v>39970442945.26815</v>
      </c>
      <c r="AG23" s="49">
        <f t="shared" si="11"/>
        <v>42683151745.940659</v>
      </c>
      <c r="AH23" s="49">
        <f t="shared" si="11"/>
        <v>45579966313.149773</v>
      </c>
      <c r="AI23" s="49">
        <f t="shared" si="11"/>
        <v>48673381513.009987</v>
      </c>
      <c r="AJ23" s="49">
        <f t="shared" si="11"/>
        <v>51976740211.577118</v>
      </c>
      <c r="AK23" s="49">
        <f t="shared" si="11"/>
        <v>55504290826.797554</v>
      </c>
      <c r="AL23" s="49">
        <f t="shared" si="11"/>
        <v>59271248786.385658</v>
      </c>
      <c r="AM23" s="49">
        <f t="shared" si="11"/>
        <v>63293862156.716415</v>
      </c>
      <c r="AN23" s="49">
        <f t="shared" si="11"/>
        <v>67589481725.811119</v>
      </c>
      <c r="AO23" s="49">
        <f t="shared" si="11"/>
        <v>72176635842.70607</v>
      </c>
      <c r="AP23" s="49">
        <f t="shared" si="11"/>
        <v>75017709263.238739</v>
      </c>
      <c r="AQ23" s="49">
        <f t="shared" si="11"/>
        <v>80109001356.332016</v>
      </c>
      <c r="AR23" s="49">
        <f t="shared" si="11"/>
        <v>85545828596.149582</v>
      </c>
      <c r="AS23" s="49">
        <f t="shared" si="11"/>
        <v>64538650435.256012</v>
      </c>
      <c r="AT23" s="49">
        <f t="shared" si="11"/>
        <v>23308104417.043941</v>
      </c>
      <c r="AU23" s="49">
        <f>+W23</f>
        <v>0</v>
      </c>
    </row>
    <row r="24" spans="1:57" s="49" customFormat="1" x14ac:dyDescent="0.25">
      <c r="A24" s="54">
        <f t="shared" si="8"/>
        <v>42735</v>
      </c>
      <c r="B24" s="53">
        <f t="shared" si="9"/>
        <v>4</v>
      </c>
      <c r="C24" s="99">
        <v>2016</v>
      </c>
      <c r="D24" s="101">
        <v>24889975803</v>
      </c>
      <c r="E24" s="49">
        <v>14624770719</v>
      </c>
      <c r="F24" s="49">
        <v>0</v>
      </c>
      <c r="G24" s="49">
        <v>0</v>
      </c>
      <c r="H24" s="49">
        <v>10265205084</v>
      </c>
      <c r="I24" s="49">
        <v>0</v>
      </c>
      <c r="J24" s="49">
        <v>0</v>
      </c>
      <c r="K24" s="104"/>
      <c r="N24" s="96">
        <v>1</v>
      </c>
      <c r="O24" s="58">
        <f t="shared" si="1"/>
        <v>24889975803</v>
      </c>
      <c r="P24" s="58">
        <f t="shared" si="2"/>
        <v>0</v>
      </c>
      <c r="Q24" s="58">
        <f t="shared" si="3"/>
        <v>24889975803</v>
      </c>
      <c r="R24" s="74">
        <f t="shared" si="4"/>
        <v>0</v>
      </c>
      <c r="S24" s="59"/>
      <c r="T24" s="88"/>
      <c r="U24" s="10"/>
      <c r="V24" s="57">
        <f t="shared" si="5"/>
        <v>1191632313396.874</v>
      </c>
      <c r="W24" s="49">
        <f t="shared" si="6"/>
        <v>24889975803</v>
      </c>
      <c r="X24" s="49">
        <f t="shared" ref="X24:AS24" si="12">+-PV($D$6,$B25-$B24,0,X25,0)</f>
        <v>25241567741.358051</v>
      </c>
      <c r="Y24" s="49">
        <f t="shared" si="12"/>
        <v>26954659163.65012</v>
      </c>
      <c r="Z24" s="49">
        <f t="shared" si="12"/>
        <v>28784014450.817829</v>
      </c>
      <c r="AA24" s="49">
        <f t="shared" si="12"/>
        <v>30737524183.655602</v>
      </c>
      <c r="AB24" s="49">
        <f t="shared" si="12"/>
        <v>32823614459.864506</v>
      </c>
      <c r="AC24" s="49">
        <f t="shared" si="12"/>
        <v>35051283238.443726</v>
      </c>
      <c r="AD24" s="49">
        <f t="shared" si="12"/>
        <v>37430139150.698448</v>
      </c>
      <c r="AE24" s="49">
        <f t="shared" si="12"/>
        <v>39970442945.26815</v>
      </c>
      <c r="AF24" s="49">
        <f t="shared" si="12"/>
        <v>42683151745.940659</v>
      </c>
      <c r="AG24" s="49">
        <f t="shared" si="12"/>
        <v>45579966313.149773</v>
      </c>
      <c r="AH24" s="49">
        <f t="shared" si="12"/>
        <v>48673381513.009987</v>
      </c>
      <c r="AI24" s="49">
        <f t="shared" si="12"/>
        <v>51976740211.577118</v>
      </c>
      <c r="AJ24" s="49">
        <f t="shared" si="12"/>
        <v>55504290826.797554</v>
      </c>
      <c r="AK24" s="49">
        <f t="shared" si="12"/>
        <v>59271248786.385658</v>
      </c>
      <c r="AL24" s="49">
        <f t="shared" si="12"/>
        <v>63293862156.716415</v>
      </c>
      <c r="AM24" s="49">
        <f t="shared" si="12"/>
        <v>67589481725.811119</v>
      </c>
      <c r="AN24" s="49">
        <f t="shared" si="12"/>
        <v>72176635842.70607</v>
      </c>
      <c r="AO24" s="49">
        <f t="shared" si="12"/>
        <v>77075110336.009689</v>
      </c>
      <c r="AP24" s="49">
        <f t="shared" si="12"/>
        <v>80109001356.332016</v>
      </c>
      <c r="AQ24" s="49">
        <f t="shared" si="12"/>
        <v>85545828596.149582</v>
      </c>
      <c r="AR24" s="49">
        <f t="shared" si="12"/>
        <v>91351641716.893829</v>
      </c>
      <c r="AS24" s="49">
        <f t="shared" si="12"/>
        <v>68918751132.638245</v>
      </c>
      <c r="AT24" s="49">
        <f>+W24</f>
        <v>24889975803</v>
      </c>
      <c r="AZ24" s="49">
        <f>+ROUND(E24*1000000,0)</f>
        <v>1.4624770719E+16</v>
      </c>
      <c r="BA24" s="49">
        <f t="shared" ref="BA24:BE39" si="13">+ROUND(F24*1000000,0)</f>
        <v>0</v>
      </c>
      <c r="BB24" s="49">
        <f t="shared" si="13"/>
        <v>0</v>
      </c>
      <c r="BC24" s="49">
        <f t="shared" si="13"/>
        <v>1.0265205084E+16</v>
      </c>
      <c r="BD24" s="49">
        <f t="shared" si="13"/>
        <v>0</v>
      </c>
      <c r="BE24" s="49">
        <f t="shared" si="13"/>
        <v>0</v>
      </c>
    </row>
    <row r="25" spans="1:57" s="49" customFormat="1" x14ac:dyDescent="0.25">
      <c r="A25" s="54">
        <f t="shared" si="8"/>
        <v>43100</v>
      </c>
      <c r="B25" s="53">
        <f t="shared" si="9"/>
        <v>5</v>
      </c>
      <c r="C25" s="99">
        <v>2017</v>
      </c>
      <c r="D25" s="101">
        <v>73596119932</v>
      </c>
      <c r="E25" s="49">
        <v>14624770719</v>
      </c>
      <c r="F25" s="49">
        <v>0</v>
      </c>
      <c r="G25" s="49">
        <v>0</v>
      </c>
      <c r="H25" s="49">
        <v>10265205084</v>
      </c>
      <c r="I25" s="49">
        <v>18769650752</v>
      </c>
      <c r="J25" s="49">
        <v>29936493377</v>
      </c>
      <c r="K25" s="104"/>
      <c r="N25" s="96">
        <v>1</v>
      </c>
      <c r="O25" s="58">
        <f t="shared" si="1"/>
        <v>73596119932</v>
      </c>
      <c r="P25" s="58">
        <f t="shared" si="2"/>
        <v>19276972.128657427</v>
      </c>
      <c r="Q25" s="58">
        <f t="shared" si="3"/>
        <v>34637359259.983337</v>
      </c>
      <c r="R25" s="74">
        <f t="shared" si="4"/>
        <v>0</v>
      </c>
      <c r="S25" s="59"/>
      <c r="T25" s="88"/>
      <c r="U25" s="10"/>
      <c r="V25" s="57">
        <f t="shared" si="5"/>
        <v>1245926654156.0403</v>
      </c>
      <c r="W25" s="49">
        <f t="shared" si="6"/>
        <v>73596119932</v>
      </c>
      <c r="X25" s="49">
        <f t="shared" ref="X25:AR25" si="14">+-PV($D$6,$B26-$B25,0,X26,0)</f>
        <v>26954659163.65012</v>
      </c>
      <c r="Y25" s="49">
        <f t="shared" si="14"/>
        <v>28784014450.817829</v>
      </c>
      <c r="Z25" s="49">
        <f t="shared" si="14"/>
        <v>30737524183.655602</v>
      </c>
      <c r="AA25" s="49">
        <f t="shared" si="14"/>
        <v>32823614459.864506</v>
      </c>
      <c r="AB25" s="49">
        <f t="shared" si="14"/>
        <v>35051283238.443726</v>
      </c>
      <c r="AC25" s="49">
        <f t="shared" si="14"/>
        <v>37430139150.698448</v>
      </c>
      <c r="AD25" s="49">
        <f t="shared" si="14"/>
        <v>39970442945.26815</v>
      </c>
      <c r="AE25" s="49">
        <f t="shared" si="14"/>
        <v>42683151745.940659</v>
      </c>
      <c r="AF25" s="49">
        <f t="shared" si="14"/>
        <v>45579966313.149773</v>
      </c>
      <c r="AG25" s="49">
        <f t="shared" si="14"/>
        <v>48673381513.009987</v>
      </c>
      <c r="AH25" s="49">
        <f t="shared" si="14"/>
        <v>51976740211.577118</v>
      </c>
      <c r="AI25" s="49">
        <f t="shared" si="14"/>
        <v>55504290826.797554</v>
      </c>
      <c r="AJ25" s="49">
        <f t="shared" si="14"/>
        <v>59271248786.385658</v>
      </c>
      <c r="AK25" s="49">
        <f t="shared" si="14"/>
        <v>63293862156.716415</v>
      </c>
      <c r="AL25" s="49">
        <f t="shared" si="14"/>
        <v>67589481725.811119</v>
      </c>
      <c r="AM25" s="49">
        <f t="shared" si="14"/>
        <v>72176635842.70607</v>
      </c>
      <c r="AN25" s="49">
        <f t="shared" si="14"/>
        <v>77075110336.009689</v>
      </c>
      <c r="AO25" s="49">
        <f t="shared" si="14"/>
        <v>82306033856.361877</v>
      </c>
      <c r="AP25" s="49">
        <f t="shared" si="14"/>
        <v>85545828596.149582</v>
      </c>
      <c r="AQ25" s="49">
        <f t="shared" si="14"/>
        <v>91351641716.893829</v>
      </c>
      <c r="AR25" s="49">
        <f t="shared" si="14"/>
        <v>97551483004.132721</v>
      </c>
      <c r="AS25" s="49">
        <f>+W25</f>
        <v>73596119932</v>
      </c>
      <c r="AZ25" s="49">
        <f t="shared" ref="AZ25:AZ46" si="15">+ROUND(E25*1000000,0)</f>
        <v>1.4624770719E+16</v>
      </c>
      <c r="BA25" s="49">
        <f t="shared" si="13"/>
        <v>0</v>
      </c>
      <c r="BB25" s="49">
        <f t="shared" si="13"/>
        <v>0</v>
      </c>
      <c r="BC25" s="49">
        <f t="shared" si="13"/>
        <v>1.0265205084E+16</v>
      </c>
      <c r="BD25" s="49">
        <f t="shared" si="13"/>
        <v>1.8769650752E+16</v>
      </c>
      <c r="BE25" s="49">
        <f t="shared" si="13"/>
        <v>2.9936493377E+16</v>
      </c>
    </row>
    <row r="26" spans="1:57" s="49" customFormat="1" x14ac:dyDescent="0.25">
      <c r="A26" s="54">
        <f t="shared" si="8"/>
        <v>43465</v>
      </c>
      <c r="B26" s="53">
        <f t="shared" si="9"/>
        <v>6</v>
      </c>
      <c r="C26" s="99">
        <v>2018</v>
      </c>
      <c r="D26" s="101">
        <v>104172094310</v>
      </c>
      <c r="E26" s="49">
        <v>14624770719</v>
      </c>
      <c r="F26" s="49">
        <v>30575974378</v>
      </c>
      <c r="G26" s="49">
        <v>0</v>
      </c>
      <c r="H26" s="49">
        <v>10265205084</v>
      </c>
      <c r="I26" s="49">
        <v>18769650752</v>
      </c>
      <c r="J26" s="49">
        <v>29936493377</v>
      </c>
      <c r="K26" s="104"/>
      <c r="N26" s="96">
        <v>1</v>
      </c>
      <c r="O26" s="58">
        <f t="shared" si="1"/>
        <v>104172094310</v>
      </c>
      <c r="P26" s="58">
        <f t="shared" si="2"/>
        <v>19276972.128657427</v>
      </c>
      <c r="Q26" s="58">
        <f t="shared" si="3"/>
        <v>65213333637.983337</v>
      </c>
      <c r="R26" s="74">
        <f t="shared" si="4"/>
        <v>0</v>
      </c>
      <c r="S26" s="59"/>
      <c r="T26" s="88"/>
      <c r="U26" s="10"/>
      <c r="V26" s="57">
        <f t="shared" si="5"/>
        <v>1251894109785.1448</v>
      </c>
      <c r="W26" s="49">
        <f t="shared" si="6"/>
        <v>104172094310</v>
      </c>
      <c r="X26" s="49">
        <f t="shared" ref="X26:AQ26" si="16">+-PV($D$6,$B27-$B26,0,X27,0)</f>
        <v>28784014450.817829</v>
      </c>
      <c r="Y26" s="49">
        <f t="shared" si="16"/>
        <v>30737524183.655602</v>
      </c>
      <c r="Z26" s="49">
        <f t="shared" si="16"/>
        <v>32823614459.864506</v>
      </c>
      <c r="AA26" s="49">
        <f t="shared" si="16"/>
        <v>35051283238.443726</v>
      </c>
      <c r="AB26" s="49">
        <f t="shared" si="16"/>
        <v>37430139150.698448</v>
      </c>
      <c r="AC26" s="49">
        <f t="shared" si="16"/>
        <v>39970442945.26815</v>
      </c>
      <c r="AD26" s="49">
        <f t="shared" si="16"/>
        <v>42683151745.940659</v>
      </c>
      <c r="AE26" s="49">
        <f t="shared" si="16"/>
        <v>45579966313.149773</v>
      </c>
      <c r="AF26" s="49">
        <f t="shared" si="16"/>
        <v>48673381513.009987</v>
      </c>
      <c r="AG26" s="49">
        <f t="shared" si="16"/>
        <v>51976740211.577118</v>
      </c>
      <c r="AH26" s="49">
        <f t="shared" si="16"/>
        <v>55504290826.797554</v>
      </c>
      <c r="AI26" s="49">
        <f t="shared" si="16"/>
        <v>59271248786.385658</v>
      </c>
      <c r="AJ26" s="49">
        <f t="shared" si="16"/>
        <v>63293862156.716415</v>
      </c>
      <c r="AK26" s="49">
        <f t="shared" si="16"/>
        <v>67589481725.811119</v>
      </c>
      <c r="AL26" s="49">
        <f t="shared" si="16"/>
        <v>72176635842.70607</v>
      </c>
      <c r="AM26" s="49">
        <f t="shared" si="16"/>
        <v>77075110336.009689</v>
      </c>
      <c r="AN26" s="49">
        <f t="shared" si="16"/>
        <v>82306033856.361877</v>
      </c>
      <c r="AO26" s="49">
        <f t="shared" si="16"/>
        <v>87891969010.904221</v>
      </c>
      <c r="AP26" s="49">
        <f t="shared" si="16"/>
        <v>91351641716.893829</v>
      </c>
      <c r="AQ26" s="49">
        <f t="shared" si="16"/>
        <v>97551483004.132721</v>
      </c>
      <c r="AR26" s="49">
        <f>+W26</f>
        <v>104172094310</v>
      </c>
      <c r="AZ26" s="49">
        <f t="shared" si="15"/>
        <v>1.4624770719E+16</v>
      </c>
      <c r="BA26" s="49">
        <f t="shared" si="13"/>
        <v>3.0575974378E+16</v>
      </c>
      <c r="BB26" s="49">
        <f t="shared" si="13"/>
        <v>0</v>
      </c>
      <c r="BC26" s="49">
        <f t="shared" si="13"/>
        <v>1.0265205084E+16</v>
      </c>
      <c r="BD26" s="49">
        <f t="shared" si="13"/>
        <v>1.8769650752E+16</v>
      </c>
      <c r="BE26" s="49">
        <f t="shared" si="13"/>
        <v>2.9936493377E+16</v>
      </c>
    </row>
    <row r="27" spans="1:57" s="49" customFormat="1" x14ac:dyDescent="0.25">
      <c r="A27" s="54">
        <f t="shared" si="8"/>
        <v>43830</v>
      </c>
      <c r="B27" s="53">
        <f t="shared" si="9"/>
        <v>7</v>
      </c>
      <c r="C27" s="99">
        <v>2019</v>
      </c>
      <c r="D27" s="101">
        <v>104172094310</v>
      </c>
      <c r="E27" s="49">
        <v>14624770719</v>
      </c>
      <c r="F27" s="49">
        <v>30575974378</v>
      </c>
      <c r="G27" s="49">
        <v>0</v>
      </c>
      <c r="H27" s="49">
        <v>10265205084</v>
      </c>
      <c r="I27" s="49">
        <v>18769650752</v>
      </c>
      <c r="J27" s="49">
        <v>29936493377</v>
      </c>
      <c r="K27" s="104"/>
      <c r="N27" s="96">
        <v>1</v>
      </c>
      <c r="O27" s="58">
        <f t="shared" si="1"/>
        <v>104172094310</v>
      </c>
      <c r="P27" s="58">
        <f t="shared" si="2"/>
        <v>19276972.128657427</v>
      </c>
      <c r="Q27" s="58">
        <f t="shared" si="3"/>
        <v>65213333637.983337</v>
      </c>
      <c r="R27" s="74">
        <f t="shared" si="4"/>
        <v>0</v>
      </c>
      <c r="S27" s="59"/>
      <c r="T27" s="88"/>
      <c r="U27" s="10"/>
      <c r="V27" s="57">
        <f t="shared" si="5"/>
        <v>1225615463300.2859</v>
      </c>
      <c r="W27" s="49">
        <f t="shared" si="6"/>
        <v>104172094310</v>
      </c>
      <c r="X27" s="49">
        <f t="shared" ref="X27:AP27" si="17">+-PV($D$6,$B28-$B27,0,X28,0)</f>
        <v>30737524183.655602</v>
      </c>
      <c r="Y27" s="49">
        <f t="shared" si="17"/>
        <v>32823614459.864506</v>
      </c>
      <c r="Z27" s="49">
        <f t="shared" si="17"/>
        <v>35051283238.443726</v>
      </c>
      <c r="AA27" s="49">
        <f t="shared" si="17"/>
        <v>37430139150.698448</v>
      </c>
      <c r="AB27" s="49">
        <f t="shared" si="17"/>
        <v>39970442945.26815</v>
      </c>
      <c r="AC27" s="49">
        <f t="shared" si="17"/>
        <v>42683151745.940659</v>
      </c>
      <c r="AD27" s="49">
        <f t="shared" si="17"/>
        <v>45579966313.149773</v>
      </c>
      <c r="AE27" s="49">
        <f t="shared" si="17"/>
        <v>48673381513.009987</v>
      </c>
      <c r="AF27" s="49">
        <f t="shared" si="17"/>
        <v>51976740211.577118</v>
      </c>
      <c r="AG27" s="49">
        <f t="shared" si="17"/>
        <v>55504290826.797554</v>
      </c>
      <c r="AH27" s="49">
        <f t="shared" si="17"/>
        <v>59271248786.385658</v>
      </c>
      <c r="AI27" s="49">
        <f t="shared" si="17"/>
        <v>63293862156.716415</v>
      </c>
      <c r="AJ27" s="49">
        <f t="shared" si="17"/>
        <v>67589481725.811119</v>
      </c>
      <c r="AK27" s="49">
        <f t="shared" si="17"/>
        <v>72176635842.70607</v>
      </c>
      <c r="AL27" s="49">
        <f t="shared" si="17"/>
        <v>77075110336.009689</v>
      </c>
      <c r="AM27" s="49">
        <f t="shared" si="17"/>
        <v>82306033856.361877</v>
      </c>
      <c r="AN27" s="49">
        <f t="shared" si="17"/>
        <v>87891969010.904221</v>
      </c>
      <c r="AO27" s="49">
        <f t="shared" si="17"/>
        <v>93857009682.85257</v>
      </c>
      <c r="AP27" s="49">
        <f t="shared" si="17"/>
        <v>97551483004.132721</v>
      </c>
      <c r="AQ27" s="49">
        <f>+W27</f>
        <v>104172094310</v>
      </c>
      <c r="AZ27" s="49">
        <f t="shared" si="15"/>
        <v>1.4624770719E+16</v>
      </c>
      <c r="BA27" s="49">
        <f t="shared" si="13"/>
        <v>3.0575974378E+16</v>
      </c>
      <c r="BB27" s="49">
        <f t="shared" si="13"/>
        <v>0</v>
      </c>
      <c r="BC27" s="49">
        <f t="shared" si="13"/>
        <v>1.0265205084E+16</v>
      </c>
      <c r="BD27" s="49">
        <f t="shared" si="13"/>
        <v>1.8769650752E+16</v>
      </c>
      <c r="BE27" s="49">
        <f t="shared" si="13"/>
        <v>2.9936493377E+16</v>
      </c>
    </row>
    <row r="28" spans="1:57" s="49" customFormat="1" x14ac:dyDescent="0.25">
      <c r="A28" s="54">
        <f t="shared" si="8"/>
        <v>44196</v>
      </c>
      <c r="B28" s="53">
        <f t="shared" si="9"/>
        <v>8</v>
      </c>
      <c r="C28" s="99">
        <v>2020</v>
      </c>
      <c r="D28" s="101">
        <v>104172094310</v>
      </c>
      <c r="E28" s="49">
        <v>14624770719</v>
      </c>
      <c r="F28" s="49">
        <v>30575974378</v>
      </c>
      <c r="G28" s="49">
        <v>0</v>
      </c>
      <c r="H28" s="49">
        <v>10265205084</v>
      </c>
      <c r="I28" s="49">
        <v>18769650752</v>
      </c>
      <c r="J28" s="49">
        <v>29936493377</v>
      </c>
      <c r="K28" s="104"/>
      <c r="N28" s="96">
        <v>1</v>
      </c>
      <c r="O28" s="58">
        <f t="shared" si="1"/>
        <v>104172094310</v>
      </c>
      <c r="P28" s="58">
        <f t="shared" si="2"/>
        <v>19276972.128657427</v>
      </c>
      <c r="Q28" s="58">
        <f t="shared" si="3"/>
        <v>65213333637.983337</v>
      </c>
      <c r="R28" s="74">
        <f t="shared" si="4"/>
        <v>0</v>
      </c>
      <c r="S28" s="59"/>
      <c r="T28" s="88"/>
      <c r="U28" s="10"/>
      <c r="V28" s="57">
        <f t="shared" si="5"/>
        <v>1197553341068.439</v>
      </c>
      <c r="W28" s="49">
        <f t="shared" si="6"/>
        <v>104172094310</v>
      </c>
      <c r="X28" s="49">
        <f t="shared" ref="X28:AO28" si="18">+-PV($D$6,$B29-$B28,0,X29,0)</f>
        <v>32823614459.864506</v>
      </c>
      <c r="Y28" s="49">
        <f t="shared" si="18"/>
        <v>35051283238.443726</v>
      </c>
      <c r="Z28" s="49">
        <f t="shared" si="18"/>
        <v>37430139150.698448</v>
      </c>
      <c r="AA28" s="49">
        <f t="shared" si="18"/>
        <v>39970442945.26815</v>
      </c>
      <c r="AB28" s="49">
        <f t="shared" si="18"/>
        <v>42683151745.940659</v>
      </c>
      <c r="AC28" s="49">
        <f t="shared" si="18"/>
        <v>45579966313.149773</v>
      </c>
      <c r="AD28" s="49">
        <f t="shared" si="18"/>
        <v>48673381513.009987</v>
      </c>
      <c r="AE28" s="49">
        <f t="shared" si="18"/>
        <v>51976740211.577118</v>
      </c>
      <c r="AF28" s="49">
        <f t="shared" si="18"/>
        <v>55504290826.797554</v>
      </c>
      <c r="AG28" s="49">
        <f t="shared" si="18"/>
        <v>59271248786.385658</v>
      </c>
      <c r="AH28" s="49">
        <f t="shared" si="18"/>
        <v>63293862156.716415</v>
      </c>
      <c r="AI28" s="49">
        <f t="shared" si="18"/>
        <v>67589481725.811119</v>
      </c>
      <c r="AJ28" s="49">
        <f t="shared" si="18"/>
        <v>72176635842.70607</v>
      </c>
      <c r="AK28" s="49">
        <f t="shared" si="18"/>
        <v>77075110336.009689</v>
      </c>
      <c r="AL28" s="49">
        <f t="shared" si="18"/>
        <v>82306033856.361877</v>
      </c>
      <c r="AM28" s="49">
        <f t="shared" si="18"/>
        <v>87891969010.904221</v>
      </c>
      <c r="AN28" s="49">
        <f t="shared" si="18"/>
        <v>93857009682.85257</v>
      </c>
      <c r="AO28" s="49">
        <f t="shared" si="18"/>
        <v>100226884955.94159</v>
      </c>
      <c r="AP28" s="49">
        <f>+W28</f>
        <v>104172094310</v>
      </c>
      <c r="AZ28" s="49">
        <f t="shared" si="15"/>
        <v>1.4624770719E+16</v>
      </c>
      <c r="BA28" s="49">
        <f t="shared" si="13"/>
        <v>3.0575974378E+16</v>
      </c>
      <c r="BB28" s="49">
        <f t="shared" si="13"/>
        <v>0</v>
      </c>
      <c r="BC28" s="49">
        <f t="shared" si="13"/>
        <v>1.0265205084E+16</v>
      </c>
      <c r="BD28" s="49">
        <f t="shared" si="13"/>
        <v>1.8769650752E+16</v>
      </c>
      <c r="BE28" s="49">
        <f t="shared" si="13"/>
        <v>2.9936493377E+16</v>
      </c>
    </row>
    <row r="29" spans="1:57" s="49" customFormat="1" x14ac:dyDescent="0.25">
      <c r="A29" s="54">
        <f t="shared" si="8"/>
        <v>44561</v>
      </c>
      <c r="B29" s="53">
        <f t="shared" si="9"/>
        <v>9</v>
      </c>
      <c r="C29" s="99">
        <v>2021</v>
      </c>
      <c r="D29" s="101">
        <v>107029070092</v>
      </c>
      <c r="E29" s="49">
        <v>14624770719</v>
      </c>
      <c r="F29" s="49">
        <v>30575974378</v>
      </c>
      <c r="G29" s="49">
        <v>2856975782</v>
      </c>
      <c r="H29" s="49">
        <v>10265205084</v>
      </c>
      <c r="I29" s="49">
        <v>18769650752</v>
      </c>
      <c r="J29" s="49">
        <v>29936493377</v>
      </c>
      <c r="K29" s="104"/>
      <c r="N29" s="96">
        <v>1</v>
      </c>
      <c r="O29" s="58">
        <f t="shared" si="1"/>
        <v>107029070092</v>
      </c>
      <c r="P29" s="58">
        <f t="shared" si="2"/>
        <v>19276972.128657427</v>
      </c>
      <c r="Q29" s="58">
        <f t="shared" si="3"/>
        <v>68070309419.983337</v>
      </c>
      <c r="R29" s="74">
        <f t="shared" si="4"/>
        <v>0</v>
      </c>
      <c r="S29" s="59"/>
      <c r="T29" s="88"/>
      <c r="U29" s="10"/>
      <c r="V29" s="57">
        <f t="shared" si="5"/>
        <v>1167586702390.5745</v>
      </c>
      <c r="W29" s="49">
        <f t="shared" si="6"/>
        <v>107029070092</v>
      </c>
      <c r="X29" s="49">
        <f t="shared" ref="X29:AN29" si="19">+-PV($D$6,$B30-$B29,0,X30,0)</f>
        <v>35051283238.443726</v>
      </c>
      <c r="Y29" s="49">
        <f t="shared" si="19"/>
        <v>37430139150.698448</v>
      </c>
      <c r="Z29" s="49">
        <f t="shared" si="19"/>
        <v>39970442945.26815</v>
      </c>
      <c r="AA29" s="49">
        <f t="shared" si="19"/>
        <v>42683151745.940659</v>
      </c>
      <c r="AB29" s="49">
        <f t="shared" si="19"/>
        <v>45579966313.149773</v>
      </c>
      <c r="AC29" s="49">
        <f t="shared" si="19"/>
        <v>48673381513.009987</v>
      </c>
      <c r="AD29" s="49">
        <f t="shared" si="19"/>
        <v>51976740211.577118</v>
      </c>
      <c r="AE29" s="49">
        <f t="shared" si="19"/>
        <v>55504290826.797554</v>
      </c>
      <c r="AF29" s="49">
        <f t="shared" si="19"/>
        <v>59271248786.385658</v>
      </c>
      <c r="AG29" s="49">
        <f t="shared" si="19"/>
        <v>63293862156.716415</v>
      </c>
      <c r="AH29" s="49">
        <f t="shared" si="19"/>
        <v>67589481725.811119</v>
      </c>
      <c r="AI29" s="49">
        <f t="shared" si="19"/>
        <v>72176635842.70607</v>
      </c>
      <c r="AJ29" s="49">
        <f t="shared" si="19"/>
        <v>77075110336.009689</v>
      </c>
      <c r="AK29" s="49">
        <f t="shared" si="19"/>
        <v>82306033856.361877</v>
      </c>
      <c r="AL29" s="49">
        <f t="shared" si="19"/>
        <v>87891969010.904221</v>
      </c>
      <c r="AM29" s="49">
        <f t="shared" si="19"/>
        <v>93857009682.85257</v>
      </c>
      <c r="AN29" s="49">
        <f t="shared" si="19"/>
        <v>100226884955.94159</v>
      </c>
      <c r="AO29" s="49">
        <f>+W29</f>
        <v>107029070092</v>
      </c>
      <c r="AZ29" s="49">
        <f t="shared" si="15"/>
        <v>1.4624770719E+16</v>
      </c>
      <c r="BA29" s="49">
        <f t="shared" si="13"/>
        <v>3.0575974378E+16</v>
      </c>
      <c r="BB29" s="49">
        <f t="shared" si="13"/>
        <v>2856975782000000</v>
      </c>
      <c r="BC29" s="49">
        <f t="shared" si="13"/>
        <v>1.0265205084E+16</v>
      </c>
      <c r="BD29" s="49">
        <f t="shared" si="13"/>
        <v>1.8769650752E+16</v>
      </c>
      <c r="BE29" s="49">
        <f t="shared" si="13"/>
        <v>2.9936493377E+16</v>
      </c>
    </row>
    <row r="30" spans="1:57" s="49" customFormat="1" x14ac:dyDescent="0.25">
      <c r="A30" s="54">
        <f t="shared" si="8"/>
        <v>44926</v>
      </c>
      <c r="B30" s="53">
        <f t="shared" si="9"/>
        <v>10</v>
      </c>
      <c r="C30" s="99">
        <v>2022</v>
      </c>
      <c r="D30" s="101">
        <v>107029070092</v>
      </c>
      <c r="E30" s="49">
        <v>14624770719</v>
      </c>
      <c r="F30" s="49">
        <v>30575974378</v>
      </c>
      <c r="G30" s="49">
        <v>2856975782</v>
      </c>
      <c r="H30" s="49">
        <v>10265205084</v>
      </c>
      <c r="I30" s="49">
        <v>18769650752</v>
      </c>
      <c r="J30" s="49">
        <v>29936493377</v>
      </c>
      <c r="K30" s="104"/>
      <c r="N30" s="96">
        <v>1</v>
      </c>
      <c r="O30" s="58">
        <f t="shared" si="1"/>
        <v>107029070092</v>
      </c>
      <c r="P30" s="58">
        <f t="shared" si="2"/>
        <v>19276972.128657427</v>
      </c>
      <c r="Q30" s="58">
        <f t="shared" si="3"/>
        <v>68070309419.983337</v>
      </c>
      <c r="R30" s="74">
        <f t="shared" si="4"/>
        <v>0</v>
      </c>
      <c r="S30" s="59"/>
      <c r="T30" s="88"/>
      <c r="U30" s="10"/>
      <c r="V30" s="57">
        <f t="shared" si="5"/>
        <v>1132535419152.1309</v>
      </c>
      <c r="W30" s="49">
        <f t="shared" si="6"/>
        <v>107029070092</v>
      </c>
      <c r="X30" s="49">
        <f t="shared" ref="X30:AM30" si="20">+-PV($D$6,$B31-$B30,0,X31,0)</f>
        <v>37430139150.698448</v>
      </c>
      <c r="Y30" s="49">
        <f t="shared" si="20"/>
        <v>39970442945.26815</v>
      </c>
      <c r="Z30" s="49">
        <f t="shared" si="20"/>
        <v>42683151745.940659</v>
      </c>
      <c r="AA30" s="49">
        <f t="shared" si="20"/>
        <v>45579966313.149773</v>
      </c>
      <c r="AB30" s="49">
        <f t="shared" si="20"/>
        <v>48673381513.009987</v>
      </c>
      <c r="AC30" s="49">
        <f t="shared" si="20"/>
        <v>51976740211.577118</v>
      </c>
      <c r="AD30" s="49">
        <f t="shared" si="20"/>
        <v>55504290826.797554</v>
      </c>
      <c r="AE30" s="49">
        <f t="shared" si="20"/>
        <v>59271248786.385658</v>
      </c>
      <c r="AF30" s="49">
        <f t="shared" si="20"/>
        <v>63293862156.716415</v>
      </c>
      <c r="AG30" s="49">
        <f t="shared" si="20"/>
        <v>67589481725.811119</v>
      </c>
      <c r="AH30" s="49">
        <f t="shared" si="20"/>
        <v>72176635842.70607</v>
      </c>
      <c r="AI30" s="49">
        <f t="shared" si="20"/>
        <v>77075110336.009689</v>
      </c>
      <c r="AJ30" s="49">
        <f t="shared" si="20"/>
        <v>82306033856.361877</v>
      </c>
      <c r="AK30" s="49">
        <f t="shared" si="20"/>
        <v>87891969010.904221</v>
      </c>
      <c r="AL30" s="49">
        <f t="shared" si="20"/>
        <v>93857009682.85257</v>
      </c>
      <c r="AM30" s="49">
        <f t="shared" si="20"/>
        <v>100226884955.94159</v>
      </c>
      <c r="AN30" s="49">
        <f>+W30</f>
        <v>107029070092</v>
      </c>
      <c r="AZ30" s="49">
        <f t="shared" si="15"/>
        <v>1.4624770719E+16</v>
      </c>
      <c r="BA30" s="49">
        <f t="shared" si="13"/>
        <v>3.0575974378E+16</v>
      </c>
      <c r="BB30" s="49">
        <f t="shared" si="13"/>
        <v>2856975782000000</v>
      </c>
      <c r="BC30" s="49">
        <f t="shared" si="13"/>
        <v>1.0265205084E+16</v>
      </c>
      <c r="BD30" s="49">
        <f t="shared" si="13"/>
        <v>1.8769650752E+16</v>
      </c>
      <c r="BE30" s="49">
        <f t="shared" si="13"/>
        <v>2.9936493377E+16</v>
      </c>
    </row>
    <row r="31" spans="1:57" s="49" customFormat="1" x14ac:dyDescent="0.25">
      <c r="A31" s="54">
        <f t="shared" si="8"/>
        <v>45291</v>
      </c>
      <c r="B31" s="53">
        <f t="shared" si="9"/>
        <v>11</v>
      </c>
      <c r="C31" s="99">
        <v>2023</v>
      </c>
      <c r="D31" s="101">
        <v>107029070092</v>
      </c>
      <c r="E31" s="49">
        <v>14624770719</v>
      </c>
      <c r="F31" s="49">
        <v>30575974378</v>
      </c>
      <c r="G31" s="49">
        <v>2856975782</v>
      </c>
      <c r="H31" s="49">
        <v>10265205084</v>
      </c>
      <c r="I31" s="49">
        <v>18769650752</v>
      </c>
      <c r="J31" s="49">
        <v>29936493377</v>
      </c>
      <c r="K31" s="104"/>
      <c r="N31" s="96">
        <v>1</v>
      </c>
      <c r="O31" s="58">
        <f t="shared" si="1"/>
        <v>107029070092</v>
      </c>
      <c r="P31" s="58">
        <f t="shared" si="2"/>
        <v>19276972.128657427</v>
      </c>
      <c r="Q31" s="58">
        <f t="shared" si="3"/>
        <v>68070309419.983337</v>
      </c>
      <c r="R31" s="74">
        <f t="shared" si="4"/>
        <v>0</v>
      </c>
      <c r="S31" s="59"/>
      <c r="T31" s="88"/>
      <c r="U31" s="10"/>
      <c r="V31" s="57">
        <f t="shared" si="5"/>
        <v>1095105280001.4324</v>
      </c>
      <c r="W31" s="49">
        <f t="shared" si="6"/>
        <v>107029070092</v>
      </c>
      <c r="X31" s="49">
        <f t="shared" ref="X31:AL31" si="21">+-PV($D$6,$B32-$B31,0,X32,0)</f>
        <v>39970442945.26815</v>
      </c>
      <c r="Y31" s="49">
        <f t="shared" si="21"/>
        <v>42683151745.940659</v>
      </c>
      <c r="Z31" s="49">
        <f t="shared" si="21"/>
        <v>45579966313.149773</v>
      </c>
      <c r="AA31" s="49">
        <f t="shared" si="21"/>
        <v>48673381513.009987</v>
      </c>
      <c r="AB31" s="49">
        <f t="shared" si="21"/>
        <v>51976740211.577118</v>
      </c>
      <c r="AC31" s="49">
        <f t="shared" si="21"/>
        <v>55504290826.797554</v>
      </c>
      <c r="AD31" s="49">
        <f t="shared" si="21"/>
        <v>59271248786.385658</v>
      </c>
      <c r="AE31" s="49">
        <f t="shared" si="21"/>
        <v>63293862156.716415</v>
      </c>
      <c r="AF31" s="49">
        <f t="shared" si="21"/>
        <v>67589481725.811119</v>
      </c>
      <c r="AG31" s="49">
        <f t="shared" si="21"/>
        <v>72176635842.70607</v>
      </c>
      <c r="AH31" s="49">
        <f t="shared" si="21"/>
        <v>77075110336.009689</v>
      </c>
      <c r="AI31" s="49">
        <f t="shared" si="21"/>
        <v>82306033856.361877</v>
      </c>
      <c r="AJ31" s="49">
        <f t="shared" si="21"/>
        <v>87891969010.904221</v>
      </c>
      <c r="AK31" s="49">
        <f t="shared" si="21"/>
        <v>93857009682.85257</v>
      </c>
      <c r="AL31" s="49">
        <f t="shared" si="21"/>
        <v>100226884955.94159</v>
      </c>
      <c r="AM31" s="49">
        <f>+W31</f>
        <v>107029070092</v>
      </c>
      <c r="AZ31" s="49">
        <f t="shared" si="15"/>
        <v>1.4624770719E+16</v>
      </c>
      <c r="BA31" s="49">
        <f t="shared" si="13"/>
        <v>3.0575974378E+16</v>
      </c>
      <c r="BB31" s="49">
        <f t="shared" si="13"/>
        <v>2856975782000000</v>
      </c>
      <c r="BC31" s="49">
        <f t="shared" si="13"/>
        <v>1.0265205084E+16</v>
      </c>
      <c r="BD31" s="49">
        <f t="shared" si="13"/>
        <v>1.8769650752E+16</v>
      </c>
      <c r="BE31" s="49">
        <f t="shared" si="13"/>
        <v>2.9936493377E+16</v>
      </c>
    </row>
    <row r="32" spans="1:57" s="49" customFormat="1" x14ac:dyDescent="0.25">
      <c r="A32" s="54">
        <f t="shared" si="8"/>
        <v>45657</v>
      </c>
      <c r="B32" s="53">
        <f t="shared" si="9"/>
        <v>12</v>
      </c>
      <c r="C32" s="99">
        <v>2024</v>
      </c>
      <c r="D32" s="101">
        <v>107029070092</v>
      </c>
      <c r="E32" s="49">
        <v>14624770719</v>
      </c>
      <c r="F32" s="49">
        <v>30575974378</v>
      </c>
      <c r="G32" s="49">
        <v>2856975782</v>
      </c>
      <c r="H32" s="49">
        <v>10265205084</v>
      </c>
      <c r="I32" s="49">
        <v>18769650752</v>
      </c>
      <c r="J32" s="49">
        <v>29936493377</v>
      </c>
      <c r="K32" s="104"/>
      <c r="N32" s="96">
        <v>1</v>
      </c>
      <c r="O32" s="58">
        <f t="shared" si="1"/>
        <v>107029070092</v>
      </c>
      <c r="P32" s="58">
        <f t="shared" si="2"/>
        <v>19276972.128657427</v>
      </c>
      <c r="Q32" s="58">
        <f t="shared" si="3"/>
        <v>68070309419.983337</v>
      </c>
      <c r="R32" s="74">
        <f t="shared" si="4"/>
        <v>0</v>
      </c>
      <c r="S32" s="59"/>
      <c r="T32" s="88"/>
      <c r="U32" s="10"/>
      <c r="V32" s="57">
        <f t="shared" si="5"/>
        <v>1055134837056.1641</v>
      </c>
      <c r="W32" s="49">
        <f t="shared" si="6"/>
        <v>107029070092</v>
      </c>
      <c r="X32" s="49">
        <f t="shared" ref="X32:AK32" si="22">+-PV($D$6,$B33-$B32,0,X33,0)</f>
        <v>42683151745.940659</v>
      </c>
      <c r="Y32" s="49">
        <f t="shared" si="22"/>
        <v>45579966313.149773</v>
      </c>
      <c r="Z32" s="49">
        <f t="shared" si="22"/>
        <v>48673381513.009987</v>
      </c>
      <c r="AA32" s="49">
        <f t="shared" si="22"/>
        <v>51976740211.577118</v>
      </c>
      <c r="AB32" s="49">
        <f t="shared" si="22"/>
        <v>55504290826.797554</v>
      </c>
      <c r="AC32" s="49">
        <f t="shared" si="22"/>
        <v>59271248786.385658</v>
      </c>
      <c r="AD32" s="49">
        <f t="shared" si="22"/>
        <v>63293862156.716415</v>
      </c>
      <c r="AE32" s="49">
        <f t="shared" si="22"/>
        <v>67589481725.811119</v>
      </c>
      <c r="AF32" s="49">
        <f t="shared" si="22"/>
        <v>72176635842.70607</v>
      </c>
      <c r="AG32" s="49">
        <f t="shared" si="22"/>
        <v>77075110336.009689</v>
      </c>
      <c r="AH32" s="49">
        <f t="shared" si="22"/>
        <v>82306033856.361877</v>
      </c>
      <c r="AI32" s="49">
        <f t="shared" si="22"/>
        <v>87891969010.904221</v>
      </c>
      <c r="AJ32" s="49">
        <f t="shared" si="22"/>
        <v>93857009682.85257</v>
      </c>
      <c r="AK32" s="49">
        <f t="shared" si="22"/>
        <v>100226884955.94159</v>
      </c>
      <c r="AL32" s="49">
        <f>+W32</f>
        <v>107029070092</v>
      </c>
      <c r="AZ32" s="49">
        <f t="shared" si="15"/>
        <v>1.4624770719E+16</v>
      </c>
      <c r="BA32" s="49">
        <f t="shared" si="13"/>
        <v>3.0575974378E+16</v>
      </c>
      <c r="BB32" s="49">
        <f t="shared" si="13"/>
        <v>2856975782000000</v>
      </c>
      <c r="BC32" s="49">
        <f t="shared" si="13"/>
        <v>1.0265205084E+16</v>
      </c>
      <c r="BD32" s="49">
        <f t="shared" si="13"/>
        <v>1.8769650752E+16</v>
      </c>
      <c r="BE32" s="49">
        <f t="shared" si="13"/>
        <v>2.9936493377E+16</v>
      </c>
    </row>
    <row r="33" spans="1:57" s="49" customFormat="1" x14ac:dyDescent="0.25">
      <c r="A33" s="54">
        <f t="shared" si="8"/>
        <v>46022</v>
      </c>
      <c r="B33" s="53">
        <f t="shared" si="9"/>
        <v>13</v>
      </c>
      <c r="C33" s="99">
        <v>2025</v>
      </c>
      <c r="D33" s="101">
        <v>107029070092</v>
      </c>
      <c r="E33" s="49">
        <v>14624770719</v>
      </c>
      <c r="F33" s="49">
        <v>30575974378</v>
      </c>
      <c r="G33" s="49">
        <v>2856975782</v>
      </c>
      <c r="H33" s="49">
        <v>10265205084</v>
      </c>
      <c r="I33" s="49">
        <v>18769650752</v>
      </c>
      <c r="J33" s="49">
        <v>29936493377</v>
      </c>
      <c r="K33" s="104"/>
      <c r="N33" s="96">
        <v>1</v>
      </c>
      <c r="O33" s="58">
        <f t="shared" si="1"/>
        <v>107029070092</v>
      </c>
      <c r="P33" s="58">
        <f t="shared" si="2"/>
        <v>19276972.128657427</v>
      </c>
      <c r="Q33" s="58">
        <f t="shared" si="3"/>
        <v>68070309419.983337</v>
      </c>
      <c r="R33" s="74">
        <f t="shared" si="4"/>
        <v>0</v>
      </c>
      <c r="S33" s="59"/>
      <c r="T33" s="88"/>
      <c r="U33" s="10"/>
      <c r="V33" s="57">
        <f t="shared" si="5"/>
        <v>1012451685310.2234</v>
      </c>
      <c r="W33" s="49">
        <f t="shared" si="6"/>
        <v>107029070092</v>
      </c>
      <c r="X33" s="49">
        <f t="shared" ref="X33:AJ33" si="23">+-PV($D$6,$B34-$B33,0,X34,0)</f>
        <v>45579966313.149773</v>
      </c>
      <c r="Y33" s="49">
        <f t="shared" si="23"/>
        <v>48673381513.009987</v>
      </c>
      <c r="Z33" s="49">
        <f t="shared" si="23"/>
        <v>51976740211.577118</v>
      </c>
      <c r="AA33" s="49">
        <f t="shared" si="23"/>
        <v>55504290826.797554</v>
      </c>
      <c r="AB33" s="49">
        <f t="shared" si="23"/>
        <v>59271248786.385658</v>
      </c>
      <c r="AC33" s="49">
        <f t="shared" si="23"/>
        <v>63293862156.716415</v>
      </c>
      <c r="AD33" s="49">
        <f t="shared" si="23"/>
        <v>67589481725.811119</v>
      </c>
      <c r="AE33" s="49">
        <f t="shared" si="23"/>
        <v>72176635842.70607</v>
      </c>
      <c r="AF33" s="49">
        <f t="shared" si="23"/>
        <v>77075110336.009689</v>
      </c>
      <c r="AG33" s="49">
        <f t="shared" si="23"/>
        <v>82306033856.361877</v>
      </c>
      <c r="AH33" s="49">
        <f t="shared" si="23"/>
        <v>87891969010.904221</v>
      </c>
      <c r="AI33" s="49">
        <f t="shared" si="23"/>
        <v>93857009682.85257</v>
      </c>
      <c r="AJ33" s="49">
        <f t="shared" si="23"/>
        <v>100226884955.94159</v>
      </c>
      <c r="AK33" s="49">
        <f>+W33</f>
        <v>107029070092</v>
      </c>
      <c r="AZ33" s="49">
        <f t="shared" si="15"/>
        <v>1.4624770719E+16</v>
      </c>
      <c r="BA33" s="49">
        <f t="shared" si="13"/>
        <v>3.0575974378E+16</v>
      </c>
      <c r="BB33" s="49">
        <f t="shared" si="13"/>
        <v>2856975782000000</v>
      </c>
      <c r="BC33" s="49">
        <f t="shared" si="13"/>
        <v>1.0265205084E+16</v>
      </c>
      <c r="BD33" s="49">
        <f t="shared" si="13"/>
        <v>1.8769650752E+16</v>
      </c>
      <c r="BE33" s="49">
        <f t="shared" si="13"/>
        <v>2.9936493377E+16</v>
      </c>
    </row>
    <row r="34" spans="1:57" s="49" customFormat="1" x14ac:dyDescent="0.25">
      <c r="A34" s="54">
        <f t="shared" si="8"/>
        <v>46387</v>
      </c>
      <c r="B34" s="53">
        <f t="shared" si="9"/>
        <v>14</v>
      </c>
      <c r="C34" s="99">
        <v>2026</v>
      </c>
      <c r="D34" s="101">
        <v>107029070092</v>
      </c>
      <c r="E34" s="49">
        <v>14624770719</v>
      </c>
      <c r="F34" s="49">
        <v>30575974378</v>
      </c>
      <c r="G34" s="49">
        <v>2856975782</v>
      </c>
      <c r="H34" s="49">
        <v>10265205084</v>
      </c>
      <c r="I34" s="49">
        <v>18769650752</v>
      </c>
      <c r="J34" s="49">
        <v>29936493377</v>
      </c>
      <c r="K34" s="104"/>
      <c r="N34" s="96">
        <v>1</v>
      </c>
      <c r="O34" s="58">
        <f t="shared" si="1"/>
        <v>107029070092</v>
      </c>
      <c r="P34" s="58">
        <f t="shared" si="2"/>
        <v>19276972.128657427</v>
      </c>
      <c r="Q34" s="58">
        <f t="shared" si="3"/>
        <v>68070309419.983337</v>
      </c>
      <c r="R34" s="74">
        <f t="shared" si="4"/>
        <v>0</v>
      </c>
      <c r="S34" s="59"/>
      <c r="T34" s="88"/>
      <c r="U34" s="10"/>
      <c r="V34" s="57">
        <f t="shared" si="5"/>
        <v>966871718997.07373</v>
      </c>
      <c r="W34" s="49">
        <f t="shared" si="6"/>
        <v>107029070092</v>
      </c>
      <c r="X34" s="49">
        <f t="shared" ref="X34:AI34" si="24">+-PV($D$6,$B35-$B34,0,X35,0)</f>
        <v>48673381513.009987</v>
      </c>
      <c r="Y34" s="49">
        <f t="shared" si="24"/>
        <v>51976740211.577118</v>
      </c>
      <c r="Z34" s="49">
        <f t="shared" si="24"/>
        <v>55504290826.797554</v>
      </c>
      <c r="AA34" s="49">
        <f t="shared" si="24"/>
        <v>59271248786.385658</v>
      </c>
      <c r="AB34" s="49">
        <f t="shared" si="24"/>
        <v>63293862156.716415</v>
      </c>
      <c r="AC34" s="49">
        <f t="shared" si="24"/>
        <v>67589481725.811119</v>
      </c>
      <c r="AD34" s="49">
        <f t="shared" si="24"/>
        <v>72176635842.70607</v>
      </c>
      <c r="AE34" s="49">
        <f t="shared" si="24"/>
        <v>77075110336.009689</v>
      </c>
      <c r="AF34" s="49">
        <f t="shared" si="24"/>
        <v>82306033856.361877</v>
      </c>
      <c r="AG34" s="49">
        <f t="shared" si="24"/>
        <v>87891969010.904221</v>
      </c>
      <c r="AH34" s="49">
        <f t="shared" si="24"/>
        <v>93857009682.85257</v>
      </c>
      <c r="AI34" s="49">
        <f t="shared" si="24"/>
        <v>100226884955.94159</v>
      </c>
      <c r="AJ34" s="49">
        <f>+W34</f>
        <v>107029070092</v>
      </c>
      <c r="AZ34" s="49">
        <f t="shared" si="15"/>
        <v>1.4624770719E+16</v>
      </c>
      <c r="BA34" s="49">
        <f t="shared" si="13"/>
        <v>3.0575974378E+16</v>
      </c>
      <c r="BB34" s="49">
        <f t="shared" si="13"/>
        <v>2856975782000000</v>
      </c>
      <c r="BC34" s="49">
        <f t="shared" si="13"/>
        <v>1.0265205084E+16</v>
      </c>
      <c r="BD34" s="49">
        <f t="shared" si="13"/>
        <v>1.8769650752E+16</v>
      </c>
      <c r="BE34" s="49">
        <f t="shared" si="13"/>
        <v>2.9936493377E+16</v>
      </c>
    </row>
    <row r="35" spans="1:57" s="49" customFormat="1" x14ac:dyDescent="0.25">
      <c r="A35" s="54">
        <f t="shared" si="8"/>
        <v>46752</v>
      </c>
      <c r="B35" s="53">
        <f t="shared" si="9"/>
        <v>15</v>
      </c>
      <c r="C35" s="99">
        <v>2027</v>
      </c>
      <c r="D35" s="101">
        <v>107029070092</v>
      </c>
      <c r="E35" s="49">
        <v>14624770719</v>
      </c>
      <c r="F35" s="49">
        <v>30575974378</v>
      </c>
      <c r="G35" s="49">
        <v>2856975782</v>
      </c>
      <c r="H35" s="49">
        <v>10265205084</v>
      </c>
      <c r="I35" s="49">
        <v>18769650752</v>
      </c>
      <c r="J35" s="49">
        <v>29936493377</v>
      </c>
      <c r="K35" s="104"/>
      <c r="N35" s="96">
        <v>1</v>
      </c>
      <c r="O35" s="58">
        <f t="shared" si="1"/>
        <v>107029070092</v>
      </c>
      <c r="P35" s="58">
        <f t="shared" si="2"/>
        <v>19276972.128657427</v>
      </c>
      <c r="Q35" s="58">
        <f t="shared" si="3"/>
        <v>68070309419.983337</v>
      </c>
      <c r="R35" s="74">
        <f t="shared" si="4"/>
        <v>0</v>
      </c>
      <c r="S35" s="59"/>
      <c r="T35" s="88"/>
      <c r="U35" s="10"/>
      <c r="V35" s="57">
        <f t="shared" si="5"/>
        <v>918198337484.06372</v>
      </c>
      <c r="W35" s="49">
        <f t="shared" si="6"/>
        <v>107029070092</v>
      </c>
      <c r="X35" s="49">
        <f t="shared" ref="X35:AH35" si="25">+-PV($D$6,$B36-$B35,0,X36,0)</f>
        <v>51976740211.577118</v>
      </c>
      <c r="Y35" s="49">
        <f t="shared" si="25"/>
        <v>55504290826.797554</v>
      </c>
      <c r="Z35" s="49">
        <f t="shared" si="25"/>
        <v>59271248786.385658</v>
      </c>
      <c r="AA35" s="49">
        <f t="shared" si="25"/>
        <v>63293862156.716415</v>
      </c>
      <c r="AB35" s="49">
        <f t="shared" si="25"/>
        <v>67589481725.811119</v>
      </c>
      <c r="AC35" s="49">
        <f t="shared" si="25"/>
        <v>72176635842.70607</v>
      </c>
      <c r="AD35" s="49">
        <f t="shared" si="25"/>
        <v>77075110336.009689</v>
      </c>
      <c r="AE35" s="49">
        <f t="shared" si="25"/>
        <v>82306033856.361877</v>
      </c>
      <c r="AF35" s="49">
        <f t="shared" si="25"/>
        <v>87891969010.904221</v>
      </c>
      <c r="AG35" s="49">
        <f t="shared" si="25"/>
        <v>93857009682.85257</v>
      </c>
      <c r="AH35" s="49">
        <f t="shared" si="25"/>
        <v>100226884955.94159</v>
      </c>
      <c r="AI35" s="49">
        <f>+W35</f>
        <v>107029070092</v>
      </c>
      <c r="AZ35" s="49">
        <f t="shared" si="15"/>
        <v>1.4624770719E+16</v>
      </c>
      <c r="BA35" s="49">
        <f t="shared" si="13"/>
        <v>3.0575974378E+16</v>
      </c>
      <c r="BB35" s="49">
        <f t="shared" si="13"/>
        <v>2856975782000000</v>
      </c>
      <c r="BC35" s="49">
        <f t="shared" si="13"/>
        <v>1.0265205084E+16</v>
      </c>
      <c r="BD35" s="49">
        <f t="shared" si="13"/>
        <v>1.8769650752E+16</v>
      </c>
      <c r="BE35" s="49">
        <f t="shared" si="13"/>
        <v>2.9936493377E+16</v>
      </c>
    </row>
    <row r="36" spans="1:57" s="49" customFormat="1" x14ac:dyDescent="0.25">
      <c r="A36" s="54">
        <f t="shared" si="8"/>
        <v>47118</v>
      </c>
      <c r="B36" s="53">
        <f t="shared" si="9"/>
        <v>16</v>
      </c>
      <c r="C36" s="99">
        <v>2028</v>
      </c>
      <c r="D36" s="101">
        <v>107029070092</v>
      </c>
      <c r="E36" s="49">
        <v>14624770719</v>
      </c>
      <c r="F36" s="49">
        <v>30575974378</v>
      </c>
      <c r="G36" s="49">
        <v>2856975782</v>
      </c>
      <c r="H36" s="49">
        <v>10265205084</v>
      </c>
      <c r="I36" s="49">
        <v>18769650752</v>
      </c>
      <c r="J36" s="49">
        <v>29936493377</v>
      </c>
      <c r="K36" s="104"/>
      <c r="N36" s="96">
        <v>1</v>
      </c>
      <c r="O36" s="58">
        <f t="shared" si="1"/>
        <v>107029070092</v>
      </c>
      <c r="P36" s="58">
        <f t="shared" si="2"/>
        <v>19276972.128657427</v>
      </c>
      <c r="Q36" s="58">
        <f t="shared" si="3"/>
        <v>68070309419.983337</v>
      </c>
      <c r="R36" s="74">
        <f t="shared" si="4"/>
        <v>0</v>
      </c>
      <c r="S36" s="59"/>
      <c r="T36" s="88"/>
      <c r="U36" s="10"/>
      <c r="V36" s="57">
        <f t="shared" si="5"/>
        <v>866221597272.48682</v>
      </c>
      <c r="W36" s="49">
        <f t="shared" si="6"/>
        <v>107029070092</v>
      </c>
      <c r="X36" s="49">
        <f t="shared" ref="X36:AG36" si="26">+-PV($D$6,$B37-$B36,0,X37,0)</f>
        <v>55504290826.797554</v>
      </c>
      <c r="Y36" s="49">
        <f t="shared" si="26"/>
        <v>59271248786.385658</v>
      </c>
      <c r="Z36" s="49">
        <f t="shared" si="26"/>
        <v>63293862156.716415</v>
      </c>
      <c r="AA36" s="49">
        <f t="shared" si="26"/>
        <v>67589481725.811119</v>
      </c>
      <c r="AB36" s="49">
        <f t="shared" si="26"/>
        <v>72176635842.70607</v>
      </c>
      <c r="AC36" s="49">
        <f t="shared" si="26"/>
        <v>77075110336.009689</v>
      </c>
      <c r="AD36" s="49">
        <f t="shared" si="26"/>
        <v>82306033856.361877</v>
      </c>
      <c r="AE36" s="49">
        <f t="shared" si="26"/>
        <v>87891969010.904221</v>
      </c>
      <c r="AF36" s="49">
        <f t="shared" si="26"/>
        <v>93857009682.85257</v>
      </c>
      <c r="AG36" s="49">
        <f t="shared" si="26"/>
        <v>100226884955.94159</v>
      </c>
      <c r="AH36" s="49">
        <f>+W36</f>
        <v>107029070092</v>
      </c>
      <c r="AZ36" s="49">
        <f t="shared" si="15"/>
        <v>1.4624770719E+16</v>
      </c>
      <c r="BA36" s="49">
        <f t="shared" si="13"/>
        <v>3.0575974378E+16</v>
      </c>
      <c r="BB36" s="49">
        <f t="shared" si="13"/>
        <v>2856975782000000</v>
      </c>
      <c r="BC36" s="49">
        <f t="shared" si="13"/>
        <v>1.0265205084E+16</v>
      </c>
      <c r="BD36" s="49">
        <f t="shared" si="13"/>
        <v>1.8769650752E+16</v>
      </c>
      <c r="BE36" s="49">
        <f t="shared" si="13"/>
        <v>2.9936493377E+16</v>
      </c>
    </row>
    <row r="37" spans="1:57" s="49" customFormat="1" x14ac:dyDescent="0.25">
      <c r="A37" s="54">
        <f t="shared" si="8"/>
        <v>47483</v>
      </c>
      <c r="B37" s="53">
        <f t="shared" si="9"/>
        <v>17</v>
      </c>
      <c r="C37" s="99">
        <v>2029</v>
      </c>
      <c r="D37" s="101">
        <v>107029070092</v>
      </c>
      <c r="E37" s="49">
        <v>14624770719</v>
      </c>
      <c r="F37" s="49">
        <v>30575974378</v>
      </c>
      <c r="G37" s="49">
        <v>2856975782</v>
      </c>
      <c r="H37" s="49">
        <v>10265205084</v>
      </c>
      <c r="I37" s="49">
        <v>18769650752</v>
      </c>
      <c r="J37" s="49">
        <v>29936493377</v>
      </c>
      <c r="K37" s="104"/>
      <c r="N37" s="96">
        <v>1</v>
      </c>
      <c r="O37" s="58">
        <f t="shared" si="1"/>
        <v>107029070092</v>
      </c>
      <c r="P37" s="58">
        <f t="shared" si="2"/>
        <v>19276972.128657427</v>
      </c>
      <c r="Q37" s="58">
        <f t="shared" si="3"/>
        <v>68070309419.983337</v>
      </c>
      <c r="R37" s="74">
        <f t="shared" si="4"/>
        <v>0</v>
      </c>
      <c r="S37" s="59"/>
      <c r="T37" s="88"/>
      <c r="U37" s="10"/>
      <c r="V37" s="57">
        <f t="shared" si="5"/>
        <v>810717306445.68921</v>
      </c>
      <c r="W37" s="49">
        <f t="shared" si="6"/>
        <v>107029070092</v>
      </c>
      <c r="X37" s="49">
        <f t="shared" ref="X37:AF37" si="27">+-PV($D$6,$B38-$B37,0,X38,0)</f>
        <v>59271248786.385658</v>
      </c>
      <c r="Y37" s="49">
        <f t="shared" si="27"/>
        <v>63293862156.716415</v>
      </c>
      <c r="Z37" s="49">
        <f t="shared" si="27"/>
        <v>67589481725.811119</v>
      </c>
      <c r="AA37" s="49">
        <f t="shared" si="27"/>
        <v>72176635842.70607</v>
      </c>
      <c r="AB37" s="49">
        <f t="shared" si="27"/>
        <v>77075110336.009689</v>
      </c>
      <c r="AC37" s="49">
        <f t="shared" si="27"/>
        <v>82306033856.361877</v>
      </c>
      <c r="AD37" s="49">
        <f t="shared" si="27"/>
        <v>87891969010.904221</v>
      </c>
      <c r="AE37" s="49">
        <f t="shared" si="27"/>
        <v>93857009682.85257</v>
      </c>
      <c r="AF37" s="49">
        <f t="shared" si="27"/>
        <v>100226884955.94159</v>
      </c>
      <c r="AG37" s="49">
        <f>+W37</f>
        <v>107029070092</v>
      </c>
      <c r="AZ37" s="49">
        <f t="shared" si="15"/>
        <v>1.4624770719E+16</v>
      </c>
      <c r="BA37" s="49">
        <f t="shared" si="13"/>
        <v>3.0575974378E+16</v>
      </c>
      <c r="BB37" s="49">
        <f t="shared" si="13"/>
        <v>2856975782000000</v>
      </c>
      <c r="BC37" s="49">
        <f t="shared" si="13"/>
        <v>1.0265205084E+16</v>
      </c>
      <c r="BD37" s="49">
        <f t="shared" si="13"/>
        <v>1.8769650752E+16</v>
      </c>
      <c r="BE37" s="49">
        <f t="shared" si="13"/>
        <v>2.9936493377E+16</v>
      </c>
    </row>
    <row r="38" spans="1:57" s="49" customFormat="1" x14ac:dyDescent="0.25">
      <c r="A38" s="54">
        <f t="shared" si="8"/>
        <v>47848</v>
      </c>
      <c r="B38" s="53">
        <f t="shared" si="9"/>
        <v>18</v>
      </c>
      <c r="C38" s="99">
        <v>2030</v>
      </c>
      <c r="D38" s="101">
        <v>107029070092</v>
      </c>
      <c r="E38" s="49">
        <v>14624770719</v>
      </c>
      <c r="F38" s="49">
        <v>30575974378</v>
      </c>
      <c r="G38" s="49">
        <v>2856975782</v>
      </c>
      <c r="H38" s="49">
        <v>10265205084</v>
      </c>
      <c r="I38" s="49">
        <v>18769650752</v>
      </c>
      <c r="J38" s="49">
        <v>29936493377</v>
      </c>
      <c r="K38" s="104"/>
      <c r="N38" s="96">
        <v>1</v>
      </c>
      <c r="O38" s="58">
        <f t="shared" si="1"/>
        <v>107029070092</v>
      </c>
      <c r="P38" s="58">
        <f t="shared" si="2"/>
        <v>19276972.128657427</v>
      </c>
      <c r="Q38" s="58">
        <f t="shared" si="3"/>
        <v>68070309419.983337</v>
      </c>
      <c r="R38" s="74">
        <f t="shared" si="4"/>
        <v>0</v>
      </c>
      <c r="S38" s="59"/>
      <c r="T38" s="88"/>
      <c r="U38" s="10"/>
      <c r="V38" s="57">
        <f t="shared" si="5"/>
        <v>751446057659.30347</v>
      </c>
      <c r="W38" s="49">
        <f t="shared" si="6"/>
        <v>107029070092</v>
      </c>
      <c r="X38" s="49">
        <f t="shared" ref="X38:AE38" si="28">+-PV($D$6,$B39-$B38,0,X39,0)</f>
        <v>63293862156.716415</v>
      </c>
      <c r="Y38" s="49">
        <f t="shared" si="28"/>
        <v>67589481725.811119</v>
      </c>
      <c r="Z38" s="49">
        <f t="shared" si="28"/>
        <v>72176635842.70607</v>
      </c>
      <c r="AA38" s="49">
        <f t="shared" si="28"/>
        <v>77075110336.009689</v>
      </c>
      <c r="AB38" s="49">
        <f t="shared" si="28"/>
        <v>82306033856.361877</v>
      </c>
      <c r="AC38" s="49">
        <f t="shared" si="28"/>
        <v>87891969010.904221</v>
      </c>
      <c r="AD38" s="49">
        <f t="shared" si="28"/>
        <v>93857009682.85257</v>
      </c>
      <c r="AE38" s="49">
        <f t="shared" si="28"/>
        <v>100226884955.94159</v>
      </c>
      <c r="AF38" s="49">
        <f>+W38</f>
        <v>107029070092</v>
      </c>
      <c r="AZ38" s="49">
        <f t="shared" si="15"/>
        <v>1.4624770719E+16</v>
      </c>
      <c r="BA38" s="49">
        <f t="shared" si="13"/>
        <v>3.0575974378E+16</v>
      </c>
      <c r="BB38" s="49">
        <f t="shared" si="13"/>
        <v>2856975782000000</v>
      </c>
      <c r="BC38" s="49">
        <f t="shared" si="13"/>
        <v>1.0265205084E+16</v>
      </c>
      <c r="BD38" s="49">
        <f t="shared" si="13"/>
        <v>1.8769650752E+16</v>
      </c>
      <c r="BE38" s="49">
        <f t="shared" si="13"/>
        <v>2.9936493377E+16</v>
      </c>
    </row>
    <row r="39" spans="1:57" s="49" customFormat="1" x14ac:dyDescent="0.25">
      <c r="A39" s="54">
        <f t="shared" si="8"/>
        <v>48213</v>
      </c>
      <c r="B39" s="53">
        <f t="shared" si="9"/>
        <v>19</v>
      </c>
      <c r="C39" s="99">
        <v>2031</v>
      </c>
      <c r="D39" s="101">
        <v>107029070092</v>
      </c>
      <c r="E39" s="49">
        <v>14624770719</v>
      </c>
      <c r="F39" s="49">
        <v>30575974378</v>
      </c>
      <c r="G39" s="49">
        <v>2856975782</v>
      </c>
      <c r="H39" s="49">
        <v>10265205084</v>
      </c>
      <c r="I39" s="49">
        <v>18769650752</v>
      </c>
      <c r="J39" s="49">
        <v>29936493377</v>
      </c>
      <c r="K39" s="104"/>
      <c r="N39" s="96">
        <v>1</v>
      </c>
      <c r="O39" s="58">
        <f t="shared" si="1"/>
        <v>107029070092</v>
      </c>
      <c r="P39" s="58">
        <f t="shared" si="2"/>
        <v>19276972.128657427</v>
      </c>
      <c r="Q39" s="58">
        <f t="shared" si="3"/>
        <v>68070309419.983337</v>
      </c>
      <c r="R39" s="74">
        <f t="shared" si="4"/>
        <v>0</v>
      </c>
      <c r="S39" s="59"/>
      <c r="T39" s="88"/>
      <c r="U39" s="10"/>
      <c r="V39" s="57">
        <f t="shared" si="5"/>
        <v>688152195502.58716</v>
      </c>
      <c r="W39" s="49">
        <f t="shared" si="6"/>
        <v>107029070092</v>
      </c>
      <c r="X39" s="49">
        <f t="shared" ref="X39:AD39" si="29">+-PV($D$6,$B40-$B39,0,X40,0)</f>
        <v>67589481725.811119</v>
      </c>
      <c r="Y39" s="49">
        <f t="shared" si="29"/>
        <v>72176635842.70607</v>
      </c>
      <c r="Z39" s="49">
        <f t="shared" si="29"/>
        <v>77075110336.009689</v>
      </c>
      <c r="AA39" s="49">
        <f t="shared" si="29"/>
        <v>82306033856.361877</v>
      </c>
      <c r="AB39" s="49">
        <f t="shared" si="29"/>
        <v>87891969010.904221</v>
      </c>
      <c r="AC39" s="49">
        <f t="shared" si="29"/>
        <v>93857009682.85257</v>
      </c>
      <c r="AD39" s="49">
        <f t="shared" si="29"/>
        <v>100226884955.94159</v>
      </c>
      <c r="AE39" s="49">
        <f>+W39</f>
        <v>107029070092</v>
      </c>
      <c r="AZ39" s="49">
        <f t="shared" si="15"/>
        <v>1.4624770719E+16</v>
      </c>
      <c r="BA39" s="49">
        <f t="shared" si="13"/>
        <v>3.0575974378E+16</v>
      </c>
      <c r="BB39" s="49">
        <f t="shared" si="13"/>
        <v>2856975782000000</v>
      </c>
      <c r="BC39" s="49">
        <f t="shared" si="13"/>
        <v>1.0265205084E+16</v>
      </c>
      <c r="BD39" s="49">
        <f t="shared" si="13"/>
        <v>1.8769650752E+16</v>
      </c>
      <c r="BE39" s="49">
        <f t="shared" si="13"/>
        <v>2.9936493377E+16</v>
      </c>
    </row>
    <row r="40" spans="1:57" s="49" customFormat="1" x14ac:dyDescent="0.25">
      <c r="A40" s="54">
        <f t="shared" si="8"/>
        <v>48579</v>
      </c>
      <c r="B40" s="53">
        <f t="shared" si="9"/>
        <v>20</v>
      </c>
      <c r="C40" s="99">
        <v>2032</v>
      </c>
      <c r="D40" s="101">
        <v>107029070092</v>
      </c>
      <c r="E40" s="49">
        <v>14624770719</v>
      </c>
      <c r="F40" s="49">
        <v>30575974378</v>
      </c>
      <c r="G40" s="49">
        <v>2856975782</v>
      </c>
      <c r="H40" s="49">
        <v>10265205084</v>
      </c>
      <c r="I40" s="49">
        <v>18769650752</v>
      </c>
      <c r="J40" s="49">
        <v>29936493377</v>
      </c>
      <c r="K40" s="104"/>
      <c r="N40" s="96">
        <v>1</v>
      </c>
      <c r="O40" s="58">
        <f t="shared" si="1"/>
        <v>107029070092</v>
      </c>
      <c r="P40" s="58">
        <f t="shared" si="2"/>
        <v>0</v>
      </c>
      <c r="Q40" s="58">
        <f t="shared" si="3"/>
        <v>107029070092</v>
      </c>
      <c r="R40" s="74">
        <f t="shared" si="4"/>
        <v>0</v>
      </c>
      <c r="S40" s="59"/>
      <c r="T40" s="88"/>
      <c r="U40" s="10"/>
      <c r="V40" s="57">
        <f t="shared" si="5"/>
        <v>620562713776.77612</v>
      </c>
      <c r="W40" s="49">
        <f t="shared" si="6"/>
        <v>107029070092</v>
      </c>
      <c r="X40" s="49">
        <f t="shared" ref="X40:AC40" si="30">+-PV($D$6,$B41-$B40,0,X41,0)</f>
        <v>72176635842.70607</v>
      </c>
      <c r="Y40" s="49">
        <f t="shared" si="30"/>
        <v>77075110336.009689</v>
      </c>
      <c r="Z40" s="49">
        <f t="shared" si="30"/>
        <v>82306033856.361877</v>
      </c>
      <c r="AA40" s="49">
        <f t="shared" si="30"/>
        <v>87891969010.904221</v>
      </c>
      <c r="AB40" s="49">
        <f t="shared" si="30"/>
        <v>93857009682.85257</v>
      </c>
      <c r="AC40" s="49">
        <f t="shared" si="30"/>
        <v>100226884955.94159</v>
      </c>
      <c r="AD40" s="49">
        <f>+W40</f>
        <v>107029070092</v>
      </c>
      <c r="AZ40" s="49">
        <f t="shared" si="15"/>
        <v>1.4624770719E+16</v>
      </c>
      <c r="BA40" s="49">
        <f t="shared" ref="BA40:BA46" si="31">+ROUND(F40*1000000,0)</f>
        <v>3.0575974378E+16</v>
      </c>
      <c r="BB40" s="49">
        <f t="shared" ref="BB40:BB46" si="32">+ROUND(G40*1000000,0)</f>
        <v>2856975782000000</v>
      </c>
      <c r="BC40" s="49">
        <f t="shared" ref="BC40:BC46" si="33">+ROUND(H40*1000000,0)</f>
        <v>1.0265205084E+16</v>
      </c>
      <c r="BD40" s="49">
        <f t="shared" ref="BD40:BD46" si="34">+ROUND(I40*1000000,0)</f>
        <v>1.8769650752E+16</v>
      </c>
      <c r="BE40" s="49">
        <f t="shared" ref="BE40:BE46" si="35">+ROUND(J40*1000000,0)</f>
        <v>2.9936493377E+16</v>
      </c>
    </row>
    <row r="41" spans="1:57" s="49" customFormat="1" x14ac:dyDescent="0.25">
      <c r="A41" s="54">
        <f t="shared" si="8"/>
        <v>48944</v>
      </c>
      <c r="B41" s="53">
        <f t="shared" si="9"/>
        <v>21</v>
      </c>
      <c r="C41" s="99">
        <v>2033</v>
      </c>
      <c r="D41" s="101">
        <v>107029070092</v>
      </c>
      <c r="E41" s="49">
        <v>14624770719</v>
      </c>
      <c r="F41" s="49">
        <v>30575974378</v>
      </c>
      <c r="G41" s="49">
        <v>2856975782</v>
      </c>
      <c r="H41" s="49">
        <v>10265205084</v>
      </c>
      <c r="I41" s="49">
        <v>18769650752</v>
      </c>
      <c r="J41" s="49">
        <v>29936493377</v>
      </c>
      <c r="K41" s="104"/>
      <c r="N41" s="96">
        <v>1</v>
      </c>
      <c r="O41" s="58">
        <f t="shared" si="1"/>
        <v>107029070092</v>
      </c>
      <c r="P41" s="58">
        <f t="shared" si="2"/>
        <v>0</v>
      </c>
      <c r="Q41" s="58">
        <f t="shared" si="3"/>
        <v>107029070092</v>
      </c>
      <c r="R41" s="74">
        <f t="shared" si="4"/>
        <v>0</v>
      </c>
      <c r="S41" s="59"/>
      <c r="T41" s="88"/>
      <c r="U41" s="10"/>
      <c r="V41" s="57">
        <f t="shared" si="5"/>
        <v>548386077934.07001</v>
      </c>
      <c r="W41" s="49">
        <f t="shared" si="6"/>
        <v>107029070092</v>
      </c>
      <c r="X41" s="49">
        <f>+-PV($D$6,$B42-$B41,0,X42,0)</f>
        <v>77075110336.009689</v>
      </c>
      <c r="Y41" s="49">
        <f>+-PV($D$6,$B42-$B41,0,Y42,0)</f>
        <v>82306033856.361877</v>
      </c>
      <c r="Z41" s="49">
        <f>+-PV($D$6,$B42-$B41,0,Z42,0)</f>
        <v>87891969010.904221</v>
      </c>
      <c r="AA41" s="49">
        <f>+-PV($D$6,$B42-$B41,0,AA42,0)</f>
        <v>93857009682.85257</v>
      </c>
      <c r="AB41" s="49">
        <f>+-PV($D$6,$B42-$B41,0,AB42,0)</f>
        <v>100226884955.94159</v>
      </c>
      <c r="AC41" s="49">
        <f>+W41</f>
        <v>107029070092</v>
      </c>
      <c r="AZ41" s="49">
        <f t="shared" si="15"/>
        <v>1.4624770719E+16</v>
      </c>
      <c r="BA41" s="49">
        <f t="shared" si="31"/>
        <v>3.0575974378E+16</v>
      </c>
      <c r="BB41" s="49">
        <f t="shared" si="32"/>
        <v>2856975782000000</v>
      </c>
      <c r="BC41" s="49">
        <f t="shared" si="33"/>
        <v>1.0265205084E+16</v>
      </c>
      <c r="BD41" s="49">
        <f t="shared" si="34"/>
        <v>1.8769650752E+16</v>
      </c>
      <c r="BE41" s="49">
        <f t="shared" si="35"/>
        <v>2.9936493377E+16</v>
      </c>
    </row>
    <row r="42" spans="1:57" s="49" customFormat="1" x14ac:dyDescent="0.25">
      <c r="A42" s="54">
        <f t="shared" si="8"/>
        <v>49309</v>
      </c>
      <c r="B42" s="53">
        <f t="shared" si="9"/>
        <v>22</v>
      </c>
      <c r="C42" s="99">
        <v>2034</v>
      </c>
      <c r="D42" s="101">
        <v>107029070092</v>
      </c>
      <c r="E42" s="49">
        <v>14624770719</v>
      </c>
      <c r="F42" s="49">
        <v>30575974378</v>
      </c>
      <c r="G42" s="49">
        <v>2856975782</v>
      </c>
      <c r="H42" s="49">
        <v>10265205084</v>
      </c>
      <c r="I42" s="49">
        <v>18769650752</v>
      </c>
      <c r="J42" s="49">
        <v>29936493377</v>
      </c>
      <c r="K42" s="104"/>
      <c r="N42" s="96">
        <v>1</v>
      </c>
      <c r="O42" s="58">
        <f t="shared" si="1"/>
        <v>107029070092</v>
      </c>
      <c r="P42" s="58">
        <f t="shared" si="2"/>
        <v>0</v>
      </c>
      <c r="Q42" s="58">
        <f t="shared" si="3"/>
        <v>107029070092</v>
      </c>
      <c r="R42" s="74">
        <f t="shared" si="4"/>
        <v>0</v>
      </c>
      <c r="S42" s="59"/>
      <c r="T42" s="88"/>
      <c r="U42" s="10"/>
      <c r="V42" s="57">
        <f t="shared" si="5"/>
        <v>471310967598.0603</v>
      </c>
      <c r="W42" s="49">
        <f t="shared" si="6"/>
        <v>107029070092</v>
      </c>
      <c r="X42" s="49">
        <f>+-PV($D$6,$B43-$B42,0,X43,0)</f>
        <v>82306033856.361877</v>
      </c>
      <c r="Y42" s="49">
        <f>+-PV($D$6,$B43-$B42,0,Y43,0)</f>
        <v>87891969010.904221</v>
      </c>
      <c r="Z42" s="49">
        <f>+-PV($D$6,$B43-$B42,0,Z43,0)</f>
        <v>93857009682.85257</v>
      </c>
      <c r="AA42" s="49">
        <f>+-PV($D$6,$B43-$B42,0,AA43,0)</f>
        <v>100226884955.94159</v>
      </c>
      <c r="AB42" s="49">
        <f>+W42</f>
        <v>107029070092</v>
      </c>
      <c r="AZ42" s="49">
        <f t="shared" si="15"/>
        <v>1.4624770719E+16</v>
      </c>
      <c r="BA42" s="49">
        <f t="shared" si="31"/>
        <v>3.0575974378E+16</v>
      </c>
      <c r="BB42" s="49">
        <f t="shared" si="32"/>
        <v>2856975782000000</v>
      </c>
      <c r="BC42" s="49">
        <f t="shared" si="33"/>
        <v>1.0265205084E+16</v>
      </c>
      <c r="BD42" s="49">
        <f t="shared" si="34"/>
        <v>1.8769650752E+16</v>
      </c>
      <c r="BE42" s="49">
        <f t="shared" si="35"/>
        <v>2.9936493377E+16</v>
      </c>
    </row>
    <row r="43" spans="1:57" s="49" customFormat="1" x14ac:dyDescent="0.25">
      <c r="A43" s="54">
        <f t="shared" si="8"/>
        <v>49674</v>
      </c>
      <c r="B43" s="53">
        <f t="shared" si="9"/>
        <v>23</v>
      </c>
      <c r="C43" s="99">
        <v>2035</v>
      </c>
      <c r="D43" s="101">
        <v>107029070092</v>
      </c>
      <c r="E43" s="49">
        <v>14624770719</v>
      </c>
      <c r="F43" s="49">
        <v>30575974378</v>
      </c>
      <c r="G43" s="49">
        <v>2856975782</v>
      </c>
      <c r="H43" s="49">
        <v>10265205084</v>
      </c>
      <c r="I43" s="49">
        <v>18769650752</v>
      </c>
      <c r="J43" s="49">
        <v>29936493377</v>
      </c>
      <c r="K43" s="104"/>
      <c r="N43" s="96">
        <v>1</v>
      </c>
      <c r="O43" s="58">
        <f t="shared" si="1"/>
        <v>107029070092</v>
      </c>
      <c r="P43" s="58">
        <f t="shared" si="2"/>
        <v>0</v>
      </c>
      <c r="Q43" s="58">
        <f t="shared" si="3"/>
        <v>107029070092</v>
      </c>
      <c r="R43" s="74">
        <f t="shared" si="4"/>
        <v>0</v>
      </c>
      <c r="S43" s="59"/>
      <c r="T43" s="88"/>
      <c r="U43" s="10"/>
      <c r="V43" s="57">
        <f t="shared" si="5"/>
        <v>389004933741.69836</v>
      </c>
      <c r="W43" s="49">
        <f t="shared" si="6"/>
        <v>107029070092</v>
      </c>
      <c r="X43" s="49">
        <f>+-PV($D$6,$B44-$B43,0,X44,0)</f>
        <v>87891969010.904221</v>
      </c>
      <c r="Y43" s="49">
        <f>+-PV($D$6,$B44-$B43,0,Y44,0)</f>
        <v>93857009682.85257</v>
      </c>
      <c r="Z43" s="49">
        <f>+-PV($D$6,$B44-$B43,0,Z44,0)</f>
        <v>100226884955.94159</v>
      </c>
      <c r="AA43" s="49">
        <f>+W43</f>
        <v>107029070092</v>
      </c>
      <c r="AZ43" s="49">
        <f t="shared" si="15"/>
        <v>1.4624770719E+16</v>
      </c>
      <c r="BA43" s="49">
        <f t="shared" si="31"/>
        <v>3.0575974378E+16</v>
      </c>
      <c r="BB43" s="49">
        <f t="shared" si="32"/>
        <v>2856975782000000</v>
      </c>
      <c r="BC43" s="49">
        <f t="shared" si="33"/>
        <v>1.0265205084E+16</v>
      </c>
      <c r="BD43" s="49">
        <f t="shared" si="34"/>
        <v>1.8769650752E+16</v>
      </c>
      <c r="BE43" s="49">
        <f t="shared" si="35"/>
        <v>2.9936493377E+16</v>
      </c>
    </row>
    <row r="44" spans="1:57" s="49" customFormat="1" x14ac:dyDescent="0.25">
      <c r="A44" s="54">
        <f t="shared" si="8"/>
        <v>50040</v>
      </c>
      <c r="B44" s="53">
        <f t="shared" si="9"/>
        <v>24</v>
      </c>
      <c r="C44" s="99">
        <v>2036</v>
      </c>
      <c r="D44" s="101">
        <v>107029070092</v>
      </c>
      <c r="E44" s="49">
        <v>14624770719</v>
      </c>
      <c r="F44" s="49">
        <v>30575974378</v>
      </c>
      <c r="G44" s="49">
        <v>2856975782</v>
      </c>
      <c r="H44" s="49">
        <v>10265205084</v>
      </c>
      <c r="I44" s="49">
        <v>18769650752</v>
      </c>
      <c r="J44" s="49">
        <v>29936493377</v>
      </c>
      <c r="K44" s="104"/>
      <c r="N44" s="96">
        <v>1</v>
      </c>
      <c r="O44" s="58">
        <f t="shared" si="1"/>
        <v>107029070092</v>
      </c>
      <c r="P44" s="58">
        <f t="shared" si="2"/>
        <v>0</v>
      </c>
      <c r="Q44" s="58">
        <f t="shared" si="3"/>
        <v>107029070092</v>
      </c>
      <c r="R44" s="74">
        <f t="shared" si="4"/>
        <v>0</v>
      </c>
      <c r="S44" s="59"/>
      <c r="T44" s="88"/>
      <c r="U44" s="10"/>
      <c r="V44" s="57">
        <f t="shared" si="5"/>
        <v>301112964730.79419</v>
      </c>
      <c r="W44" s="49">
        <f t="shared" si="6"/>
        <v>107029070092</v>
      </c>
      <c r="X44" s="49">
        <f>+-PV($D$6,$B45-$B44,0,X45,0)</f>
        <v>93857009682.85257</v>
      </c>
      <c r="Y44" s="49">
        <f>+-PV($D$6,$B45-$B44,0,Y45,0)</f>
        <v>100226884955.94159</v>
      </c>
      <c r="Z44" s="49">
        <f>+W44</f>
        <v>107029070092</v>
      </c>
      <c r="AZ44" s="49">
        <f t="shared" si="15"/>
        <v>1.4624770719E+16</v>
      </c>
      <c r="BA44" s="49">
        <f t="shared" si="31"/>
        <v>3.0575974378E+16</v>
      </c>
      <c r="BB44" s="49">
        <f t="shared" si="32"/>
        <v>2856975782000000</v>
      </c>
      <c r="BC44" s="49">
        <f t="shared" si="33"/>
        <v>1.0265205084E+16</v>
      </c>
      <c r="BD44" s="49">
        <f t="shared" si="34"/>
        <v>1.8769650752E+16</v>
      </c>
      <c r="BE44" s="49">
        <f t="shared" si="35"/>
        <v>2.9936493377E+16</v>
      </c>
    </row>
    <row r="45" spans="1:57" s="49" customFormat="1" x14ac:dyDescent="0.25">
      <c r="A45" s="54">
        <f t="shared" si="8"/>
        <v>50405</v>
      </c>
      <c r="B45" s="53">
        <f t="shared" si="9"/>
        <v>25</v>
      </c>
      <c r="C45" s="99">
        <v>2037</v>
      </c>
      <c r="D45" s="101">
        <v>107029070092</v>
      </c>
      <c r="E45" s="49">
        <v>14624770719</v>
      </c>
      <c r="F45" s="49">
        <v>30575974378</v>
      </c>
      <c r="G45" s="49">
        <v>2856975782</v>
      </c>
      <c r="H45" s="49">
        <v>10265205084</v>
      </c>
      <c r="I45" s="49">
        <v>18769650752</v>
      </c>
      <c r="J45" s="49">
        <v>29936493377</v>
      </c>
      <c r="K45" s="104"/>
      <c r="N45" s="96">
        <v>1</v>
      </c>
      <c r="O45" s="58">
        <f t="shared" si="1"/>
        <v>107029070092</v>
      </c>
      <c r="P45" s="58">
        <f t="shared" si="2"/>
        <v>0</v>
      </c>
      <c r="Q45" s="58">
        <f t="shared" si="3"/>
        <v>107029070092</v>
      </c>
      <c r="R45" s="74">
        <f t="shared" si="4"/>
        <v>0</v>
      </c>
      <c r="S45" s="59"/>
      <c r="T45" s="88"/>
      <c r="U45" s="10"/>
      <c r="V45" s="57">
        <f t="shared" si="5"/>
        <v>207255955047.94159</v>
      </c>
      <c r="W45" s="49">
        <f t="shared" si="6"/>
        <v>107029070092</v>
      </c>
      <c r="X45" s="49">
        <f>+-PV($D$6,$B46-$B45,0,X46,0)</f>
        <v>100226884955.94159</v>
      </c>
      <c r="Y45" s="49">
        <f>+W45</f>
        <v>107029070092</v>
      </c>
      <c r="AZ45" s="49">
        <f t="shared" si="15"/>
        <v>1.4624770719E+16</v>
      </c>
      <c r="BA45" s="49">
        <f t="shared" si="31"/>
        <v>3.0575974378E+16</v>
      </c>
      <c r="BB45" s="49">
        <f t="shared" si="32"/>
        <v>2856975782000000</v>
      </c>
      <c r="BC45" s="49">
        <f t="shared" si="33"/>
        <v>1.0265205084E+16</v>
      </c>
      <c r="BD45" s="49">
        <f t="shared" si="34"/>
        <v>1.8769650752E+16</v>
      </c>
      <c r="BE45" s="49">
        <f t="shared" si="35"/>
        <v>2.9936493377E+16</v>
      </c>
    </row>
    <row r="46" spans="1:57" s="49" customFormat="1" x14ac:dyDescent="0.25">
      <c r="A46" s="54">
        <f t="shared" si="8"/>
        <v>50770</v>
      </c>
      <c r="B46" s="53">
        <f t="shared" si="9"/>
        <v>26</v>
      </c>
      <c r="C46" s="99">
        <v>2038</v>
      </c>
      <c r="D46" s="101">
        <v>107029070092</v>
      </c>
      <c r="E46" s="49">
        <v>14624770719</v>
      </c>
      <c r="F46" s="49">
        <v>30575974378</v>
      </c>
      <c r="G46" s="49">
        <v>2856975782</v>
      </c>
      <c r="H46" s="49">
        <v>10265205084</v>
      </c>
      <c r="I46" s="49">
        <v>18769650752</v>
      </c>
      <c r="J46" s="49">
        <v>29936493377</v>
      </c>
      <c r="K46" s="104"/>
      <c r="N46" s="96">
        <v>1</v>
      </c>
      <c r="O46" s="58">
        <f t="shared" si="1"/>
        <v>107029070092</v>
      </c>
      <c r="P46" s="58">
        <f t="shared" si="2"/>
        <v>0</v>
      </c>
      <c r="Q46" s="58">
        <f t="shared" si="3"/>
        <v>107029070092</v>
      </c>
      <c r="R46" s="74">
        <f t="shared" si="4"/>
        <v>0</v>
      </c>
      <c r="S46" s="59"/>
      <c r="T46" s="88"/>
      <c r="U46" s="10"/>
      <c r="V46" s="57">
        <f t="shared" si="5"/>
        <v>107029070092</v>
      </c>
      <c r="W46" s="49">
        <f t="shared" si="6"/>
        <v>107029070092</v>
      </c>
      <c r="X46" s="49">
        <f>+O46</f>
        <v>107029070092</v>
      </c>
      <c r="AZ46" s="49">
        <f t="shared" si="15"/>
        <v>1.4624770719E+16</v>
      </c>
      <c r="BA46" s="49">
        <f t="shared" si="31"/>
        <v>3.0575974378E+16</v>
      </c>
      <c r="BB46" s="49">
        <f t="shared" si="32"/>
        <v>2856975782000000</v>
      </c>
      <c r="BC46" s="49">
        <f t="shared" si="33"/>
        <v>1.0265205084E+16</v>
      </c>
      <c r="BD46" s="49">
        <f t="shared" si="34"/>
        <v>1.8769650752E+16</v>
      </c>
      <c r="BE46" s="49">
        <f t="shared" si="35"/>
        <v>2.9936493377E+16</v>
      </c>
    </row>
    <row r="47" spans="1:57" x14ac:dyDescent="0.25">
      <c r="A47" s="52" t="s">
        <v>67</v>
      </c>
      <c r="C47" s="97" t="s">
        <v>14</v>
      </c>
      <c r="D47" s="98">
        <f>SUM(D21:D46)</f>
        <v>2337525640321</v>
      </c>
      <c r="E47" s="98">
        <f t="shared" ref="E47:J47" si="36">SUM(E21:E46)</f>
        <v>336369726537</v>
      </c>
      <c r="F47" s="98">
        <f t="shared" si="36"/>
        <v>642095461938</v>
      </c>
      <c r="G47" s="98">
        <f t="shared" si="36"/>
        <v>51425564076</v>
      </c>
      <c r="H47" s="98">
        <f t="shared" si="36"/>
        <v>236099716932</v>
      </c>
      <c r="I47" s="98">
        <f t="shared" si="36"/>
        <v>412932316544</v>
      </c>
      <c r="J47" s="98">
        <f t="shared" si="36"/>
        <v>658602854294</v>
      </c>
      <c r="O47" s="60">
        <f>SUM(O21:O46)</f>
        <v>2337525640321</v>
      </c>
      <c r="P47" s="60">
        <f>SUM(P21:P46)</f>
        <v>289154581.92986137</v>
      </c>
      <c r="Q47" s="60">
        <f>SUM(Q21:Q46)</f>
        <v>1753144230240.7505</v>
      </c>
      <c r="R47" s="74">
        <f t="shared" si="4"/>
        <v>0</v>
      </c>
      <c r="S47" s="59"/>
      <c r="T47" s="88"/>
      <c r="U47" s="10"/>
    </row>
    <row r="48" spans="1:57" x14ac:dyDescent="0.25">
      <c r="H48" s="49"/>
      <c r="I48" s="74"/>
      <c r="J48" s="59"/>
      <c r="K48" s="88"/>
    </row>
    <row r="49" spans="1:40" s="49" customFormat="1" x14ac:dyDescent="0.25">
      <c r="A49" s="51" t="s">
        <v>64</v>
      </c>
      <c r="B49" s="51" t="s">
        <v>63</v>
      </c>
      <c r="C49" s="51"/>
      <c r="D49" s="51" t="s">
        <v>77</v>
      </c>
      <c r="E49" s="82" t="s">
        <v>87</v>
      </c>
      <c r="F49" s="82" t="s">
        <v>88</v>
      </c>
      <c r="G49" s="82" t="s">
        <v>89</v>
      </c>
      <c r="H49" s="82" t="s">
        <v>90</v>
      </c>
      <c r="I49" s="82" t="s">
        <v>91</v>
      </c>
      <c r="J49" s="82" t="s">
        <v>92</v>
      </c>
      <c r="K49" s="89"/>
      <c r="L49" s="10"/>
      <c r="M49" s="51" t="s">
        <v>63</v>
      </c>
      <c r="N49" s="51"/>
      <c r="O49" s="51">
        <v>1</v>
      </c>
      <c r="P49" s="51">
        <v>2</v>
      </c>
      <c r="Q49" s="51">
        <v>3</v>
      </c>
      <c r="R49" s="51">
        <v>4</v>
      </c>
      <c r="S49" s="51">
        <v>5</v>
      </c>
      <c r="T49" s="51">
        <v>6</v>
      </c>
      <c r="U49" s="51">
        <v>7</v>
      </c>
      <c r="V49" s="51">
        <v>8</v>
      </c>
      <c r="W49" s="51">
        <v>9</v>
      </c>
      <c r="X49" s="51">
        <v>10</v>
      </c>
      <c r="Y49" s="51">
        <v>11</v>
      </c>
      <c r="Z49" s="51">
        <v>12</v>
      </c>
      <c r="AA49" s="51">
        <v>13</v>
      </c>
      <c r="AB49" s="51">
        <v>14</v>
      </c>
      <c r="AC49" s="51">
        <v>15</v>
      </c>
      <c r="AD49" s="51">
        <v>16</v>
      </c>
      <c r="AE49" s="51">
        <v>17</v>
      </c>
      <c r="AF49" s="51">
        <v>18</v>
      </c>
      <c r="AG49" s="51">
        <v>19</v>
      </c>
      <c r="AH49" s="51">
        <v>20</v>
      </c>
      <c r="AI49" s="51">
        <v>21</v>
      </c>
      <c r="AJ49" s="51">
        <v>22</v>
      </c>
      <c r="AK49" s="51">
        <v>23</v>
      </c>
      <c r="AL49" s="51">
        <v>24</v>
      </c>
      <c r="AM49" s="51">
        <v>25</v>
      </c>
      <c r="AN49" s="51">
        <v>26</v>
      </c>
    </row>
    <row r="50" spans="1:40" s="49" customFormat="1" x14ac:dyDescent="0.25">
      <c r="A50" s="54">
        <v>41274</v>
      </c>
      <c r="B50" s="53">
        <v>0</v>
      </c>
      <c r="C50" s="53"/>
      <c r="D50" s="55"/>
      <c r="E50" s="83"/>
      <c r="F50" s="83"/>
      <c r="G50" s="83"/>
      <c r="H50" s="83"/>
      <c r="I50" s="83"/>
      <c r="J50" s="83"/>
      <c r="K50" s="90"/>
      <c r="L50" s="52" t="s">
        <v>66</v>
      </c>
      <c r="M50" s="57">
        <f>SUM(O50:AN50)</f>
        <v>640112760728.82812</v>
      </c>
      <c r="N50" s="49">
        <f t="shared" ref="N50:N75" si="37">+D50</f>
        <v>0</v>
      </c>
      <c r="O50" s="49">
        <f t="shared" ref="O50:AN50" si="38">+-PV($D$6,$B51-$B50,0,O51,0)</f>
        <v>21170689550.38306</v>
      </c>
      <c r="P50" s="49">
        <f t="shared" si="38"/>
        <v>22166805208.928459</v>
      </c>
      <c r="Q50" s="49">
        <f t="shared" si="38"/>
        <v>23169611515.342529</v>
      </c>
      <c r="R50" s="49">
        <f t="shared" si="38"/>
        <v>24240628519.346928</v>
      </c>
      <c r="S50" s="49">
        <f t="shared" si="38"/>
        <v>25352284553.505245</v>
      </c>
      <c r="T50" s="49">
        <f t="shared" si="38"/>
        <v>26408035778.421841</v>
      </c>
      <c r="U50" s="49">
        <f t="shared" si="38"/>
        <v>27474215748.774353</v>
      </c>
      <c r="V50" s="49">
        <f t="shared" si="38"/>
        <v>28589946836.367363</v>
      </c>
      <c r="W50" s="49">
        <f t="shared" si="38"/>
        <v>29768384367.068279</v>
      </c>
      <c r="X50" s="49">
        <f t="shared" si="38"/>
        <v>30967978518.086838</v>
      </c>
      <c r="Y50" s="49">
        <f t="shared" si="38"/>
        <v>32100765888.827137</v>
      </c>
      <c r="Z50" s="49">
        <f t="shared" si="38"/>
        <v>33243343974.447193</v>
      </c>
      <c r="AA50" s="49">
        <f t="shared" si="38"/>
        <v>34409300550.035873</v>
      </c>
      <c r="AB50" s="49">
        <f t="shared" si="38"/>
        <v>35653766436.751389</v>
      </c>
      <c r="AC50" s="49">
        <f t="shared" si="38"/>
        <v>36932898337.72541</v>
      </c>
      <c r="AD50" s="49">
        <f t="shared" si="38"/>
        <v>38052516825.12011</v>
      </c>
      <c r="AE50" s="49">
        <f t="shared" si="38"/>
        <v>39239032277.378235</v>
      </c>
      <c r="AF50" s="49">
        <f t="shared" si="38"/>
        <v>47049856166.820312</v>
      </c>
      <c r="AG50" s="49">
        <f t="shared" si="38"/>
        <v>34607384953.169304</v>
      </c>
      <c r="AH50" s="49">
        <f t="shared" si="38"/>
        <v>17623489839.511456</v>
      </c>
      <c r="AI50" s="49">
        <f t="shared" si="38"/>
        <v>18070114200.475849</v>
      </c>
      <c r="AJ50" s="49">
        <f t="shared" si="38"/>
        <v>13821710682.340895</v>
      </c>
      <c r="AK50" s="49">
        <f t="shared" si="38"/>
        <v>0</v>
      </c>
      <c r="AL50" s="49">
        <f t="shared" si="38"/>
        <v>0</v>
      </c>
      <c r="AM50" s="49">
        <f t="shared" si="38"/>
        <v>0</v>
      </c>
      <c r="AN50" s="49">
        <f t="shared" si="38"/>
        <v>0</v>
      </c>
    </row>
    <row r="51" spans="1:40" s="49" customFormat="1" x14ac:dyDescent="0.25">
      <c r="A51" s="54">
        <f>+EOMONTH(A50,12)</f>
        <v>41639</v>
      </c>
      <c r="B51" s="53">
        <f>+B50+1</f>
        <v>1</v>
      </c>
      <c r="C51" s="53"/>
      <c r="D51" s="65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92">
        <f>+D51-SUM(E51:J51)</f>
        <v>0</v>
      </c>
      <c r="L51" s="10"/>
      <c r="M51" s="57">
        <f t="shared" ref="M51:M76" si="39">SUM(O51:AN51)</f>
        <v>683555849959.27759</v>
      </c>
      <c r="N51" s="49">
        <f t="shared" si="37"/>
        <v>0</v>
      </c>
      <c r="O51" s="49">
        <f t="shared" ref="O51:AM51" si="40">+-PV($D$6,$B52-$B51,0,O52,0)</f>
        <v>22607499143.368279</v>
      </c>
      <c r="P51" s="49">
        <f t="shared" si="40"/>
        <v>23671219049.310284</v>
      </c>
      <c r="Q51" s="49">
        <f t="shared" si="40"/>
        <v>24742083683.136543</v>
      </c>
      <c r="R51" s="49">
        <f t="shared" si="40"/>
        <v>25885788329.267174</v>
      </c>
      <c r="S51" s="49">
        <f t="shared" si="40"/>
        <v>27072890089.941738</v>
      </c>
      <c r="T51" s="49">
        <f t="shared" si="40"/>
        <v>28200292901.083527</v>
      </c>
      <c r="U51" s="49">
        <f t="shared" si="40"/>
        <v>29338832234.394226</v>
      </c>
      <c r="V51" s="49">
        <f t="shared" si="40"/>
        <v>30530285613.697685</v>
      </c>
      <c r="W51" s="49">
        <f t="shared" si="40"/>
        <v>31788701188.79887</v>
      </c>
      <c r="X51" s="49">
        <f t="shared" si="40"/>
        <v>33069709238.961838</v>
      </c>
      <c r="Y51" s="49">
        <f t="shared" si="40"/>
        <v>34279376475.009247</v>
      </c>
      <c r="Z51" s="49">
        <f t="shared" si="40"/>
        <v>35499498900.894966</v>
      </c>
      <c r="AA51" s="49">
        <f t="shared" si="40"/>
        <v>36744586465.052681</v>
      </c>
      <c r="AB51" s="49">
        <f t="shared" si="40"/>
        <v>38073511600.009521</v>
      </c>
      <c r="AC51" s="49">
        <f t="shared" si="40"/>
        <v>39439455457.752312</v>
      </c>
      <c r="AD51" s="49">
        <f t="shared" si="40"/>
        <v>40635060066.399406</v>
      </c>
      <c r="AE51" s="49">
        <f t="shared" si="40"/>
        <v>41902101794.382874</v>
      </c>
      <c r="AF51" s="49">
        <f t="shared" si="40"/>
        <v>50243029659.26516</v>
      </c>
      <c r="AG51" s="49">
        <f t="shared" si="40"/>
        <v>36956114434.583206</v>
      </c>
      <c r="AH51" s="49">
        <f t="shared" si="40"/>
        <v>18819558545.872013</v>
      </c>
      <c r="AI51" s="49">
        <f t="shared" si="40"/>
        <v>19296494350.626053</v>
      </c>
      <c r="AJ51" s="49">
        <f t="shared" si="40"/>
        <v>14759760737.469795</v>
      </c>
      <c r="AK51" s="49">
        <f t="shared" si="40"/>
        <v>0</v>
      </c>
      <c r="AL51" s="49">
        <f t="shared" si="40"/>
        <v>0</v>
      </c>
      <c r="AM51" s="49">
        <f t="shared" si="40"/>
        <v>0</v>
      </c>
      <c r="AN51" s="49">
        <f>+N51</f>
        <v>0</v>
      </c>
    </row>
    <row r="52" spans="1:40" s="49" customFormat="1" x14ac:dyDescent="0.25">
      <c r="A52" s="54">
        <f t="shared" ref="A52:A76" si="41">+EOMONTH(A51,12)</f>
        <v>42004</v>
      </c>
      <c r="B52" s="53">
        <f t="shared" ref="B52:B76" si="42">+B51+1</f>
        <v>2</v>
      </c>
      <c r="C52" s="53"/>
      <c r="D52" s="65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92">
        <f t="shared" ref="K52:K77" si="43">+D52-SUM(E52:J52)</f>
        <v>0</v>
      </c>
      <c r="L52" s="10"/>
      <c r="M52" s="57">
        <f t="shared" si="39"/>
        <v>729947329094.86768</v>
      </c>
      <c r="N52" s="49">
        <f t="shared" si="37"/>
        <v>0</v>
      </c>
      <c r="O52" s="49">
        <f t="shared" ref="O52:AL52" si="44">+-PV($D$6,$B53-$B52,0,O53,0)</f>
        <v>24141821942.127045</v>
      </c>
      <c r="P52" s="49">
        <f t="shared" si="44"/>
        <v>25277734251.697166</v>
      </c>
      <c r="Q52" s="49">
        <f t="shared" si="44"/>
        <v>26421276186.61031</v>
      </c>
      <c r="R52" s="49">
        <f t="shared" si="44"/>
        <v>27642601630.268177</v>
      </c>
      <c r="S52" s="49">
        <f t="shared" si="44"/>
        <v>28910269458.171101</v>
      </c>
      <c r="T52" s="49">
        <f t="shared" si="44"/>
        <v>30114186696.032528</v>
      </c>
      <c r="U52" s="49">
        <f t="shared" si="44"/>
        <v>31329996268.094719</v>
      </c>
      <c r="V52" s="49">
        <f t="shared" si="44"/>
        <v>32602311049.711212</v>
      </c>
      <c r="W52" s="49">
        <f t="shared" si="44"/>
        <v>33946132608.682899</v>
      </c>
      <c r="X52" s="49">
        <f t="shared" si="44"/>
        <v>35314079945.862717</v>
      </c>
      <c r="Y52" s="49">
        <f t="shared" si="44"/>
        <v>36605844719.873474</v>
      </c>
      <c r="Z52" s="49">
        <f t="shared" si="44"/>
        <v>37908774255.180779</v>
      </c>
      <c r="AA52" s="49">
        <f t="shared" si="44"/>
        <v>39238363259.503258</v>
      </c>
      <c r="AB52" s="49">
        <f t="shared" si="44"/>
        <v>40657479711.928574</v>
      </c>
      <c r="AC52" s="49">
        <f t="shared" si="44"/>
        <v>42116127268.982307</v>
      </c>
      <c r="AD52" s="49">
        <f t="shared" si="44"/>
        <v>43392875015.033279</v>
      </c>
      <c r="AE52" s="49">
        <f t="shared" si="44"/>
        <v>44745908165.504272</v>
      </c>
      <c r="AF52" s="49">
        <f t="shared" si="44"/>
        <v>53652917033.187134</v>
      </c>
      <c r="AG52" s="49">
        <f t="shared" si="44"/>
        <v>39464247181.639053</v>
      </c>
      <c r="AH52" s="49">
        <f t="shared" si="44"/>
        <v>20096801886.959438</v>
      </c>
      <c r="AI52" s="49">
        <f t="shared" si="44"/>
        <v>20606106308.610809</v>
      </c>
      <c r="AJ52" s="49">
        <f t="shared" si="44"/>
        <v>15761474251.207447</v>
      </c>
      <c r="AK52" s="49">
        <f t="shared" si="44"/>
        <v>0</v>
      </c>
      <c r="AL52" s="49">
        <f t="shared" si="44"/>
        <v>0</v>
      </c>
      <c r="AM52" s="49">
        <f>+N52</f>
        <v>0</v>
      </c>
    </row>
    <row r="53" spans="1:40" s="49" customFormat="1" x14ac:dyDescent="0.25">
      <c r="A53" s="54">
        <f t="shared" si="41"/>
        <v>42369</v>
      </c>
      <c r="B53" s="53">
        <f t="shared" si="42"/>
        <v>3</v>
      </c>
      <c r="C53" s="53"/>
      <c r="D53" s="65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92">
        <f t="shared" si="43"/>
        <v>0</v>
      </c>
      <c r="L53" s="10"/>
      <c r="M53" s="57">
        <f t="shared" si="39"/>
        <v>779487299076.54773</v>
      </c>
      <c r="N53" s="49">
        <f t="shared" si="37"/>
        <v>0</v>
      </c>
      <c r="O53" s="49">
        <f t="shared" ref="O53:AK53" si="45">+-PV($D$6,$B54-$B53,0,O54,0)</f>
        <v>25780275960.171139</v>
      </c>
      <c r="P53" s="49">
        <f t="shared" si="45"/>
        <v>26993280217.988682</v>
      </c>
      <c r="Q53" s="49">
        <f t="shared" si="45"/>
        <v>28214431907.565407</v>
      </c>
      <c r="R53" s="49">
        <f t="shared" si="45"/>
        <v>29518646106.897873</v>
      </c>
      <c r="S53" s="49">
        <f t="shared" si="45"/>
        <v>30872347849.355873</v>
      </c>
      <c r="T53" s="49">
        <f t="shared" si="45"/>
        <v>32157972385.054855</v>
      </c>
      <c r="U53" s="49">
        <f t="shared" si="45"/>
        <v>33456296362.338703</v>
      </c>
      <c r="V53" s="49">
        <f t="shared" si="45"/>
        <v>34814960437.357895</v>
      </c>
      <c r="W53" s="49">
        <f t="shared" si="45"/>
        <v>36249984302.357254</v>
      </c>
      <c r="X53" s="49">
        <f t="shared" si="45"/>
        <v>37710771310.728745</v>
      </c>
      <c r="Y53" s="49">
        <f t="shared" si="45"/>
        <v>39090205407.685364</v>
      </c>
      <c r="Z53" s="49">
        <f t="shared" si="45"/>
        <v>40481561994.499802</v>
      </c>
      <c r="AA53" s="49">
        <f t="shared" si="45"/>
        <v>41901387371.690147</v>
      </c>
      <c r="AB53" s="49">
        <f t="shared" si="45"/>
        <v>43416816234.13665</v>
      </c>
      <c r="AC53" s="49">
        <f t="shared" si="45"/>
        <v>44974459093.056755</v>
      </c>
      <c r="AD53" s="49">
        <f t="shared" si="45"/>
        <v>46337856988.361603</v>
      </c>
      <c r="AE53" s="49">
        <f t="shared" si="45"/>
        <v>47782717615.948883</v>
      </c>
      <c r="AF53" s="49">
        <f t="shared" si="45"/>
        <v>57294226197.986092</v>
      </c>
      <c r="AG53" s="49">
        <f t="shared" si="45"/>
        <v>42142601554.347382</v>
      </c>
      <c r="AH53" s="49">
        <f t="shared" si="45"/>
        <v>21460729012.279942</v>
      </c>
      <c r="AI53" s="49">
        <f t="shared" si="45"/>
        <v>22004598839.892086</v>
      </c>
      <c r="AJ53" s="49">
        <f t="shared" si="45"/>
        <v>16831171926.846672</v>
      </c>
      <c r="AK53" s="49">
        <f t="shared" si="45"/>
        <v>0</v>
      </c>
      <c r="AL53" s="49">
        <f>+N53</f>
        <v>0</v>
      </c>
    </row>
    <row r="54" spans="1:40" s="49" customFormat="1" x14ac:dyDescent="0.25">
      <c r="A54" s="54">
        <f t="shared" si="41"/>
        <v>42735</v>
      </c>
      <c r="B54" s="53">
        <f t="shared" si="42"/>
        <v>4</v>
      </c>
      <c r="C54" s="53"/>
      <c r="D54" s="65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92">
        <f t="shared" si="43"/>
        <v>0</v>
      </c>
      <c r="L54" s="10"/>
      <c r="M54" s="57">
        <f t="shared" si="39"/>
        <v>832389441269.78857</v>
      </c>
      <c r="N54" s="49">
        <f t="shared" si="37"/>
        <v>0</v>
      </c>
      <c r="O54" s="49">
        <f t="shared" ref="O54:AJ54" si="46">+-PV($D$6,$B55-$B54,0,O55,0)</f>
        <v>27529928361.48888</v>
      </c>
      <c r="P54" s="49">
        <f t="shared" si="46"/>
        <v>28825256633.82737</v>
      </c>
      <c r="Q54" s="49">
        <f t="shared" si="46"/>
        <v>30129285286.759415</v>
      </c>
      <c r="R54" s="49">
        <f t="shared" si="46"/>
        <v>31522013725.009266</v>
      </c>
      <c r="S54" s="49">
        <f t="shared" si="46"/>
        <v>32967588320.497189</v>
      </c>
      <c r="T54" s="49">
        <f t="shared" si="46"/>
        <v>34340465454.250355</v>
      </c>
      <c r="U54" s="49">
        <f t="shared" si="46"/>
        <v>35726903913.631004</v>
      </c>
      <c r="V54" s="49">
        <f t="shared" si="46"/>
        <v>37177777624.618179</v>
      </c>
      <c r="W54" s="49">
        <f t="shared" si="46"/>
        <v>38710193501.837395</v>
      </c>
      <c r="X54" s="49">
        <f t="shared" si="46"/>
        <v>40270121012.07782</v>
      </c>
      <c r="Y54" s="49">
        <f t="shared" si="46"/>
        <v>41743174362.138184</v>
      </c>
      <c r="Z54" s="49">
        <f t="shared" si="46"/>
        <v>43228959356.040665</v>
      </c>
      <c r="AA54" s="49">
        <f t="shared" si="46"/>
        <v>44745145256.465553</v>
      </c>
      <c r="AB54" s="49">
        <f t="shared" si="46"/>
        <v>46363423046.995766</v>
      </c>
      <c r="AC54" s="49">
        <f t="shared" si="46"/>
        <v>48026779807.998047</v>
      </c>
      <c r="AD54" s="49">
        <f t="shared" si="46"/>
        <v>49482708613.567665</v>
      </c>
      <c r="AE54" s="49">
        <f t="shared" si="46"/>
        <v>51025628853.493195</v>
      </c>
      <c r="AF54" s="49">
        <f t="shared" si="46"/>
        <v>61182663257.535812</v>
      </c>
      <c r="AG54" s="49">
        <f t="shared" si="46"/>
        <v>45002730131.762779</v>
      </c>
      <c r="AH54" s="49">
        <f t="shared" si="46"/>
        <v>22917222965.578789</v>
      </c>
      <c r="AI54" s="49">
        <f t="shared" si="46"/>
        <v>23498004079.608349</v>
      </c>
      <c r="AJ54" s="49">
        <f t="shared" si="46"/>
        <v>17973467704.606979</v>
      </c>
      <c r="AK54" s="49">
        <f>+N54</f>
        <v>0</v>
      </c>
    </row>
    <row r="55" spans="1:40" s="49" customFormat="1" x14ac:dyDescent="0.25">
      <c r="A55" s="54">
        <f t="shared" si="41"/>
        <v>43100</v>
      </c>
      <c r="B55" s="53">
        <f t="shared" si="42"/>
        <v>5</v>
      </c>
      <c r="C55" s="53"/>
      <c r="D55" s="65">
        <v>19193288663</v>
      </c>
      <c r="E55" s="58">
        <v>0</v>
      </c>
      <c r="F55" s="58">
        <v>0</v>
      </c>
      <c r="G55" s="58">
        <v>0</v>
      </c>
      <c r="H55" s="58">
        <v>0</v>
      </c>
      <c r="I55" s="58">
        <v>7465247010</v>
      </c>
      <c r="J55" s="58">
        <v>11728041653</v>
      </c>
      <c r="K55" s="92">
        <f t="shared" si="43"/>
        <v>0</v>
      </c>
      <c r="L55" s="10"/>
      <c r="M55" s="57">
        <f t="shared" si="39"/>
        <v>888881939139.06091</v>
      </c>
      <c r="N55" s="49">
        <f t="shared" si="37"/>
        <v>19193288663</v>
      </c>
      <c r="O55" s="49">
        <f t="shared" ref="O55:AI55" si="47">+-PV($D$6,$B56-$B55,0,O56,0)</f>
        <v>29398325943.431004</v>
      </c>
      <c r="P55" s="49">
        <f t="shared" si="47"/>
        <v>30781565385.754375</v>
      </c>
      <c r="Q55" s="49">
        <f t="shared" si="47"/>
        <v>32174095684.964943</v>
      </c>
      <c r="R55" s="49">
        <f t="shared" si="47"/>
        <v>33661345634.936855</v>
      </c>
      <c r="S55" s="49">
        <f t="shared" si="47"/>
        <v>35205028298.243248</v>
      </c>
      <c r="T55" s="49">
        <f t="shared" si="47"/>
        <v>36671079677.977974</v>
      </c>
      <c r="U55" s="49">
        <f t="shared" si="47"/>
        <v>38151612761.616425</v>
      </c>
      <c r="V55" s="49">
        <f t="shared" si="47"/>
        <v>39700954180.100571</v>
      </c>
      <c r="W55" s="49">
        <f t="shared" si="47"/>
        <v>41337371857.90316</v>
      </c>
      <c r="X55" s="49">
        <f t="shared" si="47"/>
        <v>43003168324.643135</v>
      </c>
      <c r="Y55" s="49">
        <f t="shared" si="47"/>
        <v>44576194667.047882</v>
      </c>
      <c r="Z55" s="49">
        <f t="shared" si="47"/>
        <v>46162816722.835953</v>
      </c>
      <c r="AA55" s="49">
        <f t="shared" si="47"/>
        <v>47781902929.899178</v>
      </c>
      <c r="AB55" s="49">
        <f t="shared" si="47"/>
        <v>49510009786.129646</v>
      </c>
      <c r="AC55" s="49">
        <f t="shared" si="47"/>
        <v>51286255026.511742</v>
      </c>
      <c r="AD55" s="49">
        <f t="shared" si="47"/>
        <v>52840994618.077141</v>
      </c>
      <c r="AE55" s="49">
        <f t="shared" si="47"/>
        <v>54488629567.302063</v>
      </c>
      <c r="AF55" s="49">
        <f t="shared" si="47"/>
        <v>65335000255.516174</v>
      </c>
      <c r="AG55" s="49">
        <f t="shared" si="47"/>
        <v>48056969541.866066</v>
      </c>
      <c r="AH55" s="49">
        <f t="shared" si="47"/>
        <v>24472566060.245678</v>
      </c>
      <c r="AI55" s="49">
        <f t="shared" si="47"/>
        <v>25092763551.057697</v>
      </c>
      <c r="AJ55" s="49">
        <f>+N55</f>
        <v>19193288663</v>
      </c>
    </row>
    <row r="56" spans="1:40" s="49" customFormat="1" x14ac:dyDescent="0.25">
      <c r="A56" s="54">
        <f t="shared" si="41"/>
        <v>43465</v>
      </c>
      <c r="B56" s="53">
        <f t="shared" si="42"/>
        <v>6</v>
      </c>
      <c r="C56" s="53"/>
      <c r="D56" s="65">
        <v>26795755950</v>
      </c>
      <c r="E56" s="58">
        <v>0</v>
      </c>
      <c r="F56" s="58">
        <v>0</v>
      </c>
      <c r="G56" s="58">
        <v>0</v>
      </c>
      <c r="H56" s="58">
        <v>0</v>
      </c>
      <c r="I56" s="58">
        <v>10422233548</v>
      </c>
      <c r="J56" s="58">
        <v>16373522402</v>
      </c>
      <c r="K56" s="92">
        <f t="shared" si="43"/>
        <v>0</v>
      </c>
      <c r="L56" s="10"/>
      <c r="M56" s="57">
        <f t="shared" si="39"/>
        <v>928712566203.53723</v>
      </c>
      <c r="N56" s="49">
        <f t="shared" si="37"/>
        <v>26795755950</v>
      </c>
      <c r="O56" s="49">
        <f t="shared" ref="O56:AH56" si="48">+-PV($D$6,$B57-$B56,0,O57,0)</f>
        <v>31393527688.405041</v>
      </c>
      <c r="P56" s="49">
        <f t="shared" si="48"/>
        <v>32870644644.514439</v>
      </c>
      <c r="Q56" s="49">
        <f t="shared" si="48"/>
        <v>34357683008.172634</v>
      </c>
      <c r="R56" s="49">
        <f t="shared" si="48"/>
        <v>35945869443.477295</v>
      </c>
      <c r="S56" s="49">
        <f t="shared" si="48"/>
        <v>37594318560.133499</v>
      </c>
      <c r="T56" s="49">
        <f t="shared" si="48"/>
        <v>39159867723.405182</v>
      </c>
      <c r="U56" s="49">
        <f t="shared" si="48"/>
        <v>40740881432.969452</v>
      </c>
      <c r="V56" s="49">
        <f t="shared" si="48"/>
        <v>42395373352.46064</v>
      </c>
      <c r="W56" s="49">
        <f t="shared" si="48"/>
        <v>44142851211.463371</v>
      </c>
      <c r="X56" s="49">
        <f t="shared" si="48"/>
        <v>45921701735.213478</v>
      </c>
      <c r="Y56" s="49">
        <f t="shared" si="48"/>
        <v>47601486023.948067</v>
      </c>
      <c r="Z56" s="49">
        <f t="shared" si="48"/>
        <v>49295788738.165947</v>
      </c>
      <c r="AA56" s="49">
        <f t="shared" si="48"/>
        <v>51024758876.437088</v>
      </c>
      <c r="AB56" s="49">
        <f t="shared" si="48"/>
        <v>52870148663.052345</v>
      </c>
      <c r="AC56" s="49">
        <f t="shared" si="48"/>
        <v>54766943883.386749</v>
      </c>
      <c r="AD56" s="49">
        <f t="shared" si="48"/>
        <v>56427200338.464737</v>
      </c>
      <c r="AE56" s="49">
        <f t="shared" si="48"/>
        <v>58186656761.201431</v>
      </c>
      <c r="AF56" s="49">
        <f t="shared" si="48"/>
        <v>69769147518.476669</v>
      </c>
      <c r="AG56" s="49">
        <f t="shared" si="48"/>
        <v>51318493673.29438</v>
      </c>
      <c r="AH56" s="49">
        <f t="shared" si="48"/>
        <v>26133466976.894814</v>
      </c>
      <c r="AI56" s="49">
        <f>+N56</f>
        <v>26795755950</v>
      </c>
    </row>
    <row r="57" spans="1:40" s="49" customFormat="1" x14ac:dyDescent="0.25">
      <c r="A57" s="54">
        <f t="shared" si="41"/>
        <v>43830</v>
      </c>
      <c r="B57" s="53">
        <f t="shared" si="42"/>
        <v>7</v>
      </c>
      <c r="C57" s="53"/>
      <c r="D57" s="65">
        <v>27907089700</v>
      </c>
      <c r="E57" s="58">
        <v>0</v>
      </c>
      <c r="F57" s="58">
        <v>0</v>
      </c>
      <c r="G57" s="58">
        <v>0</v>
      </c>
      <c r="H57" s="58">
        <v>0</v>
      </c>
      <c r="I57" s="58">
        <v>10854487817</v>
      </c>
      <c r="J57" s="58">
        <v>17052601883</v>
      </c>
      <c r="K57" s="92">
        <f t="shared" si="43"/>
        <v>0</v>
      </c>
      <c r="L57" s="10"/>
      <c r="M57" s="57">
        <f t="shared" si="39"/>
        <v>963127982518.98987</v>
      </c>
      <c r="N57" s="49">
        <f t="shared" si="37"/>
        <v>27907089700</v>
      </c>
      <c r="O57" s="49">
        <f t="shared" ref="O57:AG57" si="49">+-PV($D$6,$B58-$B57,0,O58,0)</f>
        <v>33524139524.783855</v>
      </c>
      <c r="P57" s="49">
        <f t="shared" si="49"/>
        <v>35101505261.522163</v>
      </c>
      <c r="Q57" s="49">
        <f t="shared" si="49"/>
        <v>36689465750.600807</v>
      </c>
      <c r="R57" s="49">
        <f t="shared" si="49"/>
        <v>38385439015.439957</v>
      </c>
      <c r="S57" s="49">
        <f t="shared" si="49"/>
        <v>40145764861.416809</v>
      </c>
      <c r="T57" s="49">
        <f t="shared" si="49"/>
        <v>41817564510.801643</v>
      </c>
      <c r="U57" s="49">
        <f t="shared" si="49"/>
        <v>43505878252.286789</v>
      </c>
      <c r="V57" s="49">
        <f t="shared" si="49"/>
        <v>45272657013.25209</v>
      </c>
      <c r="W57" s="49">
        <f t="shared" si="49"/>
        <v>47138732471.325417</v>
      </c>
      <c r="X57" s="49">
        <f t="shared" si="49"/>
        <v>49038309790.059143</v>
      </c>
      <c r="Y57" s="49">
        <f t="shared" si="49"/>
        <v>50832097459.479836</v>
      </c>
      <c r="Z57" s="49">
        <f t="shared" si="49"/>
        <v>52641388888.988052</v>
      </c>
      <c r="AA57" s="49">
        <f t="shared" si="49"/>
        <v>54487700546.756752</v>
      </c>
      <c r="AB57" s="49">
        <f t="shared" si="49"/>
        <v>56458333006.356071</v>
      </c>
      <c r="AC57" s="49">
        <f t="shared" si="49"/>
        <v>58483859676.935356</v>
      </c>
      <c r="AD57" s="49">
        <f t="shared" si="49"/>
        <v>60256794200.235672</v>
      </c>
      <c r="AE57" s="49">
        <f t="shared" si="49"/>
        <v>62135661181.641754</v>
      </c>
      <c r="AF57" s="49">
        <f t="shared" si="49"/>
        <v>74504230908.669525</v>
      </c>
      <c r="AG57" s="49">
        <f t="shared" si="49"/>
        <v>54801370498.438065</v>
      </c>
      <c r="AH57" s="49">
        <f>+N57</f>
        <v>27907089700</v>
      </c>
    </row>
    <row r="58" spans="1:40" s="49" customFormat="1" x14ac:dyDescent="0.25">
      <c r="A58" s="54">
        <f t="shared" si="41"/>
        <v>44196</v>
      </c>
      <c r="B58" s="53">
        <f t="shared" si="42"/>
        <v>8</v>
      </c>
      <c r="C58" s="53"/>
      <c r="D58" s="65">
        <v>58520622753</v>
      </c>
      <c r="E58" s="58">
        <v>8324556841</v>
      </c>
      <c r="F58" s="58">
        <v>15292753738</v>
      </c>
      <c r="G58" s="58">
        <v>0</v>
      </c>
      <c r="H58" s="58">
        <v>6007395499</v>
      </c>
      <c r="I58" s="58">
        <v>11239092964</v>
      </c>
      <c r="J58" s="58">
        <v>17656823711</v>
      </c>
      <c r="K58" s="92">
        <f t="shared" si="43"/>
        <v>0</v>
      </c>
      <c r="L58" s="10"/>
      <c r="M58" s="57">
        <f t="shared" si="39"/>
        <v>998692342209.65015</v>
      </c>
      <c r="N58" s="49">
        <f t="shared" si="37"/>
        <v>58520622753</v>
      </c>
      <c r="O58" s="49">
        <f t="shared" ref="O58:AF58" si="50">+-PV($D$6,$B59-$B58,0,O59,0)</f>
        <v>35799351446.962975</v>
      </c>
      <c r="P58" s="49">
        <f t="shared" si="50"/>
        <v>37483769635.47892</v>
      </c>
      <c r="Q58" s="49">
        <f t="shared" si="50"/>
        <v>39179501619.603104</v>
      </c>
      <c r="R58" s="49">
        <f t="shared" si="50"/>
        <v>40990576976.443939</v>
      </c>
      <c r="S58" s="49">
        <f t="shared" si="50"/>
        <v>42870372386.99308</v>
      </c>
      <c r="T58" s="49">
        <f t="shared" si="50"/>
        <v>44655633516.603622</v>
      </c>
      <c r="U58" s="49">
        <f t="shared" si="50"/>
        <v>46458529514.559998</v>
      </c>
      <c r="V58" s="49">
        <f t="shared" si="50"/>
        <v>48345215785.68911</v>
      </c>
      <c r="W58" s="49">
        <f t="shared" si="50"/>
        <v>50337937809.194946</v>
      </c>
      <c r="X58" s="49">
        <f t="shared" si="50"/>
        <v>52366435393.264313</v>
      </c>
      <c r="Y58" s="49">
        <f t="shared" si="50"/>
        <v>54281963609.91983</v>
      </c>
      <c r="Z58" s="49">
        <f t="shared" si="50"/>
        <v>56214047793.827316</v>
      </c>
      <c r="AA58" s="49">
        <f t="shared" si="50"/>
        <v>58185664690.011101</v>
      </c>
      <c r="AB58" s="49">
        <f t="shared" si="50"/>
        <v>60290039775.964752</v>
      </c>
      <c r="AC58" s="49">
        <f t="shared" si="50"/>
        <v>62453034626.038597</v>
      </c>
      <c r="AD58" s="49">
        <f t="shared" si="50"/>
        <v>64346294437.976784</v>
      </c>
      <c r="AE58" s="49">
        <f t="shared" si="50"/>
        <v>66352676118.250038</v>
      </c>
      <c r="AF58" s="49">
        <f t="shared" si="50"/>
        <v>79560674319.867981</v>
      </c>
      <c r="AG58" s="49">
        <f>+N58</f>
        <v>58520622753</v>
      </c>
    </row>
    <row r="59" spans="1:40" s="49" customFormat="1" x14ac:dyDescent="0.25">
      <c r="A59" s="54">
        <f t="shared" si="41"/>
        <v>44561</v>
      </c>
      <c r="B59" s="53">
        <f t="shared" si="42"/>
        <v>9</v>
      </c>
      <c r="C59" s="53"/>
      <c r="D59" s="65">
        <v>84960287772</v>
      </c>
      <c r="E59" s="58">
        <v>8621782968</v>
      </c>
      <c r="F59" s="58">
        <v>15838777515</v>
      </c>
      <c r="G59" s="58">
        <v>24373854678</v>
      </c>
      <c r="H59" s="58">
        <v>6221887986</v>
      </c>
      <c r="I59" s="58">
        <v>11631181906</v>
      </c>
      <c r="J59" s="58">
        <v>18272802719</v>
      </c>
      <c r="K59" s="92">
        <f t="shared" si="43"/>
        <v>0</v>
      </c>
      <c r="L59" s="10"/>
      <c r="M59" s="57">
        <f t="shared" si="39"/>
        <v>1003979170902.8542</v>
      </c>
      <c r="N59" s="49">
        <f t="shared" si="37"/>
        <v>84960287772</v>
      </c>
      <c r="O59" s="49">
        <f t="shared" ref="O59:AE59" si="51">+-PV($D$6,$B60-$B59,0,O60,0)</f>
        <v>38228977154.677109</v>
      </c>
      <c r="P59" s="49">
        <f t="shared" si="51"/>
        <v>40027713216.784218</v>
      </c>
      <c r="Q59" s="49">
        <f t="shared" si="51"/>
        <v>41838530917.702049</v>
      </c>
      <c r="R59" s="49">
        <f t="shared" si="51"/>
        <v>43772520100.289337</v>
      </c>
      <c r="S59" s="49">
        <f t="shared" si="51"/>
        <v>45779893220.213448</v>
      </c>
      <c r="T59" s="49">
        <f t="shared" si="51"/>
        <v>47686316218.968765</v>
      </c>
      <c r="U59" s="49">
        <f t="shared" si="51"/>
        <v>49611570927.011246</v>
      </c>
      <c r="V59" s="49">
        <f t="shared" si="51"/>
        <v>51626302575.541061</v>
      </c>
      <c r="W59" s="49">
        <f t="shared" si="51"/>
        <v>53754266397.038986</v>
      </c>
      <c r="X59" s="49">
        <f t="shared" si="51"/>
        <v>55920433790.171585</v>
      </c>
      <c r="Y59" s="49">
        <f t="shared" si="51"/>
        <v>57965964825.619308</v>
      </c>
      <c r="Z59" s="49">
        <f t="shared" si="51"/>
        <v>60029175446.541832</v>
      </c>
      <c r="AA59" s="49">
        <f t="shared" si="51"/>
        <v>62134601780.693474</v>
      </c>
      <c r="AB59" s="49">
        <f t="shared" si="51"/>
        <v>64381796320.096741</v>
      </c>
      <c r="AC59" s="49">
        <f t="shared" si="51"/>
        <v>66691589022.114311</v>
      </c>
      <c r="AD59" s="49">
        <f t="shared" si="51"/>
        <v>68713340343.662163</v>
      </c>
      <c r="AE59" s="49">
        <f t="shared" si="51"/>
        <v>70855890873.728699</v>
      </c>
      <c r="AF59" s="49">
        <f>+N59</f>
        <v>84960287772</v>
      </c>
    </row>
    <row r="60" spans="1:40" s="49" customFormat="1" x14ac:dyDescent="0.25">
      <c r="A60" s="54">
        <f t="shared" si="41"/>
        <v>44926</v>
      </c>
      <c r="B60" s="53">
        <f t="shared" si="42"/>
        <v>10</v>
      </c>
      <c r="C60" s="53"/>
      <c r="D60" s="65">
        <v>75664729220</v>
      </c>
      <c r="E60" s="58">
        <v>8934654544</v>
      </c>
      <c r="F60" s="58">
        <v>16413543002</v>
      </c>
      <c r="G60" s="58">
        <v>12850678902</v>
      </c>
      <c r="H60" s="58">
        <v>6447670972</v>
      </c>
      <c r="I60" s="58">
        <v>12064549907</v>
      </c>
      <c r="J60" s="58">
        <v>18953631893</v>
      </c>
      <c r="K60" s="92">
        <f t="shared" si="43"/>
        <v>0</v>
      </c>
      <c r="L60" s="10"/>
      <c r="M60" s="57">
        <f t="shared" si="39"/>
        <v>981390736644.38721</v>
      </c>
      <c r="N60" s="49">
        <f t="shared" si="37"/>
        <v>75664729220</v>
      </c>
      <c r="O60" s="49">
        <f t="shared" ref="O60:AD60" si="52">+-PV($D$6,$B61-$B60,0,O61,0)</f>
        <v>40823496382.552658</v>
      </c>
      <c r="P60" s="49">
        <f t="shared" si="52"/>
        <v>42744308828.763054</v>
      </c>
      <c r="Q60" s="49">
        <f t="shared" si="52"/>
        <v>44678022868.868813</v>
      </c>
      <c r="R60" s="49">
        <f t="shared" si="52"/>
        <v>46743267776.672699</v>
      </c>
      <c r="S60" s="49">
        <f t="shared" si="52"/>
        <v>48886877033.286819</v>
      </c>
      <c r="T60" s="49">
        <f t="shared" si="52"/>
        <v>50922684899.095261</v>
      </c>
      <c r="U60" s="49">
        <f t="shared" si="52"/>
        <v>52978602542.176872</v>
      </c>
      <c r="V60" s="49">
        <f t="shared" si="52"/>
        <v>55130069735.054901</v>
      </c>
      <c r="W60" s="49">
        <f t="shared" si="52"/>
        <v>57402453927.22509</v>
      </c>
      <c r="X60" s="49">
        <f t="shared" si="52"/>
        <v>59715634486.039307</v>
      </c>
      <c r="Y60" s="49">
        <f t="shared" si="52"/>
        <v>61899991354.603416</v>
      </c>
      <c r="Z60" s="49">
        <f t="shared" si="52"/>
        <v>64103227684.439934</v>
      </c>
      <c r="AA60" s="49">
        <f t="shared" si="52"/>
        <v>66351544818.016579</v>
      </c>
      <c r="AB60" s="49">
        <f t="shared" si="52"/>
        <v>68751251662.880402</v>
      </c>
      <c r="AC60" s="49">
        <f t="shared" si="52"/>
        <v>71217805074.281952</v>
      </c>
      <c r="AD60" s="49">
        <f t="shared" si="52"/>
        <v>73376768350.429459</v>
      </c>
      <c r="AE60" s="49">
        <f>+N60</f>
        <v>75664729220</v>
      </c>
    </row>
    <row r="61" spans="1:40" s="49" customFormat="1" x14ac:dyDescent="0.25">
      <c r="A61" s="54">
        <f t="shared" si="41"/>
        <v>45291</v>
      </c>
      <c r="B61" s="53">
        <f t="shared" si="42"/>
        <v>11</v>
      </c>
      <c r="C61" s="53"/>
      <c r="D61" s="65">
        <v>78356693280</v>
      </c>
      <c r="E61" s="58">
        <v>9253145445</v>
      </c>
      <c r="F61" s="58">
        <v>16998631554</v>
      </c>
      <c r="G61" s="58">
        <v>13308763127</v>
      </c>
      <c r="H61" s="58">
        <v>6677509129</v>
      </c>
      <c r="I61" s="58">
        <v>12492575686</v>
      </c>
      <c r="J61" s="58">
        <v>19626068339</v>
      </c>
      <c r="K61" s="92">
        <f t="shared" si="43"/>
        <v>0</v>
      </c>
      <c r="L61" s="10"/>
      <c r="M61" s="57">
        <f t="shared" si="39"/>
        <v>967195701785.85474</v>
      </c>
      <c r="N61" s="49">
        <f t="shared" si="37"/>
        <v>78356693280</v>
      </c>
      <c r="O61" s="49">
        <f t="shared" ref="O61:AC61" si="53">+-PV($D$6,$B62-$B61,0,O62,0)</f>
        <v>43594100102.47673</v>
      </c>
      <c r="P61" s="49">
        <f t="shared" si="53"/>
        <v>45645273996.880516</v>
      </c>
      <c r="Q61" s="49">
        <f t="shared" si="53"/>
        <v>47710225088.868881</v>
      </c>
      <c r="R61" s="49">
        <f t="shared" si="53"/>
        <v>49915633768.303093</v>
      </c>
      <c r="S61" s="49">
        <f t="shared" si="53"/>
        <v>52204725217.936264</v>
      </c>
      <c r="T61" s="49">
        <f t="shared" si="53"/>
        <v>54378699026.0541</v>
      </c>
      <c r="U61" s="49">
        <f t="shared" si="53"/>
        <v>56574147419.182236</v>
      </c>
      <c r="V61" s="49">
        <f t="shared" si="53"/>
        <v>58871630106.47123</v>
      </c>
      <c r="W61" s="49">
        <f t="shared" si="53"/>
        <v>61298236172.165565</v>
      </c>
      <c r="X61" s="49">
        <f t="shared" si="53"/>
        <v>63768407366.986298</v>
      </c>
      <c r="Y61" s="49">
        <f t="shared" si="53"/>
        <v>66101011882.174614</v>
      </c>
      <c r="Z61" s="49">
        <f t="shared" si="53"/>
        <v>68453777167.446854</v>
      </c>
      <c r="AA61" s="49">
        <f t="shared" si="53"/>
        <v>70854682794.558777</v>
      </c>
      <c r="AB61" s="49">
        <f t="shared" si="53"/>
        <v>73417252630.108231</v>
      </c>
      <c r="AC61" s="49">
        <f t="shared" si="53"/>
        <v>76051205766.241379</v>
      </c>
      <c r="AD61" s="49">
        <f>+N61</f>
        <v>78356693280</v>
      </c>
    </row>
    <row r="62" spans="1:40" s="49" customFormat="1" x14ac:dyDescent="0.25">
      <c r="A62" s="54">
        <f t="shared" si="41"/>
        <v>45657</v>
      </c>
      <c r="B62" s="53">
        <f t="shared" si="42"/>
        <v>12</v>
      </c>
      <c r="C62" s="53"/>
      <c r="D62" s="65">
        <v>81212639065</v>
      </c>
      <c r="E62" s="58">
        <v>9590315445</v>
      </c>
      <c r="F62" s="58">
        <v>17618034831</v>
      </c>
      <c r="G62" s="58">
        <v>13793713428</v>
      </c>
      <c r="H62" s="58">
        <v>6920827012</v>
      </c>
      <c r="I62" s="58">
        <v>12948077774</v>
      </c>
      <c r="J62" s="58">
        <v>20341670575</v>
      </c>
      <c r="K62" s="92">
        <f t="shared" si="43"/>
        <v>0</v>
      </c>
      <c r="L62" s="10"/>
      <c r="M62" s="57">
        <f t="shared" si="39"/>
        <v>949162618230.58276</v>
      </c>
      <c r="N62" s="49">
        <f t="shared" si="37"/>
        <v>81212639065</v>
      </c>
      <c r="O62" s="49">
        <f t="shared" ref="O62:AB62" si="54">+-PV($D$6,$B63-$B62,0,O63,0)</f>
        <v>46552738793.754654</v>
      </c>
      <c r="P62" s="49">
        <f t="shared" si="54"/>
        <v>48743121490.089355</v>
      </c>
      <c r="Q62" s="49">
        <f t="shared" si="54"/>
        <v>50948216413.054665</v>
      </c>
      <c r="R62" s="49">
        <f t="shared" si="54"/>
        <v>53303301480.663322</v>
      </c>
      <c r="S62" s="49">
        <f t="shared" si="54"/>
        <v>55747748689.78775</v>
      </c>
      <c r="T62" s="49">
        <f t="shared" si="54"/>
        <v>58069265468.339722</v>
      </c>
      <c r="U62" s="49">
        <f t="shared" si="54"/>
        <v>60413714266.232346</v>
      </c>
      <c r="V62" s="49">
        <f t="shared" si="54"/>
        <v>62867122208.433716</v>
      </c>
      <c r="W62" s="49">
        <f t="shared" si="54"/>
        <v>65458416857.619316</v>
      </c>
      <c r="X62" s="49">
        <f t="shared" si="54"/>
        <v>68096233308.424156</v>
      </c>
      <c r="Y62" s="49">
        <f t="shared" si="54"/>
        <v>70587146722.152939</v>
      </c>
      <c r="Z62" s="49">
        <f t="shared" si="54"/>
        <v>73099589174.476196</v>
      </c>
      <c r="AA62" s="49">
        <f t="shared" si="54"/>
        <v>75663439151.070786</v>
      </c>
      <c r="AB62" s="49">
        <f t="shared" si="54"/>
        <v>78399925141.483765</v>
      </c>
      <c r="AC62" s="49">
        <f>+N62</f>
        <v>81212639065</v>
      </c>
    </row>
    <row r="63" spans="1:40" s="49" customFormat="1" x14ac:dyDescent="0.25">
      <c r="A63" s="54">
        <f t="shared" si="41"/>
        <v>46022</v>
      </c>
      <c r="B63" s="53">
        <f t="shared" si="42"/>
        <v>13</v>
      </c>
      <c r="C63" s="53"/>
      <c r="D63" s="65">
        <v>83720761020</v>
      </c>
      <c r="E63" s="58">
        <v>9887608918</v>
      </c>
      <c r="F63" s="58">
        <v>18164182328</v>
      </c>
      <c r="G63" s="58">
        <v>14221309475</v>
      </c>
      <c r="H63" s="58">
        <v>7135368099</v>
      </c>
      <c r="I63" s="58">
        <v>13345797131</v>
      </c>
      <c r="J63" s="58">
        <v>20966495069</v>
      </c>
      <c r="K63" s="92">
        <f t="shared" si="43"/>
        <v>0</v>
      </c>
      <c r="L63" s="10"/>
      <c r="M63" s="57">
        <f t="shared" si="39"/>
        <v>926855894975.67334</v>
      </c>
      <c r="N63" s="49">
        <f t="shared" si="37"/>
        <v>83720761020</v>
      </c>
      <c r="O63" s="49">
        <f t="shared" ref="O63:AA63" si="55">+-PV($D$6,$B64-$B63,0,O64,0)</f>
        <v>49712173989.260208</v>
      </c>
      <c r="P63" s="49">
        <f t="shared" si="55"/>
        <v>52051213292.311127</v>
      </c>
      <c r="Q63" s="49">
        <f t="shared" si="55"/>
        <v>54405963309.467842</v>
      </c>
      <c r="R63" s="49">
        <f t="shared" si="55"/>
        <v>56920882982.812103</v>
      </c>
      <c r="S63" s="49">
        <f t="shared" si="55"/>
        <v>59531229615.819611</v>
      </c>
      <c r="T63" s="49">
        <f t="shared" si="55"/>
        <v>62010302791.850342</v>
      </c>
      <c r="U63" s="49">
        <f t="shared" si="55"/>
        <v>64513864334.514839</v>
      </c>
      <c r="V63" s="49">
        <f t="shared" si="55"/>
        <v>67133779846.461258</v>
      </c>
      <c r="W63" s="49">
        <f t="shared" si="55"/>
        <v>69900940142.410065</v>
      </c>
      <c r="X63" s="49">
        <f t="shared" si="55"/>
        <v>72717779575.533493</v>
      </c>
      <c r="Y63" s="49">
        <f t="shared" si="55"/>
        <v>75377745975.449783</v>
      </c>
      <c r="Z63" s="49">
        <f t="shared" si="55"/>
        <v>78060702543.939667</v>
      </c>
      <c r="AA63" s="49">
        <f t="shared" si="55"/>
        <v>80798555555.843002</v>
      </c>
      <c r="AB63" s="49">
        <f>+N63</f>
        <v>83720761020</v>
      </c>
    </row>
    <row r="64" spans="1:40" s="49" customFormat="1" x14ac:dyDescent="0.25">
      <c r="A64" s="54">
        <f t="shared" si="41"/>
        <v>46387</v>
      </c>
      <c r="B64" s="53">
        <f t="shared" si="42"/>
        <v>14</v>
      </c>
      <c r="C64" s="53"/>
      <c r="D64" s="65">
        <v>86282181370</v>
      </c>
      <c r="E64" s="58">
        <v>10186489851</v>
      </c>
      <c r="F64" s="58">
        <v>18713246089</v>
      </c>
      <c r="G64" s="58">
        <v>14651188758</v>
      </c>
      <c r="H64" s="58">
        <v>7351054772</v>
      </c>
      <c r="I64" s="58">
        <v>13761161576</v>
      </c>
      <c r="J64" s="58">
        <v>21619040324</v>
      </c>
      <c r="K64" s="92">
        <f t="shared" si="43"/>
        <v>0</v>
      </c>
      <c r="L64" s="10"/>
      <c r="M64" s="57">
        <f t="shared" si="39"/>
        <v>900356919092.49561</v>
      </c>
      <c r="N64" s="49">
        <f t="shared" si="37"/>
        <v>86282181370</v>
      </c>
      <c r="O64" s="49">
        <f t="shared" ref="O64:Z64" si="56">+-PV($D$6,$B65-$B64,0,O65,0)</f>
        <v>53086033319.913277</v>
      </c>
      <c r="P64" s="49">
        <f t="shared" si="56"/>
        <v>55583818236.846779</v>
      </c>
      <c r="Q64" s="49">
        <f t="shared" si="56"/>
        <v>58098380120.578789</v>
      </c>
      <c r="R64" s="49">
        <f t="shared" si="56"/>
        <v>60783982033.80233</v>
      </c>
      <c r="S64" s="49">
        <f t="shared" si="56"/>
        <v>63571487331.122406</v>
      </c>
      <c r="T64" s="49">
        <f t="shared" si="56"/>
        <v>66218809921.635193</v>
      </c>
      <c r="U64" s="49">
        <f t="shared" si="56"/>
        <v>68892282852.049652</v>
      </c>
      <c r="V64" s="49">
        <f t="shared" si="56"/>
        <v>71690006447.734528</v>
      </c>
      <c r="W64" s="49">
        <f t="shared" si="56"/>
        <v>74644968017.188629</v>
      </c>
      <c r="X64" s="49">
        <f t="shared" si="56"/>
        <v>77652980341.009781</v>
      </c>
      <c r="Y64" s="49">
        <f t="shared" si="56"/>
        <v>80493472993.09761</v>
      </c>
      <c r="Z64" s="49">
        <f t="shared" si="56"/>
        <v>83358516107.516708</v>
      </c>
      <c r="AA64" s="49">
        <f>+N64</f>
        <v>86282181370</v>
      </c>
    </row>
    <row r="65" spans="1:26" s="49" customFormat="1" x14ac:dyDescent="0.25">
      <c r="A65" s="54">
        <f t="shared" si="41"/>
        <v>46752</v>
      </c>
      <c r="B65" s="53">
        <f t="shared" si="42"/>
        <v>15</v>
      </c>
      <c r="C65" s="53"/>
      <c r="D65" s="65">
        <v>89015880990</v>
      </c>
      <c r="E65" s="58">
        <v>10509877163</v>
      </c>
      <c r="F65" s="58">
        <v>19307329669</v>
      </c>
      <c r="G65" s="58">
        <v>15116315472</v>
      </c>
      <c r="H65" s="58">
        <v>7584426412</v>
      </c>
      <c r="I65" s="58">
        <v>14195903817</v>
      </c>
      <c r="J65" s="58">
        <v>22302028457</v>
      </c>
      <c r="K65" s="92">
        <f t="shared" si="43"/>
        <v>0</v>
      </c>
      <c r="L65" s="10"/>
      <c r="M65" s="57">
        <f t="shared" si="39"/>
        <v>869324255683.77734</v>
      </c>
      <c r="N65" s="49">
        <f t="shared" si="37"/>
        <v>89015880990</v>
      </c>
      <c r="O65" s="49">
        <f t="shared" ref="O65:Y65" si="57">+-PV($D$6,$B66-$B65,0,O66,0)</f>
        <v>56688869294.90892</v>
      </c>
      <c r="P65" s="49">
        <f t="shared" si="57"/>
        <v>59356173552.311844</v>
      </c>
      <c r="Q65" s="49">
        <f t="shared" si="57"/>
        <v>62041393393.504471</v>
      </c>
      <c r="R65" s="49">
        <f t="shared" si="57"/>
        <v>64909261386.568062</v>
      </c>
      <c r="S65" s="49">
        <f t="shared" si="57"/>
        <v>67885948729.288925</v>
      </c>
      <c r="T65" s="49">
        <f t="shared" si="57"/>
        <v>70712939463.568268</v>
      </c>
      <c r="U65" s="49">
        <f t="shared" si="57"/>
        <v>73567855305.601837</v>
      </c>
      <c r="V65" s="49">
        <f t="shared" si="57"/>
        <v>76555454440.826157</v>
      </c>
      <c r="W65" s="49">
        <f t="shared" si="57"/>
        <v>79710962956.084274</v>
      </c>
      <c r="X65" s="49">
        <f t="shared" si="57"/>
        <v>82923122667.377075</v>
      </c>
      <c r="Y65" s="49">
        <f t="shared" si="57"/>
        <v>85956393503.737595</v>
      </c>
      <c r="Z65" s="49">
        <f>+N65</f>
        <v>89015880990</v>
      </c>
    </row>
    <row r="66" spans="1:26" s="49" customFormat="1" x14ac:dyDescent="0.25">
      <c r="A66" s="54">
        <f t="shared" si="41"/>
        <v>47118</v>
      </c>
      <c r="B66" s="53">
        <f t="shared" si="42"/>
        <v>16</v>
      </c>
      <c r="C66" s="53"/>
      <c r="D66" s="65">
        <v>91790070790</v>
      </c>
      <c r="E66" s="58">
        <v>10843539312</v>
      </c>
      <c r="F66" s="58">
        <v>19920288795</v>
      </c>
      <c r="G66" s="58">
        <v>15596220445</v>
      </c>
      <c r="H66" s="58">
        <v>7825212863</v>
      </c>
      <c r="I66" s="58">
        <v>14626424668</v>
      </c>
      <c r="J66" s="58">
        <v>22978384707</v>
      </c>
      <c r="K66" s="92">
        <f t="shared" si="43"/>
        <v>0</v>
      </c>
      <c r="L66" s="10"/>
      <c r="M66" s="57">
        <f t="shared" si="39"/>
        <v>833266241539.75537</v>
      </c>
      <c r="N66" s="49">
        <f t="shared" si="37"/>
        <v>91790070790</v>
      </c>
      <c r="O66" s="49">
        <f t="shared" ref="O66:X66" si="58">+-PV($D$6,$B67-$B66,0,O67,0)</f>
        <v>60536222071.235313</v>
      </c>
      <c r="P66" s="49">
        <f t="shared" si="58"/>
        <v>63384550585.563187</v>
      </c>
      <c r="Q66" s="49">
        <f t="shared" si="58"/>
        <v>66252010576.181175</v>
      </c>
      <c r="R66" s="49">
        <f t="shared" si="58"/>
        <v>69314514659.582901</v>
      </c>
      <c r="S66" s="49">
        <f t="shared" si="58"/>
        <v>72493223430.049927</v>
      </c>
      <c r="T66" s="49">
        <f t="shared" si="58"/>
        <v>75512076002.207825</v>
      </c>
      <c r="U66" s="49">
        <f t="shared" si="58"/>
        <v>78560748899.685303</v>
      </c>
      <c r="V66" s="49">
        <f t="shared" si="58"/>
        <v>81751110022.764053</v>
      </c>
      <c r="W66" s="49">
        <f t="shared" si="58"/>
        <v>85120776177.747574</v>
      </c>
      <c r="X66" s="49">
        <f t="shared" si="58"/>
        <v>88550938324.738205</v>
      </c>
      <c r="Y66" s="49">
        <f>+N66</f>
        <v>91790070790</v>
      </c>
    </row>
    <row r="67" spans="1:26" s="49" customFormat="1" x14ac:dyDescent="0.25">
      <c r="A67" s="54">
        <f t="shared" si="41"/>
        <v>47483</v>
      </c>
      <c r="B67" s="53">
        <f t="shared" si="42"/>
        <v>17</v>
      </c>
      <c r="C67" s="53"/>
      <c r="D67" s="65">
        <v>94560701840</v>
      </c>
      <c r="E67" s="58">
        <v>11167629816</v>
      </c>
      <c r="F67" s="58">
        <v>20515664183</v>
      </c>
      <c r="G67" s="58">
        <v>16062358557</v>
      </c>
      <c r="H67" s="58">
        <v>8059091959</v>
      </c>
      <c r="I67" s="58">
        <v>15074164706</v>
      </c>
      <c r="J67" s="58">
        <v>23681792619</v>
      </c>
      <c r="K67" s="92">
        <f t="shared" si="43"/>
        <v>0</v>
      </c>
      <c r="L67" s="10"/>
      <c r="M67" s="57">
        <f t="shared" si="39"/>
        <v>791798578650.91516</v>
      </c>
      <c r="N67" s="49">
        <f t="shared" si="37"/>
        <v>94560701840</v>
      </c>
      <c r="O67" s="49">
        <f t="shared" ref="O67:W67" si="59">+-PV($D$6,$B68-$B67,0,O68,0)</f>
        <v>64644686483.225174</v>
      </c>
      <c r="P67" s="49">
        <f t="shared" si="59"/>
        <v>67686324985.100693</v>
      </c>
      <c r="Q67" s="49">
        <f t="shared" si="59"/>
        <v>70748393375.80014</v>
      </c>
      <c r="R67" s="49">
        <f t="shared" si="59"/>
        <v>74018743086.294739</v>
      </c>
      <c r="S67" s="49">
        <f t="shared" si="59"/>
        <v>77413184048.377167</v>
      </c>
      <c r="T67" s="49">
        <f t="shared" si="59"/>
        <v>80636919712.564819</v>
      </c>
      <c r="U67" s="49">
        <f t="shared" si="59"/>
        <v>83892499544.015564</v>
      </c>
      <c r="V67" s="49">
        <f t="shared" si="59"/>
        <v>87299383679.054672</v>
      </c>
      <c r="W67" s="49">
        <f t="shared" si="59"/>
        <v>90897741896.482162</v>
      </c>
      <c r="X67" s="49">
        <f>+N67</f>
        <v>94560701840</v>
      </c>
    </row>
    <row r="68" spans="1:26" s="49" customFormat="1" x14ac:dyDescent="0.25">
      <c r="A68" s="54">
        <f t="shared" si="41"/>
        <v>47848</v>
      </c>
      <c r="B68" s="53">
        <f t="shared" si="42"/>
        <v>18</v>
      </c>
      <c r="C68" s="53"/>
      <c r="D68" s="65">
        <v>97066777970</v>
      </c>
      <c r="E68" s="58">
        <v>11462462813</v>
      </c>
      <c r="F68" s="58">
        <v>21057291623</v>
      </c>
      <c r="G68" s="58">
        <v>16486415710</v>
      </c>
      <c r="H68" s="58">
        <v>8271857449</v>
      </c>
      <c r="I68" s="58">
        <v>15475870498</v>
      </c>
      <c r="J68" s="58">
        <v>24312879877</v>
      </c>
      <c r="K68" s="92">
        <f t="shared" si="43"/>
        <v>0</v>
      </c>
      <c r="L68" s="10"/>
      <c r="M68" s="57">
        <f t="shared" si="39"/>
        <v>744557925957.6582</v>
      </c>
      <c r="N68" s="49">
        <f t="shared" si="37"/>
        <v>97066777970</v>
      </c>
      <c r="O68" s="49">
        <f t="shared" ref="O68:V68" si="60">+-PV($D$6,$B69-$B68,0,O69,0)</f>
        <v>69031983621.260025</v>
      </c>
      <c r="P68" s="49">
        <f t="shared" si="60"/>
        <v>72280051647.666962</v>
      </c>
      <c r="Q68" s="49">
        <f t="shared" si="60"/>
        <v>75549936095.923889</v>
      </c>
      <c r="R68" s="49">
        <f t="shared" si="60"/>
        <v>79042237473.381073</v>
      </c>
      <c r="S68" s="49">
        <f t="shared" si="60"/>
        <v>82667051911.279449</v>
      </c>
      <c r="T68" s="49">
        <f t="shared" si="60"/>
        <v>86109575646.423889</v>
      </c>
      <c r="U68" s="49">
        <f t="shared" si="60"/>
        <v>89586104744.615601</v>
      </c>
      <c r="V68" s="49">
        <f t="shared" si="60"/>
        <v>93224206847.107483</v>
      </c>
      <c r="W68" s="49">
        <f>+N68</f>
        <v>97066777970</v>
      </c>
    </row>
    <row r="69" spans="1:26" s="49" customFormat="1" x14ac:dyDescent="0.25">
      <c r="A69" s="54">
        <f t="shared" si="41"/>
        <v>48213</v>
      </c>
      <c r="B69" s="53">
        <f t="shared" si="42"/>
        <v>19</v>
      </c>
      <c r="C69" s="53"/>
      <c r="D69" s="65">
        <v>99551135140</v>
      </c>
      <c r="E69" s="58">
        <v>11754337978</v>
      </c>
      <c r="F69" s="58">
        <v>21593485334</v>
      </c>
      <c r="G69" s="58">
        <v>16906218625</v>
      </c>
      <c r="H69" s="58">
        <v>8482488428</v>
      </c>
      <c r="I69" s="58">
        <v>15874877496</v>
      </c>
      <c r="J69" s="58">
        <v>24939727279</v>
      </c>
      <c r="K69" s="92">
        <f t="shared" si="43"/>
        <v>0</v>
      </c>
      <c r="L69" s="10"/>
      <c r="M69" s="57">
        <f t="shared" si="39"/>
        <v>691434992640.78857</v>
      </c>
      <c r="N69" s="49">
        <f t="shared" si="37"/>
        <v>99551135140</v>
      </c>
      <c r="O69" s="49">
        <f t="shared" ref="O69:U69" si="61">+-PV($D$6,$B70-$B69,0,O70,0)</f>
        <v>73717037268.368576</v>
      </c>
      <c r="P69" s="49">
        <f t="shared" si="61"/>
        <v>77185544751.312988</v>
      </c>
      <c r="Q69" s="49">
        <f t="shared" si="61"/>
        <v>80677349290.175735</v>
      </c>
      <c r="R69" s="49">
        <f t="shared" si="61"/>
        <v>84406665721.336502</v>
      </c>
      <c r="S69" s="49">
        <f t="shared" si="61"/>
        <v>88277488592.014969</v>
      </c>
      <c r="T69" s="49">
        <f t="shared" si="61"/>
        <v>91953649078.336716</v>
      </c>
      <c r="U69" s="49">
        <f t="shared" si="61"/>
        <v>95666122799.243088</v>
      </c>
      <c r="V69" s="49">
        <f>+N69</f>
        <v>99551135140</v>
      </c>
    </row>
    <row r="70" spans="1:26" s="49" customFormat="1" x14ac:dyDescent="0.25">
      <c r="A70" s="54">
        <f t="shared" si="41"/>
        <v>48579</v>
      </c>
      <c r="B70" s="53">
        <f t="shared" si="42"/>
        <v>20</v>
      </c>
      <c r="C70" s="53"/>
      <c r="D70" s="65">
        <v>102158778725</v>
      </c>
      <c r="E70" s="58">
        <v>12064796628</v>
      </c>
      <c r="F70" s="58">
        <v>22163818119</v>
      </c>
      <c r="G70" s="58">
        <v>17352750096</v>
      </c>
      <c r="H70" s="58">
        <v>8706530132</v>
      </c>
      <c r="I70" s="58">
        <v>16285718160</v>
      </c>
      <c r="J70" s="58">
        <v>25585165590</v>
      </c>
      <c r="K70" s="92">
        <f t="shared" si="43"/>
        <v>0</v>
      </c>
      <c r="L70" s="10"/>
      <c r="M70" s="57">
        <f t="shared" si="39"/>
        <v>632053753826.85522</v>
      </c>
      <c r="N70" s="49">
        <f t="shared" si="37"/>
        <v>102158778725</v>
      </c>
      <c r="O70" s="49">
        <f t="shared" ref="O70:T70" si="62">+-PV($D$6,$B71-$B70,0,O71,0)</f>
        <v>78720055524.414215</v>
      </c>
      <c r="P70" s="49">
        <f t="shared" si="62"/>
        <v>82423963220.137482</v>
      </c>
      <c r="Q70" s="49">
        <f t="shared" si="62"/>
        <v>86152749093.326996</v>
      </c>
      <c r="R70" s="49">
        <f t="shared" si="62"/>
        <v>90135166284.896027</v>
      </c>
      <c r="S70" s="49">
        <f t="shared" si="62"/>
        <v>94268693656.53566</v>
      </c>
      <c r="T70" s="49">
        <f t="shared" si="62"/>
        <v>98194347322.54483</v>
      </c>
      <c r="U70" s="49">
        <f>+N70</f>
        <v>102158778725</v>
      </c>
    </row>
    <row r="71" spans="1:26" s="49" customFormat="1" x14ac:dyDescent="0.25">
      <c r="A71" s="54">
        <f t="shared" si="41"/>
        <v>48944</v>
      </c>
      <c r="B71" s="53">
        <f t="shared" si="42"/>
        <v>21</v>
      </c>
      <c r="C71" s="53"/>
      <c r="D71" s="65">
        <v>104858588460</v>
      </c>
      <c r="E71" s="58">
        <v>12385134439</v>
      </c>
      <c r="F71" s="58">
        <v>22752299566</v>
      </c>
      <c r="G71" s="58">
        <v>17813490724</v>
      </c>
      <c r="H71" s="58">
        <v>8937701107</v>
      </c>
      <c r="I71" s="58">
        <v>16713205884</v>
      </c>
      <c r="J71" s="58">
        <v>26256756740</v>
      </c>
      <c r="K71" s="92">
        <f t="shared" si="43"/>
        <v>0</v>
      </c>
      <c r="L71" s="10"/>
      <c r="M71" s="57">
        <f t="shared" si="39"/>
        <v>565857818054.56543</v>
      </c>
      <c r="N71" s="49">
        <f t="shared" si="37"/>
        <v>104858588460</v>
      </c>
      <c r="O71" s="49">
        <f>+-PV($D$6,$B72-$B71,0,O72,0)</f>
        <v>84062617969.942169</v>
      </c>
      <c r="P71" s="49">
        <f>+-PV($D$6,$B72-$B71,0,P72,0)</f>
        <v>88017901989.336029</v>
      </c>
      <c r="Q71" s="49">
        <f>+-PV($D$6,$B72-$B71,0,Q72,0)</f>
        <v>91999752615.094727</v>
      </c>
      <c r="R71" s="49">
        <f>+-PV($D$6,$B72-$B71,0,R72,0)</f>
        <v>96252447976.418121</v>
      </c>
      <c r="S71" s="49">
        <f>+-PV($D$6,$B72-$B71,0,S72,0)</f>
        <v>100666509043.77441</v>
      </c>
      <c r="T71" s="49">
        <f>+N71</f>
        <v>104858588460</v>
      </c>
    </row>
    <row r="72" spans="1:26" s="49" customFormat="1" x14ac:dyDescent="0.25">
      <c r="A72" s="54">
        <f t="shared" si="41"/>
        <v>49309</v>
      </c>
      <c r="B72" s="53">
        <f t="shared" si="42"/>
        <v>22</v>
      </c>
      <c r="C72" s="53"/>
      <c r="D72" s="65">
        <v>107498530530</v>
      </c>
      <c r="E72" s="58">
        <v>12691806066</v>
      </c>
      <c r="F72" s="58">
        <v>23315675341</v>
      </c>
      <c r="G72" s="58">
        <v>18254575333</v>
      </c>
      <c r="H72" s="58">
        <v>9159009915</v>
      </c>
      <c r="I72" s="58">
        <v>17143969499</v>
      </c>
      <c r="J72" s="58">
        <v>26933494376</v>
      </c>
      <c r="K72" s="92">
        <f t="shared" si="43"/>
        <v>0</v>
      </c>
      <c r="L72" s="10"/>
      <c r="M72" s="57">
        <f t="shared" si="39"/>
        <v>492286265090.68994</v>
      </c>
      <c r="N72" s="49">
        <f t="shared" si="37"/>
        <v>107498530530</v>
      </c>
      <c r="O72" s="49">
        <f>+-PV($D$6,$B73-$B72,0,O73,0)</f>
        <v>89767768745.651276</v>
      </c>
      <c r="P72" s="49">
        <f>+-PV($D$6,$B73-$B72,0,P73,0)</f>
        <v>93991489464.2146</v>
      </c>
      <c r="Q72" s="49">
        <f>+-PV($D$6,$B73-$B72,0,Q73,0)</f>
        <v>98243579808.113266</v>
      </c>
      <c r="R72" s="49">
        <f>+-PV($D$6,$B73-$B72,0,R73,0)</f>
        <v>102784896542.71085</v>
      </c>
      <c r="S72" s="49">
        <f>+N72</f>
        <v>107498530530</v>
      </c>
    </row>
    <row r="73" spans="1:26" s="49" customFormat="1" x14ac:dyDescent="0.25">
      <c r="A73" s="54">
        <f t="shared" si="41"/>
        <v>49674</v>
      </c>
      <c r="B73" s="53">
        <f t="shared" si="42"/>
        <v>23</v>
      </c>
      <c r="C73" s="53"/>
      <c r="D73" s="65">
        <v>109760688475</v>
      </c>
      <c r="E73" s="58">
        <v>12960187821</v>
      </c>
      <c r="F73" s="58">
        <v>23808710127</v>
      </c>
      <c r="G73" s="58">
        <v>18640587768</v>
      </c>
      <c r="H73" s="58">
        <v>9352686934</v>
      </c>
      <c r="I73" s="58">
        <v>17502213489</v>
      </c>
      <c r="J73" s="58">
        <v>27496302336</v>
      </c>
      <c r="K73" s="92">
        <f t="shared" si="43"/>
        <v>0</v>
      </c>
      <c r="L73" s="10"/>
      <c r="M73" s="57">
        <f t="shared" si="39"/>
        <v>410902458266.97791</v>
      </c>
      <c r="N73" s="49">
        <f t="shared" si="37"/>
        <v>109760688475</v>
      </c>
      <c r="O73" s="49">
        <f>+-PV($D$6,$B74-$B73,0,O74,0)</f>
        <v>95860115948.971191</v>
      </c>
      <c r="P73" s="49">
        <f>+-PV($D$6,$B74-$B73,0,P74,0)</f>
        <v>100370491593.53868</v>
      </c>
      <c r="Q73" s="49">
        <f>+-PV($D$6,$B74-$B73,0,Q74,0)</f>
        <v>104911162249.468</v>
      </c>
      <c r="R73" s="49">
        <f>+N73</f>
        <v>109760688475</v>
      </c>
    </row>
    <row r="74" spans="1:26" s="49" customFormat="1" x14ac:dyDescent="0.25">
      <c r="A74" s="54">
        <f t="shared" si="41"/>
        <v>50040</v>
      </c>
      <c r="B74" s="53">
        <f t="shared" si="42"/>
        <v>24</v>
      </c>
      <c r="C74" s="53"/>
      <c r="D74" s="65">
        <v>112031259305</v>
      </c>
      <c r="E74" s="58">
        <v>13226812072</v>
      </c>
      <c r="F74" s="58">
        <v>24298516262</v>
      </c>
      <c r="G74" s="58">
        <v>19024072392</v>
      </c>
      <c r="H74" s="58">
        <v>9545095653</v>
      </c>
      <c r="I74" s="58">
        <v>17867145548</v>
      </c>
      <c r="J74" s="58">
        <v>28069617378</v>
      </c>
      <c r="K74" s="92">
        <f t="shared" si="43"/>
        <v>0</v>
      </c>
      <c r="L74" s="10"/>
      <c r="M74" s="57">
        <f t="shared" si="39"/>
        <v>321579620087.59241</v>
      </c>
      <c r="N74" s="49">
        <f t="shared" si="37"/>
        <v>112031259305</v>
      </c>
      <c r="O74" s="49">
        <f>+-PV($D$6,$B75-$B74,0,O75,0)</f>
        <v>102365937776.47351</v>
      </c>
      <c r="P74" s="49">
        <f>+-PV($D$6,$B75-$B74,0,P75,0)</f>
        <v>107182423006.11893</v>
      </c>
      <c r="Q74" s="49">
        <f>+N74</f>
        <v>112031259305</v>
      </c>
    </row>
    <row r="75" spans="1:26" s="49" customFormat="1" x14ac:dyDescent="0.25">
      <c r="A75" s="54">
        <f t="shared" si="41"/>
        <v>50405</v>
      </c>
      <c r="B75" s="53">
        <f t="shared" si="42"/>
        <v>25</v>
      </c>
      <c r="C75" s="53"/>
      <c r="D75" s="65">
        <v>114456665690</v>
      </c>
      <c r="E75" s="58">
        <v>13522135338</v>
      </c>
      <c r="F75" s="58">
        <v>24841044359</v>
      </c>
      <c r="G75" s="58">
        <v>19448834698</v>
      </c>
      <c r="H75" s="58">
        <v>9758214945</v>
      </c>
      <c r="I75" s="58">
        <v>18236521887</v>
      </c>
      <c r="J75" s="58">
        <v>28649914463</v>
      </c>
      <c r="K75" s="92">
        <f t="shared" si="43"/>
        <v>0</v>
      </c>
      <c r="L75" s="10"/>
      <c r="M75" s="57">
        <f t="shared" si="39"/>
        <v>223769961559.94214</v>
      </c>
      <c r="N75" s="49">
        <f t="shared" si="37"/>
        <v>114456665690</v>
      </c>
      <c r="O75" s="49">
        <f>+-PV($D$6,$B76-$B75,0,O76,0)</f>
        <v>109313295869.94212</v>
      </c>
      <c r="P75" s="49">
        <f>+N75</f>
        <v>114456665690</v>
      </c>
    </row>
    <row r="76" spans="1:26" s="49" customFormat="1" x14ac:dyDescent="0.25">
      <c r="A76" s="54">
        <f t="shared" si="41"/>
        <v>50770</v>
      </c>
      <c r="B76" s="53">
        <f t="shared" si="42"/>
        <v>26</v>
      </c>
      <c r="C76" s="53"/>
      <c r="D76" s="65">
        <v>116732156355</v>
      </c>
      <c r="E76" s="58">
        <v>13788912543</v>
      </c>
      <c r="F76" s="58">
        <v>25331131479</v>
      </c>
      <c r="G76" s="58">
        <v>19832539314</v>
      </c>
      <c r="H76" s="58">
        <v>9950734044</v>
      </c>
      <c r="I76" s="58">
        <v>18603070242</v>
      </c>
      <c r="J76" s="58">
        <v>29225768733</v>
      </c>
      <c r="K76" s="92">
        <f t="shared" si="43"/>
        <v>0</v>
      </c>
      <c r="L76" s="10"/>
      <c r="M76" s="57">
        <f t="shared" si="39"/>
        <v>116732156355</v>
      </c>
      <c r="N76" s="49">
        <f>+D76</f>
        <v>116732156355</v>
      </c>
      <c r="O76" s="49">
        <f>+N76</f>
        <v>116732156355</v>
      </c>
    </row>
    <row r="77" spans="1:26" x14ac:dyDescent="0.25">
      <c r="A77" s="52" t="s">
        <v>67</v>
      </c>
      <c r="D77" s="77">
        <f>SUM(D51:D76)</f>
        <v>1862095283063</v>
      </c>
      <c r="E77" s="60">
        <f t="shared" ref="E77:J77" si="63">SUM(E51:E76)</f>
        <v>211176186001</v>
      </c>
      <c r="F77" s="60">
        <f t="shared" si="63"/>
        <v>387944423914</v>
      </c>
      <c r="G77" s="60">
        <f t="shared" si="63"/>
        <v>303733887502</v>
      </c>
      <c r="H77" s="60">
        <f t="shared" si="63"/>
        <v>152394763310</v>
      </c>
      <c r="I77" s="60">
        <f t="shared" si="63"/>
        <v>313823491213</v>
      </c>
      <c r="J77" s="60">
        <f t="shared" si="63"/>
        <v>493022531123</v>
      </c>
      <c r="K77" s="92">
        <f t="shared" si="43"/>
        <v>0</v>
      </c>
    </row>
    <row r="78" spans="1:26" x14ac:dyDescent="0.25">
      <c r="E78" s="81">
        <f>+E77/$D$77</f>
        <v>0.113407830373552</v>
      </c>
      <c r="F78" s="81">
        <f t="shared" ref="F78:J78" si="64">+F77/$D$77</f>
        <v>0.20833757941530359</v>
      </c>
      <c r="G78" s="81">
        <f t="shared" si="64"/>
        <v>0.16311404162003015</v>
      </c>
      <c r="H78" s="81">
        <f t="shared" si="64"/>
        <v>8.18404754558653E-2</v>
      </c>
      <c r="I78" s="81">
        <f t="shared" si="64"/>
        <v>0.16853245592072233</v>
      </c>
      <c r="J78" s="81">
        <f t="shared" si="64"/>
        <v>0.26476761721452663</v>
      </c>
      <c r="K78" s="91"/>
    </row>
    <row r="81" spans="3:5" x14ac:dyDescent="0.25">
      <c r="C81" t="s">
        <v>63</v>
      </c>
      <c r="D81" t="s">
        <v>94</v>
      </c>
      <c r="E81" t="s">
        <v>95</v>
      </c>
    </row>
    <row r="82" spans="3:5" x14ac:dyDescent="0.25">
      <c r="C82">
        <v>2013</v>
      </c>
      <c r="D82" s="102">
        <f t="shared" ref="D82:D108" si="65">+D21</f>
        <v>0</v>
      </c>
      <c r="E82" s="102">
        <f>+D51</f>
        <v>0</v>
      </c>
    </row>
    <row r="83" spans="3:5" x14ac:dyDescent="0.25">
      <c r="C83">
        <v>2014</v>
      </c>
      <c r="D83" s="102">
        <f t="shared" si="65"/>
        <v>0</v>
      </c>
      <c r="E83" s="102">
        <f>+D52</f>
        <v>0</v>
      </c>
    </row>
    <row r="84" spans="3:5" x14ac:dyDescent="0.25">
      <c r="C84">
        <v>2015</v>
      </c>
      <c r="D84" s="102">
        <f t="shared" si="65"/>
        <v>0</v>
      </c>
      <c r="E84" s="102">
        <f t="shared" ref="E84:E104" si="66">+D53</f>
        <v>0</v>
      </c>
    </row>
    <row r="85" spans="3:5" x14ac:dyDescent="0.25">
      <c r="C85">
        <v>2016</v>
      </c>
      <c r="D85" s="102">
        <f t="shared" si="65"/>
        <v>24889975803</v>
      </c>
      <c r="E85" s="102">
        <f t="shared" si="66"/>
        <v>0</v>
      </c>
    </row>
    <row r="86" spans="3:5" x14ac:dyDescent="0.25">
      <c r="C86">
        <v>2017</v>
      </c>
      <c r="D86" s="102">
        <f t="shared" si="65"/>
        <v>73596119932</v>
      </c>
      <c r="E86" s="102">
        <f t="shared" si="66"/>
        <v>19193288663</v>
      </c>
    </row>
    <row r="87" spans="3:5" x14ac:dyDescent="0.25">
      <c r="C87">
        <v>2018</v>
      </c>
      <c r="D87" s="102">
        <f t="shared" si="65"/>
        <v>104172094310</v>
      </c>
      <c r="E87" s="102">
        <f t="shared" si="66"/>
        <v>26795755950</v>
      </c>
    </row>
    <row r="88" spans="3:5" x14ac:dyDescent="0.25">
      <c r="C88">
        <v>2019</v>
      </c>
      <c r="D88" s="102">
        <f t="shared" si="65"/>
        <v>104172094310</v>
      </c>
      <c r="E88" s="102">
        <f t="shared" si="66"/>
        <v>27907089700</v>
      </c>
    </row>
    <row r="89" spans="3:5" x14ac:dyDescent="0.25">
      <c r="C89">
        <v>2020</v>
      </c>
      <c r="D89" s="102">
        <f t="shared" si="65"/>
        <v>104172094310</v>
      </c>
      <c r="E89" s="102">
        <f t="shared" si="66"/>
        <v>58520622753</v>
      </c>
    </row>
    <row r="90" spans="3:5" x14ac:dyDescent="0.25">
      <c r="C90">
        <v>2021</v>
      </c>
      <c r="D90" s="102">
        <f t="shared" si="65"/>
        <v>107029070092</v>
      </c>
      <c r="E90" s="102">
        <f t="shared" si="66"/>
        <v>84960287772</v>
      </c>
    </row>
    <row r="91" spans="3:5" x14ac:dyDescent="0.25">
      <c r="C91">
        <v>2022</v>
      </c>
      <c r="D91" s="102">
        <f t="shared" si="65"/>
        <v>107029070092</v>
      </c>
      <c r="E91" s="102">
        <f t="shared" si="66"/>
        <v>75664729220</v>
      </c>
    </row>
    <row r="92" spans="3:5" x14ac:dyDescent="0.25">
      <c r="C92">
        <v>2023</v>
      </c>
      <c r="D92" s="102">
        <f t="shared" si="65"/>
        <v>107029070092</v>
      </c>
      <c r="E92" s="102">
        <f t="shared" si="66"/>
        <v>78356693280</v>
      </c>
    </row>
    <row r="93" spans="3:5" x14ac:dyDescent="0.25">
      <c r="C93">
        <v>2024</v>
      </c>
      <c r="D93" s="102">
        <f t="shared" si="65"/>
        <v>107029070092</v>
      </c>
      <c r="E93" s="102">
        <f t="shared" si="66"/>
        <v>81212639065</v>
      </c>
    </row>
    <row r="94" spans="3:5" x14ac:dyDescent="0.25">
      <c r="C94">
        <v>2025</v>
      </c>
      <c r="D94" s="102">
        <f t="shared" si="65"/>
        <v>107029070092</v>
      </c>
      <c r="E94" s="102">
        <f t="shared" si="66"/>
        <v>83720761020</v>
      </c>
    </row>
    <row r="95" spans="3:5" x14ac:dyDescent="0.25">
      <c r="C95">
        <v>2026</v>
      </c>
      <c r="D95" s="102">
        <f t="shared" si="65"/>
        <v>107029070092</v>
      </c>
      <c r="E95" s="102">
        <f t="shared" si="66"/>
        <v>86282181370</v>
      </c>
    </row>
    <row r="96" spans="3:5" x14ac:dyDescent="0.25">
      <c r="C96">
        <v>2027</v>
      </c>
      <c r="D96" s="102">
        <f t="shared" si="65"/>
        <v>107029070092</v>
      </c>
      <c r="E96" s="102">
        <f t="shared" si="66"/>
        <v>89015880990</v>
      </c>
    </row>
    <row r="97" spans="3:5" x14ac:dyDescent="0.25">
      <c r="C97">
        <v>2028</v>
      </c>
      <c r="D97" s="102">
        <f t="shared" si="65"/>
        <v>107029070092</v>
      </c>
      <c r="E97" s="102">
        <f t="shared" si="66"/>
        <v>91790070790</v>
      </c>
    </row>
    <row r="98" spans="3:5" x14ac:dyDescent="0.25">
      <c r="C98">
        <v>2029</v>
      </c>
      <c r="D98" s="102">
        <f t="shared" si="65"/>
        <v>107029070092</v>
      </c>
      <c r="E98" s="102">
        <f t="shared" si="66"/>
        <v>94560701840</v>
      </c>
    </row>
    <row r="99" spans="3:5" x14ac:dyDescent="0.25">
      <c r="C99">
        <v>2030</v>
      </c>
      <c r="D99" s="102">
        <f t="shared" si="65"/>
        <v>107029070092</v>
      </c>
      <c r="E99" s="102">
        <f t="shared" si="66"/>
        <v>97066777970</v>
      </c>
    </row>
    <row r="100" spans="3:5" x14ac:dyDescent="0.25">
      <c r="C100">
        <v>2031</v>
      </c>
      <c r="D100" s="102">
        <f t="shared" si="65"/>
        <v>107029070092</v>
      </c>
      <c r="E100" s="102">
        <f t="shared" si="66"/>
        <v>99551135140</v>
      </c>
    </row>
    <row r="101" spans="3:5" x14ac:dyDescent="0.25">
      <c r="C101">
        <v>2032</v>
      </c>
      <c r="D101" s="102">
        <f t="shared" si="65"/>
        <v>107029070092</v>
      </c>
      <c r="E101" s="102">
        <f t="shared" si="66"/>
        <v>102158778725</v>
      </c>
    </row>
    <row r="102" spans="3:5" x14ac:dyDescent="0.25">
      <c r="C102">
        <v>2033</v>
      </c>
      <c r="D102" s="102">
        <f t="shared" si="65"/>
        <v>107029070092</v>
      </c>
      <c r="E102" s="102">
        <f t="shared" si="66"/>
        <v>104858588460</v>
      </c>
    </row>
    <row r="103" spans="3:5" x14ac:dyDescent="0.25">
      <c r="C103">
        <v>2034</v>
      </c>
      <c r="D103" s="102">
        <f t="shared" si="65"/>
        <v>107029070092</v>
      </c>
      <c r="E103" s="102">
        <f t="shared" si="66"/>
        <v>107498530530</v>
      </c>
    </row>
    <row r="104" spans="3:5" x14ac:dyDescent="0.25">
      <c r="C104">
        <v>2035</v>
      </c>
      <c r="D104" s="102">
        <f t="shared" si="65"/>
        <v>107029070092</v>
      </c>
      <c r="E104" s="102">
        <f t="shared" si="66"/>
        <v>109760688475</v>
      </c>
    </row>
    <row r="105" spans="3:5" x14ac:dyDescent="0.25">
      <c r="C105">
        <v>2036</v>
      </c>
      <c r="D105" s="102">
        <f t="shared" si="65"/>
        <v>107029070092</v>
      </c>
      <c r="E105" s="102">
        <f>+D74</f>
        <v>112031259305</v>
      </c>
    </row>
    <row r="106" spans="3:5" x14ac:dyDescent="0.25">
      <c r="C106">
        <v>2037</v>
      </c>
      <c r="D106" s="102">
        <f t="shared" si="65"/>
        <v>107029070092</v>
      </c>
      <c r="E106" s="102">
        <f>+D75</f>
        <v>114456665690</v>
      </c>
    </row>
    <row r="107" spans="3:5" x14ac:dyDescent="0.25">
      <c r="C107">
        <v>2038</v>
      </c>
      <c r="D107" s="102">
        <f t="shared" si="65"/>
        <v>107029070092</v>
      </c>
      <c r="E107" s="102">
        <f t="shared" ref="E107:E108" si="67">+D76</f>
        <v>116732156355</v>
      </c>
    </row>
    <row r="108" spans="3:5" x14ac:dyDescent="0.25">
      <c r="C108" s="10" t="s">
        <v>93</v>
      </c>
      <c r="D108" s="103">
        <f t="shared" si="65"/>
        <v>2337525640321</v>
      </c>
      <c r="E108" s="103">
        <f t="shared" si="67"/>
        <v>1862095283063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Datos Pacífico 3</vt:lpstr>
      <vt:lpstr>Math</vt:lpstr>
      <vt:lpstr>Tablero Adjudicación</vt:lpstr>
      <vt:lpstr>Puntaje Total</vt:lpstr>
      <vt:lpstr>Datos Grupo 4</vt:lpstr>
      <vt:lpstr>'Tablero Adjudicación'!Área_de_impresión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Gabriel Eduado Del Toro Benavides</cp:lastModifiedBy>
  <cp:lastPrinted>2013-06-05T20:35:57Z</cp:lastPrinted>
  <dcterms:created xsi:type="dcterms:W3CDTF">2012-10-23T14:33:10Z</dcterms:created>
  <dcterms:modified xsi:type="dcterms:W3CDTF">2014-07-16T15:59:47Z</dcterms:modified>
</cp:coreProperties>
</file>