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odriguez\Dropbox\1 OBRA PUBLICA\PLIEGOS DEFINITIVOS\FORMATOS\"/>
    </mc:Choice>
  </mc:AlternateContent>
  <bookViews>
    <workbookView xWindow="0" yWindow="0" windowWidth="24000" windowHeight="9210" tabRatio="670" firstSheet="1" activeTab="1"/>
  </bookViews>
  <sheets>
    <sheet name="Mant. BTA-BEL" sheetId="7" state="hidden" r:id="rId1"/>
    <sheet name="BTA-BEL" sheetId="11" r:id="rId2"/>
    <sheet name="1.1" sheetId="12" r:id="rId3"/>
    <sheet name="1.2" sheetId="13" r:id="rId4"/>
    <sheet name="1.3" sheetId="41" r:id="rId5"/>
    <sheet name="1.4" sheetId="15" r:id="rId6"/>
    <sheet name="1.5" sheetId="16" r:id="rId7"/>
    <sheet name="1.6" sheetId="17" r:id="rId8"/>
    <sheet name="1.7" sheetId="18" r:id="rId9"/>
    <sheet name="1.8" sheetId="19" r:id="rId10"/>
    <sheet name="1.9" sheetId="20" r:id="rId11"/>
    <sheet name="10" sheetId="21" r:id="rId12"/>
    <sheet name="11" sheetId="22" r:id="rId13"/>
    <sheet name="12-34" sheetId="42" r:id="rId14"/>
    <sheet name="13" sheetId="24" r:id="rId15"/>
    <sheet name="14" sheetId="25" r:id="rId16"/>
    <sheet name="15" sheetId="26" r:id="rId17"/>
    <sheet name="16" sheetId="27" r:id="rId18"/>
    <sheet name="17" sheetId="28" r:id="rId19"/>
    <sheet name="18" sheetId="29" r:id="rId20"/>
    <sheet name="19" sheetId="30" r:id="rId21"/>
    <sheet name="20" sheetId="31" r:id="rId22"/>
    <sheet name="21" sheetId="32" r:id="rId23"/>
    <sheet name="22" sheetId="33" r:id="rId24"/>
    <sheet name="23" sheetId="34" r:id="rId25"/>
    <sheet name="24" sheetId="35" r:id="rId26"/>
    <sheet name="25" sheetId="36" r:id="rId27"/>
    <sheet name="26" sheetId="37" r:id="rId28"/>
    <sheet name="27" sheetId="38" r:id="rId29"/>
    <sheet name="28" sheetId="39" r:id="rId30"/>
    <sheet name="29" sheetId="40" r:id="rId31"/>
    <sheet name="1.31" sheetId="45" r:id="rId32"/>
    <sheet name="1.34" sheetId="43" r:id="rId33"/>
    <sheet name="1.35" sheetId="46" r:id="rId34"/>
    <sheet name="1.36" sheetId="47" r:id="rId35"/>
    <sheet name="1.37" sheetId="48" r:id="rId36"/>
    <sheet name="1.38" sheetId="44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_______MA2" localSheetId="35">#REF!</definedName>
    <definedName name="_________MA2">#REF!</definedName>
    <definedName name="________MA2" localSheetId="35">#REF!</definedName>
    <definedName name="________MA2">#REF!</definedName>
    <definedName name="_______MA2" localSheetId="35">#REF!</definedName>
    <definedName name="_______MA2">#REF!</definedName>
    <definedName name="______INF1" localSheetId="35">#REF!</definedName>
    <definedName name="______INF1">#REF!</definedName>
    <definedName name="______MA2" localSheetId="35">#REF!</definedName>
    <definedName name="______MA2">#REF!</definedName>
    <definedName name="_____INF1" localSheetId="35">#REF!</definedName>
    <definedName name="_____INF1">#REF!</definedName>
    <definedName name="_____MA2" localSheetId="35">#REF!</definedName>
    <definedName name="_____MA2">#REF!</definedName>
    <definedName name="____MA2" localSheetId="35">#REF!</definedName>
    <definedName name="____MA2">#REF!</definedName>
    <definedName name="___APU221" localSheetId="35">#REF!</definedName>
    <definedName name="___APU221">#REF!</definedName>
    <definedName name="___APU465" localSheetId="35">[1]!absc</definedName>
    <definedName name="___APU465">[1]!absc</definedName>
    <definedName name="___INF1" localSheetId="35">#REF!</definedName>
    <definedName name="___INF1">#REF!</definedName>
    <definedName name="___MA2" localSheetId="35">#REF!</definedName>
    <definedName name="___MA2">#REF!</definedName>
    <definedName name="___PJ50" localSheetId="35">#REF!</definedName>
    <definedName name="___PJ50">#REF!</definedName>
    <definedName name="___pj51" localSheetId="35">#REF!</definedName>
    <definedName name="___pj51">#REF!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EST1" localSheetId="35">#REF!</definedName>
    <definedName name="__EST1">#REF!</definedName>
    <definedName name="__EST10" localSheetId="35">#REF!</definedName>
    <definedName name="__EST10">#REF!</definedName>
    <definedName name="__EST11" localSheetId="35">#REF!</definedName>
    <definedName name="__EST11">#REF!</definedName>
    <definedName name="__EST12" localSheetId="35">#REF!</definedName>
    <definedName name="__EST12">#REF!</definedName>
    <definedName name="__EST13" localSheetId="35">#REF!</definedName>
    <definedName name="__EST13">#REF!</definedName>
    <definedName name="__EST14" localSheetId="35">#REF!</definedName>
    <definedName name="__EST14">#REF!</definedName>
    <definedName name="__EST15" localSheetId="35">#REF!</definedName>
    <definedName name="__EST15">#REF!</definedName>
    <definedName name="__EST16" localSheetId="35">#REF!</definedName>
    <definedName name="__EST16">#REF!</definedName>
    <definedName name="__EST17" localSheetId="35">#REF!</definedName>
    <definedName name="__EST17">#REF!</definedName>
    <definedName name="__EST18" localSheetId="35">#REF!</definedName>
    <definedName name="__EST18">#REF!</definedName>
    <definedName name="__EST19" localSheetId="35">#REF!</definedName>
    <definedName name="__EST19">#REF!</definedName>
    <definedName name="__EST2" localSheetId="35">#REF!</definedName>
    <definedName name="__EST2">#REF!</definedName>
    <definedName name="__EST3" localSheetId="35">#REF!</definedName>
    <definedName name="__EST3">#REF!</definedName>
    <definedName name="__EST4" localSheetId="35">#REF!</definedName>
    <definedName name="__EST4">#REF!</definedName>
    <definedName name="__EST5" localSheetId="35">#REF!</definedName>
    <definedName name="__EST5">#REF!</definedName>
    <definedName name="__EST6" localSheetId="35">#REF!</definedName>
    <definedName name="__EST6">#REF!</definedName>
    <definedName name="__EST7" localSheetId="35">#REF!</definedName>
    <definedName name="__EST7">#REF!</definedName>
    <definedName name="__EST8" localSheetId="35">#REF!</definedName>
    <definedName name="__EST8">#REF!</definedName>
    <definedName name="__EST9" localSheetId="35">#REF!</definedName>
    <definedName name="__EST9">#REF!</definedName>
    <definedName name="__EXC1" localSheetId="35">#REF!</definedName>
    <definedName name="__EXC1">#REF!</definedName>
    <definedName name="__EXC10" localSheetId="35">#REF!</definedName>
    <definedName name="__EXC10">#REF!</definedName>
    <definedName name="__EXC11" localSheetId="35">#REF!</definedName>
    <definedName name="__EXC11">#REF!</definedName>
    <definedName name="__EXC12" localSheetId="35">#REF!</definedName>
    <definedName name="__EXC12">#REF!</definedName>
    <definedName name="__EXC2" localSheetId="35">#REF!</definedName>
    <definedName name="__EXC2">#REF!</definedName>
    <definedName name="__EXC3" localSheetId="35">#REF!</definedName>
    <definedName name="__EXC3">#REF!</definedName>
    <definedName name="__EXC4" localSheetId="35">#REF!</definedName>
    <definedName name="__EXC4">#REF!</definedName>
    <definedName name="__EXC5" localSheetId="35">#REF!</definedName>
    <definedName name="__EXC5">#REF!</definedName>
    <definedName name="__EXC6" localSheetId="35">#REF!</definedName>
    <definedName name="__EXC6">#REF!</definedName>
    <definedName name="__EXC7" localSheetId="35">#REF!</definedName>
    <definedName name="__EXC7">#REF!</definedName>
    <definedName name="__EXC8" localSheetId="35">#REF!</definedName>
    <definedName name="__EXC8">#REF!</definedName>
    <definedName name="__EXC9" localSheetId="35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 localSheetId="35">#REF!</definedName>
    <definedName name="__INF1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 localSheetId="35">#REF!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PU221" localSheetId="35">#REF!</definedName>
    <definedName name="_APU221">#REF!</definedName>
    <definedName name="_APU465" localSheetId="35">[1]!absc</definedName>
    <definedName name="_APU465">[1]!absc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EST1" localSheetId="35">#REF!</definedName>
    <definedName name="_EST1">#REF!</definedName>
    <definedName name="_EST10" localSheetId="35">#REF!</definedName>
    <definedName name="_EST10">#REF!</definedName>
    <definedName name="_EST11" localSheetId="35">#REF!</definedName>
    <definedName name="_EST11">#REF!</definedName>
    <definedName name="_EST12" localSheetId="35">#REF!</definedName>
    <definedName name="_EST12">#REF!</definedName>
    <definedName name="_EST13" localSheetId="35">#REF!</definedName>
    <definedName name="_EST13">#REF!</definedName>
    <definedName name="_EST14" localSheetId="35">#REF!</definedName>
    <definedName name="_EST14">#REF!</definedName>
    <definedName name="_EST15" localSheetId="35">#REF!</definedName>
    <definedName name="_EST15">#REF!</definedName>
    <definedName name="_EST16" localSheetId="35">#REF!</definedName>
    <definedName name="_EST16">#REF!</definedName>
    <definedName name="_EST17" localSheetId="35">#REF!</definedName>
    <definedName name="_EST17">#REF!</definedName>
    <definedName name="_EST18" localSheetId="35">#REF!</definedName>
    <definedName name="_EST18">#REF!</definedName>
    <definedName name="_EST19" localSheetId="35">#REF!</definedName>
    <definedName name="_EST19">#REF!</definedName>
    <definedName name="_EST2" localSheetId="35">#REF!</definedName>
    <definedName name="_EST2">#REF!</definedName>
    <definedName name="_EST3" localSheetId="35">#REF!</definedName>
    <definedName name="_EST3">#REF!</definedName>
    <definedName name="_EST4" localSheetId="35">#REF!</definedName>
    <definedName name="_EST4">#REF!</definedName>
    <definedName name="_EST5" localSheetId="35">#REF!</definedName>
    <definedName name="_EST5">#REF!</definedName>
    <definedName name="_EST6" localSheetId="35">#REF!</definedName>
    <definedName name="_EST6">#REF!</definedName>
    <definedName name="_EST7" localSheetId="35">#REF!</definedName>
    <definedName name="_EST7">#REF!</definedName>
    <definedName name="_EST8" localSheetId="35">#REF!</definedName>
    <definedName name="_EST8">#REF!</definedName>
    <definedName name="_EST9" localSheetId="35">#REF!</definedName>
    <definedName name="_EST9">#REF!</definedName>
    <definedName name="_EXC1" localSheetId="35">#REF!</definedName>
    <definedName name="_EXC1">#REF!</definedName>
    <definedName name="_EXC10" localSheetId="35">#REF!</definedName>
    <definedName name="_EXC10">#REF!</definedName>
    <definedName name="_EXC11" localSheetId="35">#REF!</definedName>
    <definedName name="_EXC11">#REF!</definedName>
    <definedName name="_EXC12" localSheetId="35">#REF!</definedName>
    <definedName name="_EXC12">#REF!</definedName>
    <definedName name="_EXC2" localSheetId="35">#REF!</definedName>
    <definedName name="_EXC2">#REF!</definedName>
    <definedName name="_EXC3" localSheetId="35">#REF!</definedName>
    <definedName name="_EXC3">#REF!</definedName>
    <definedName name="_EXC4" localSheetId="35">#REF!</definedName>
    <definedName name="_EXC4">#REF!</definedName>
    <definedName name="_EXC5" localSheetId="35">#REF!</definedName>
    <definedName name="_EXC5">#REF!</definedName>
    <definedName name="_EXC6" localSheetId="35">#REF!</definedName>
    <definedName name="_EXC6">#REF!</definedName>
    <definedName name="_EXC7" localSheetId="35">#REF!</definedName>
    <definedName name="_EXC7">#REF!</definedName>
    <definedName name="_EXC8" localSheetId="35">#REF!</definedName>
    <definedName name="_EXC8">#REF!</definedName>
    <definedName name="_EXC9" localSheetId="35">#REF!</definedName>
    <definedName name="_EXC9">#REF!</definedName>
    <definedName name="_Fill" localSheetId="35" hidden="1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 localSheetId="35">#REF!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35">#REF!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J50" localSheetId="35">#REF!</definedName>
    <definedName name="_PJ50">#REF!</definedName>
    <definedName name="_pj51" localSheetId="35">#REF!</definedName>
    <definedName name="_pj5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 localSheetId="35">#REF!</definedName>
    <definedName name="A">#REF!</definedName>
    <definedName name="A_impresión_IM" localSheetId="35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" localSheetId="35">#REF!</definedName>
    <definedName name="aa">#REF!</definedName>
    <definedName name="AAA" localSheetId="35">#REF!</definedName>
    <definedName name="AAA">#REF!</definedName>
    <definedName name="AAAA" localSheetId="35">#REF!</definedName>
    <definedName name="AAAA">#REF!</definedName>
    <definedName name="aaaaas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bsc" localSheetId="35">[2]!absc</definedName>
    <definedName name="absc">[2]!absc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oq" localSheetId="35">[3]!absc</definedName>
    <definedName name="adoq">[3]!absc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 localSheetId="35">#REF!</definedName>
    <definedName name="AjustDelAIU">#REF!</definedName>
    <definedName name="Alturas_Vastago" localSheetId="35">#REF!</definedName>
    <definedName name="Alturas_Vastago">#REF!</definedName>
    <definedName name="Alturas_Vastago1" localSheetId="35">#REF!</definedName>
    <definedName name="Alturas_Vastago1">#REF!</definedName>
    <definedName name="ANTIC" localSheetId="35">#REF!</definedName>
    <definedName name="ANTIC">#REF!</definedName>
    <definedName name="ANTICIPO">[4]BASES!$B$33</definedName>
    <definedName name="AÑOWUIE">'[5]Res-Accide-10'!$R$2:$R$7</definedName>
    <definedName name="APU">#N/A</definedName>
    <definedName name="APU221.1" localSheetId="35">#REF!</definedName>
    <definedName name="APU221.1">#REF!</definedName>
    <definedName name="APU221.2" localSheetId="35">#REF!</definedName>
    <definedName name="APU221.2">#REF!</definedName>
    <definedName name="aqaq" hidden="1">{"TAB1",#N/A,TRUE,"GENERAL";"TAB2",#N/A,TRUE,"GENERAL";"TAB3",#N/A,TRUE,"GENERAL";"TAB4",#N/A,TRUE,"GENERAL";"TAB5",#N/A,TRUE,"GENERAL"}</definedName>
    <definedName name="_xlnm.Print_Area" localSheetId="35">#REF!</definedName>
    <definedName name="_xlnm.Print_Area" localSheetId="1">'BTA-BEL'!$A$9:$F$174</definedName>
    <definedName name="_xlnm.Print_Area" localSheetId="0">'Mant. BTA-BEL'!$A$10:$G$136</definedName>
    <definedName name="_xlnm.Print_Area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uto1" localSheetId="35">#REF!</definedName>
    <definedName name="auto1">#REF!</definedName>
    <definedName name="auto2" localSheetId="35">#REF!</definedName>
    <definedName name="auto2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35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 localSheetId="35">#REF!</definedName>
    <definedName name="C_">#REF!</definedName>
    <definedName name="CANT" localSheetId="35">#REF!</definedName>
    <definedName name="CANT">#REF!</definedName>
    <definedName name="cc" localSheetId="35">#REF!</definedName>
    <definedName name="cc">#REF!</definedName>
    <definedName name="ccccc" hidden="1">{"TAB1",#N/A,TRUE,"GENERAL";"TAB2",#N/A,TRUE,"GENERAL";"TAB3",#N/A,TRUE,"GENERAL";"TAB4",#N/A,TRUE,"GENERAL";"TAB5",#N/A,TRUE,"GENERAL"}</definedName>
    <definedName name="CCCCCC" localSheetId="35">'[6]A. P. U.'!#REF!</definedName>
    <definedName name="CCCCCC">'[6]A. P. U.'!#REF!</definedName>
    <definedName name="ccto210" localSheetId="35">#REF!</definedName>
    <definedName name="ccto210">#REF!</definedName>
    <definedName name="cd">[7]Hoja1!$C$81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BS" localSheetId="35">#REF!</definedName>
    <definedName name="CUBS">#REF!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" localSheetId="35">#REF!</definedName>
    <definedName name="DD">#REF!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ametro" localSheetId="35">#REF!</definedName>
    <definedName name="Diametro">#REF!</definedName>
    <definedName name="Diametro1" localSheetId="35">#REF!</definedName>
    <definedName name="Diametro1">#REF!</definedName>
    <definedName name="djdytj" hidden="1">{"TAB1",#N/A,TRUE,"GENERAL";"TAB2",#N/A,TRUE,"GENERAL";"TAB3",#N/A,TRUE,"GENERAL";"TAB4",#N/A,TRUE,"GENERAL";"TAB5",#N/A,TRUE,"GENERAL"}</definedName>
    <definedName name="DRGRFGB" localSheetId="35">#REF!</definedName>
    <definedName name="DRGRFGB">#REF!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 localSheetId="35">#REF!</definedName>
    <definedName name="EQUIPO">#REF!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ROC">'[9]Análisis de precios'!$H$52</definedName>
    <definedName name="F201.1" localSheetId="35">#REF!</definedName>
    <definedName name="F201.1">#REF!</definedName>
    <definedName name="F201.2" localSheetId="35">#REF!</definedName>
    <definedName name="F201.2">#REF!</definedName>
    <definedName name="F201.3" localSheetId="35">#REF!</definedName>
    <definedName name="F201.3">#REF!</definedName>
    <definedName name="F210.2" localSheetId="35">#REF!</definedName>
    <definedName name="F210.2">#REF!</definedName>
    <definedName name="F210.3" localSheetId="35">#REF!</definedName>
    <definedName name="F210.3">#REF!</definedName>
    <definedName name="F211.1" localSheetId="35">#REF!</definedName>
    <definedName name="F211.1">#REF!</definedName>
    <definedName name="F220.1" localSheetId="35">#REF!</definedName>
    <definedName name="F220.1">#REF!</definedName>
    <definedName name="fd" localSheetId="35">'[6]A. P. U.'!#REF!</definedName>
    <definedName name="fd">'[6]A. P. U.'!#REF!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nal" localSheetId="35">#REF!</definedName>
    <definedName name="final">#REF!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 localSheetId="35">#REF!</definedName>
    <definedName name="GRAF2">#REF!</definedName>
    <definedName name="GRAF3" localSheetId="35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RUPO1" localSheetId="35">#REF!</definedName>
    <definedName name="GRUPO1">#REF!</definedName>
    <definedName name="GRUPO2" localSheetId="35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 localSheetId="35">#REF!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 localSheetId="35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F" localSheetId="35">'[6]A. P. U.'!#REF!</definedName>
    <definedName name="IF">'[6]A. P. U.'!#REF!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 localSheetId="35">#REF!</definedName>
    <definedName name="inf">#REF!</definedName>
    <definedName name="Inicio">[8]BASES!$E$26</definedName>
    <definedName name="INV_11">'[10]PR 1'!$A$2:$N$655</definedName>
    <definedName name="ITEM" localSheetId="35">#REF!</definedName>
    <definedName name="ITEM">#REF!</definedName>
    <definedName name="ITEM201.1" localSheetId="35">#REF!</definedName>
    <definedName name="ITEM201.1">#REF!</definedName>
    <definedName name="ITEM201.2" localSheetId="35">#REF!</definedName>
    <definedName name="ITEM201.2">#REF!</definedName>
    <definedName name="ITEM201.3" localSheetId="35">#REF!</definedName>
    <definedName name="ITEM201.3">#REF!</definedName>
    <definedName name="ITEM210.2" localSheetId="35">#REF!</definedName>
    <definedName name="ITEM210.2">#REF!</definedName>
    <definedName name="ITEM210.3" localSheetId="35">#REF!</definedName>
    <definedName name="ITEM210.3">#REF!</definedName>
    <definedName name="ITEM211.1" localSheetId="35">#REF!</definedName>
    <definedName name="ITEM211.1">#REF!</definedName>
    <definedName name="ITEM220.1" localSheetId="35">#REF!</definedName>
    <definedName name="ITEM220.1">#REF!</definedName>
    <definedName name="ITEM222" localSheetId="35">#REF!</definedName>
    <definedName name="ITEM222">#REF!</definedName>
    <definedName name="ITEM230" localSheetId="35">#REF!</definedName>
    <definedName name="ITEM230">#REF!</definedName>
    <definedName name="item320" localSheetId="35">#REF!</definedName>
    <definedName name="item320">#REF!</definedName>
    <definedName name="ITEM330" localSheetId="35">#REF!</definedName>
    <definedName name="ITEM330">#REF!</definedName>
    <definedName name="ITEM410" localSheetId="35">#REF!</definedName>
    <definedName name="ITEM410">#REF!</definedName>
    <definedName name="ITEM420" localSheetId="35">#REF!</definedName>
    <definedName name="ITEM420">#REF!</definedName>
    <definedName name="ITEM450" localSheetId="35">#REF!</definedName>
    <definedName name="ITEM450">#REF!</definedName>
    <definedName name="ITEM610" localSheetId="35">#REF!</definedName>
    <definedName name="ITEM610">#REF!</definedName>
    <definedName name="ITEM630.4" localSheetId="35">#REF!</definedName>
    <definedName name="ITEM630.4">#REF!</definedName>
    <definedName name="ITEM630.5" localSheetId="35">#REF!</definedName>
    <definedName name="ITEM630.5">#REF!</definedName>
    <definedName name="ITEM630.6" localSheetId="35">#REF!</definedName>
    <definedName name="ITEM630.6">#REF!</definedName>
    <definedName name="ITEM630.7" localSheetId="35">#REF!</definedName>
    <definedName name="ITEM630.7">#REF!</definedName>
    <definedName name="ITEM630.8" localSheetId="35">#REF!</definedName>
    <definedName name="ITEM630.8">#REF!</definedName>
    <definedName name="ITEM632" localSheetId="35">#REF!</definedName>
    <definedName name="ITEM632">#REF!</definedName>
    <definedName name="ITEM640" localSheetId="35">#REF!</definedName>
    <definedName name="ITEM640">#REF!</definedName>
    <definedName name="ITEM661" localSheetId="35">#REF!</definedName>
    <definedName name="ITEM661">#REF!</definedName>
    <definedName name="ITEM671" localSheetId="35">#REF!</definedName>
    <definedName name="ITEM671">#REF!</definedName>
    <definedName name="ITEM681" localSheetId="35">#REF!</definedName>
    <definedName name="ITEM681">#REF!</definedName>
    <definedName name="ITEM7.1" localSheetId="35">#REF!</definedName>
    <definedName name="ITEM7.1">#REF!</definedName>
    <definedName name="ITEM7.2" localSheetId="35">#REF!</definedName>
    <definedName name="ITEM7.2">#REF!</definedName>
    <definedName name="ITEM7.3" localSheetId="35">#REF!</definedName>
    <definedName name="ITEM7.3">#REF!</definedName>
    <definedName name="ITEM7.5" localSheetId="35">#REF!</definedName>
    <definedName name="ITEM7.5">#REF!</definedName>
    <definedName name="ITEM704" localSheetId="35">#REF!</definedName>
    <definedName name="ITEM704">#REF!</definedName>
    <definedName name="ITEM720" localSheetId="35">#REF!</definedName>
    <definedName name="ITEM720">#REF!</definedName>
    <definedName name="ITEM900" localSheetId="35">#REF!</definedName>
    <definedName name="ITEM900">#REF!</definedName>
    <definedName name="ITEN320" localSheetId="35">#REF!</definedName>
    <definedName name="ITEN320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 localSheetId="35">#REF!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35">#REF!</definedName>
    <definedName name="K0F1">#REF!</definedName>
    <definedName name="K0F2" localSheetId="35">#REF!</definedName>
    <definedName name="K0F2">#REF!</definedName>
    <definedName name="K10ALO" localSheetId="35">#REF!</definedName>
    <definedName name="K10ALO">#REF!</definedName>
    <definedName name="K11ALO" localSheetId="35">#REF!</definedName>
    <definedName name="K11ALO">#REF!</definedName>
    <definedName name="K1F1" localSheetId="35">#REF!</definedName>
    <definedName name="K1F1">#REF!</definedName>
    <definedName name="K1F2" localSheetId="35">#REF!</definedName>
    <definedName name="K1F2">#REF!</definedName>
    <definedName name="K2F1" localSheetId="35">#REF!</definedName>
    <definedName name="K2F1">#REF!</definedName>
    <definedName name="K2F2" localSheetId="35">#REF!</definedName>
    <definedName name="K2F2">#REF!</definedName>
    <definedName name="K3F1" localSheetId="35">#REF!</definedName>
    <definedName name="K3F1">#REF!</definedName>
    <definedName name="K3F2" localSheetId="35">#REF!</definedName>
    <definedName name="K3F2">#REF!</definedName>
    <definedName name="K4F1" localSheetId="35">#REF!</definedName>
    <definedName name="K4F1">#REF!</definedName>
    <definedName name="K4F2" localSheetId="35">#REF!</definedName>
    <definedName name="K4F2">#REF!</definedName>
    <definedName name="K5F1" localSheetId="35">#REF!</definedName>
    <definedName name="K5F1">#REF!</definedName>
    <definedName name="K5F2" localSheetId="35">#REF!</definedName>
    <definedName name="K5F2">#REF!</definedName>
    <definedName name="K6F1" localSheetId="35">#REF!</definedName>
    <definedName name="K6F1">#REF!</definedName>
    <definedName name="K6F2" localSheetId="35">#REF!</definedName>
    <definedName name="K6F2">#REF!</definedName>
    <definedName name="K7F1" localSheetId="35">#REF!</definedName>
    <definedName name="K7F1">#REF!</definedName>
    <definedName name="K7F2" localSheetId="35">#REF!</definedName>
    <definedName name="K7F2">#REF!</definedName>
    <definedName name="K8ALO" localSheetId="35">#REF!</definedName>
    <definedName name="K8ALO">#REF!</definedName>
    <definedName name="K8F1" localSheetId="35">#REF!</definedName>
    <definedName name="K8F1">#REF!</definedName>
    <definedName name="K8F2" localSheetId="35">#REF!</definedName>
    <definedName name="K8F2">#REF!</definedName>
    <definedName name="K9ALO" localSheetId="35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 localSheetId="35">#REF!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localSheetId="35">#REF!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CA">#N/A</definedName>
    <definedName name="LOCA1">#N/A</definedName>
    <definedName name="LOCALIZACIÓN_Y_REPLANTEO._ESTRUCTURAS" localSheetId="35">#REF!</definedName>
    <definedName name="LOCALIZACIÓN_Y_REPLANTEO._ESTRUCTURAS">#REF!</definedName>
    <definedName name="lolol" hidden="1">{"TAB1",#N/A,TRUE,"GENERAL";"TAB2",#N/A,TRUE,"GENERAL";"TAB3",#N/A,TRUE,"GENERAL";"TAB4",#N/A,TRUE,"GENERAL";"TAB5",#N/A,TRUE,"GENERAL"}</definedName>
    <definedName name="LOPE" localSheetId="35">#REF!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P" localSheetId="35">'[11]PU (2)'!#REF!</definedName>
    <definedName name="MAP">'[11]PU (2)'!#REF!</definedName>
    <definedName name="masor" hidden="1">{"via1",#N/A,TRUE,"general";"via2",#N/A,TRUE,"general";"via3",#N/A,TRUE,"general"}</definedName>
    <definedName name="MAT" localSheetId="35">#REF!</definedName>
    <definedName name="MAT">#REF!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S" localSheetId="35">#REF!</definedName>
    <definedName name="NES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35">[1]!absc</definedName>
    <definedName name="NNN">[1]!absc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 localSheetId="35">#REF!</definedName>
    <definedName name="NOMBRE">#REF!</definedName>
    <definedName name="NUEVO" localSheetId="35">#REF!</definedName>
    <definedName name="NUEVO">#REF!</definedName>
    <definedName name="nxn" hidden="1">{"via1",#N/A,TRUE,"general";"via2",#N/A,TRUE,"general";"via3",#N/A,TRUE,"general"}</definedName>
    <definedName name="ÑÑÑ" localSheetId="35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localSheetId="35">#REF!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ILOTE" localSheetId="35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 localSheetId="35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[4]BASES!$E$26</definedName>
    <definedName name="pouig" hidden="1">{"via1",#N/A,TRUE,"general";"via2",#N/A,TRUE,"general";"via3",#N/A,TRUE,"general"}</definedName>
    <definedName name="PPPP" localSheetId="35">[12]PU!#REF!</definedName>
    <definedName name="PPPP">[12]PU!#REF!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35">#REF!</definedName>
    <definedName name="PRE">#REF!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 localSheetId="35">#REF!</definedName>
    <definedName name="Print_Area_MI">#REF!</definedName>
    <definedName name="PRINT_TITLES">#N/A</definedName>
    <definedName name="PRINT_TITLES_MI">#N/A</definedName>
    <definedName name="PrOfic">[8]BASES!$B$31</definedName>
    <definedName name="PRUEBA2" localSheetId="35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localSheetId="35">#REF!</definedName>
    <definedName name="Q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" localSheetId="35">#REF!</definedName>
    <definedName name="QQ">#REF!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ll" localSheetId="35">#REF!</definedName>
    <definedName name="rell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UM" localSheetId="35">#REF!</definedName>
    <definedName name="RESUM">#REF!</definedName>
    <definedName name="resum2" localSheetId="35">#REF!</definedName>
    <definedName name="resum2">#REF!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" localSheetId="35">[2]!absc</definedName>
    <definedName name="SDSD">[2]!absc</definedName>
    <definedName name="sdsdfh" hidden="1">{"via1",#N/A,TRUE,"general";"via2",#N/A,TRUE,"general";"via3",#N/A,TRUE,"general"}</definedName>
    <definedName name="SE" localSheetId="35">#REF!</definedName>
    <definedName name="SE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s" localSheetId="35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[7]Hoja1!$F$60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35">[1]!absc</definedName>
    <definedName name="t">[1]!absc</definedName>
    <definedName name="t5t5" hidden="1">{"TAB1",#N/A,TRUE,"GENERAL";"TAB2",#N/A,TRUE,"GENERAL";"TAB3",#N/A,TRUE,"GENERAL";"TAB4",#N/A,TRUE,"GENERAL";"TAB5",#N/A,TRUE,"GENERAL"}</definedName>
    <definedName name="TABLA" localSheetId="35">#REF!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[4]BASES!$E$27</definedName>
    <definedName name="TITULO" localSheetId="35">#REF!</definedName>
    <definedName name="TITULO">#REF!</definedName>
    <definedName name="_xlnm.Print_Titles">#N/A</definedName>
    <definedName name="Títulos_a_imprimir_IM" localSheetId="35">#REF!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 localSheetId="35">#REF!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[13]desmonte!$E$48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 localSheetId="35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TTTTT" localSheetId="35">#REF!</definedName>
    <definedName name="TTTTTT">#REF!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35">#REF!</definedName>
    <definedName name="TY">#REF!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35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 localSheetId="35">#REF!</definedName>
    <definedName name="valor1">#REF!</definedName>
    <definedName name="valor2" localSheetId="35">#REF!</definedName>
    <definedName name="valor2">#REF!</definedName>
    <definedName name="VALOR3" localSheetId="35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 localSheetId="35">#REF!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" localSheetId="35">#REF!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">'[5]Res-Accide-10'!$S$2:$S$7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 localSheetId="35">'[5]Res-Accide-10'!#REF!</definedName>
    <definedName name="WILSON">'[5]Res-Accide-10'!#REF!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" localSheetId="35">#REF!</definedName>
    <definedName name="XXX">#REF!</definedName>
    <definedName name="xxxxxds" hidden="1">{"via1",#N/A,TRUE,"general";"via2",#N/A,TRUE,"general";"via3",#N/A,TRUE,"general"}</definedName>
    <definedName name="XXXXXXXXXX" localSheetId="35">#REF!</definedName>
    <definedName name="XXXXXXXXXX">#REF!</definedName>
    <definedName name="xxxxxxxxxx29" hidden="1">{"via1",#N/A,TRUE,"general";"via2",#N/A,TRUE,"general";"via3",#N/A,TRUE,"general"}</definedName>
    <definedName name="XXXXXXXXXXXX" localSheetId="35">#REF!</definedName>
    <definedName name="XXXXXXXXXXXX">#REF!</definedName>
    <definedName name="XZXZV" hidden="1">{"via1",#N/A,TRUE,"general";"via2",#N/A,TRUE,"general";"via3",#N/A,TRUE,"general"}</definedName>
    <definedName name="y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localSheetId="35">#REF!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ZZZZZZZZZ" localSheetId="35">'[6]A. P. U.'!#REF!</definedName>
    <definedName name="ZZZZZZZZZZZ">'[6]A. P. U.'!#REF!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8" l="1"/>
  <c r="G21" i="37"/>
  <c r="G44" i="32"/>
  <c r="G24" i="42"/>
  <c r="G33" i="17"/>
  <c r="G30" i="43" l="1"/>
  <c r="G37" i="43"/>
  <c r="D29" i="45" l="1"/>
  <c r="G29" i="45" s="1"/>
  <c r="G31" i="26"/>
  <c r="G30" i="26"/>
  <c r="G32" i="25"/>
  <c r="G31" i="25"/>
  <c r="G30" i="25"/>
  <c r="G35" i="18"/>
  <c r="H87" i="11" l="1"/>
  <c r="G87" i="11"/>
  <c r="G85" i="11"/>
  <c r="J174" i="11" l="1"/>
  <c r="J176" i="11" s="1"/>
  <c r="H160" i="11"/>
  <c r="H168" i="11" s="1"/>
  <c r="H157" i="11"/>
  <c r="H158" i="11" s="1"/>
  <c r="H154" i="11"/>
  <c r="H153" i="11"/>
  <c r="H152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28" i="11"/>
  <c r="H129" i="11" s="1"/>
  <c r="H125" i="11"/>
  <c r="H124" i="11"/>
  <c r="H123" i="11"/>
  <c r="H122" i="11"/>
  <c r="H121" i="11"/>
  <c r="H114" i="11"/>
  <c r="H113" i="11"/>
  <c r="H112" i="11"/>
  <c r="H110" i="11"/>
  <c r="H109" i="11"/>
  <c r="H107" i="11"/>
  <c r="H105" i="11"/>
  <c r="H104" i="11"/>
  <c r="H103" i="11"/>
  <c r="H102" i="11"/>
  <c r="H101" i="11"/>
  <c r="H99" i="11"/>
  <c r="H98" i="11"/>
  <c r="H96" i="11"/>
  <c r="H95" i="11"/>
  <c r="H94" i="11"/>
  <c r="H93" i="11"/>
  <c r="H92" i="11"/>
  <c r="H91" i="11"/>
  <c r="H90" i="11"/>
  <c r="H89" i="11"/>
  <c r="H88" i="11"/>
  <c r="H74" i="11"/>
  <c r="H75" i="11" s="1"/>
  <c r="H71" i="11"/>
  <c r="H70" i="11"/>
  <c r="H67" i="11"/>
  <c r="H68" i="11" s="1"/>
  <c r="H64" i="11"/>
  <c r="H65" i="11" s="1"/>
  <c r="H61" i="11"/>
  <c r="H60" i="11"/>
  <c r="H59" i="11"/>
  <c r="H58" i="11"/>
  <c r="H57" i="11"/>
  <c r="H56" i="11"/>
  <c r="H55" i="11"/>
  <c r="H54" i="11"/>
  <c r="H53" i="11"/>
  <c r="H52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5" i="11"/>
  <c r="H34" i="11"/>
  <c r="H33" i="11"/>
  <c r="H32" i="11"/>
  <c r="H30" i="11"/>
  <c r="H28" i="11"/>
  <c r="H27" i="11"/>
  <c r="H25" i="11"/>
  <c r="H23" i="11"/>
  <c r="H22" i="11"/>
  <c r="H21" i="11"/>
  <c r="H20" i="11"/>
  <c r="H19" i="11"/>
  <c r="H18" i="11"/>
  <c r="H17" i="11"/>
  <c r="H16" i="11"/>
  <c r="F160" i="11"/>
  <c r="F157" i="11"/>
  <c r="F154" i="11"/>
  <c r="F153" i="11"/>
  <c r="F152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28" i="11"/>
  <c r="F125" i="11"/>
  <c r="F124" i="11"/>
  <c r="F123" i="11"/>
  <c r="F122" i="11"/>
  <c r="F121" i="11"/>
  <c r="F114" i="11"/>
  <c r="F113" i="11"/>
  <c r="F112" i="11"/>
  <c r="F110" i="11"/>
  <c r="F107" i="11"/>
  <c r="F105" i="11"/>
  <c r="F104" i="11"/>
  <c r="F103" i="11"/>
  <c r="F102" i="11"/>
  <c r="F101" i="11"/>
  <c r="F99" i="11"/>
  <c r="F98" i="11"/>
  <c r="F96" i="11"/>
  <c r="F95" i="11"/>
  <c r="F94" i="11"/>
  <c r="F93" i="11"/>
  <c r="F92" i="11"/>
  <c r="F91" i="11"/>
  <c r="F90" i="11"/>
  <c r="F89" i="11"/>
  <c r="F88" i="11"/>
  <c r="F71" i="11"/>
  <c r="F70" i="11"/>
  <c r="F67" i="11"/>
  <c r="F64" i="11"/>
  <c r="F61" i="11"/>
  <c r="F55" i="11"/>
  <c r="F54" i="11"/>
  <c r="F52" i="11"/>
  <c r="G43" i="48"/>
  <c r="G42" i="47"/>
  <c r="G43" i="46"/>
  <c r="G45" i="39"/>
  <c r="G43" i="38"/>
  <c r="G43" i="37"/>
  <c r="G55" i="35"/>
  <c r="G53" i="34"/>
  <c r="G52" i="33"/>
  <c r="G47" i="32"/>
  <c r="G46" i="31"/>
  <c r="G46" i="30"/>
  <c r="G45" i="29"/>
  <c r="G46" i="27"/>
  <c r="G45" i="26"/>
  <c r="G46" i="24"/>
  <c r="G46" i="22"/>
  <c r="G49" i="20"/>
  <c r="G50" i="17"/>
  <c r="G45" i="16"/>
  <c r="G46" i="15"/>
  <c r="H155" i="11" l="1"/>
  <c r="H117" i="11"/>
  <c r="H169" i="11" s="1"/>
  <c r="H115" i="11"/>
  <c r="H116" i="11"/>
  <c r="H72" i="11"/>
  <c r="H50" i="11"/>
  <c r="H161" i="11"/>
  <c r="H62" i="11"/>
  <c r="H126" i="11"/>
  <c r="H149" i="11"/>
  <c r="H118" i="11" l="1"/>
  <c r="H166" i="11"/>
  <c r="H167" i="11" s="1"/>
  <c r="H162" i="11"/>
  <c r="H163" i="11" s="1"/>
  <c r="H165" i="11" s="1"/>
  <c r="H76" i="11"/>
  <c r="H77" i="11" s="1"/>
  <c r="H172" i="11" l="1"/>
  <c r="H173" i="11" s="1"/>
  <c r="H84" i="11"/>
  <c r="H83" i="11"/>
  <c r="H82" i="11"/>
  <c r="H78" i="11"/>
  <c r="A33" i="48"/>
  <c r="G27" i="48"/>
  <c r="G28" i="48" s="1"/>
  <c r="G22" i="48"/>
  <c r="G21" i="48"/>
  <c r="G40" i="48"/>
  <c r="G38" i="48"/>
  <c r="E38" i="48"/>
  <c r="G34" i="48"/>
  <c r="G33" i="48"/>
  <c r="D26" i="47"/>
  <c r="G26" i="47" s="1"/>
  <c r="G27" i="47" s="1"/>
  <c r="G37" i="47"/>
  <c r="G39" i="47" s="1"/>
  <c r="E37" i="47"/>
  <c r="G33" i="47"/>
  <c r="G32" i="47"/>
  <c r="G21" i="47"/>
  <c r="G22" i="47" s="1"/>
  <c r="C38" i="46"/>
  <c r="E38" i="46" s="1"/>
  <c r="G38" i="46" s="1"/>
  <c r="E37" i="46"/>
  <c r="G37" i="46" s="1"/>
  <c r="G40" i="46" s="1"/>
  <c r="G32" i="46"/>
  <c r="G33" i="46" s="1"/>
  <c r="A32" i="46"/>
  <c r="G28" i="46"/>
  <c r="G27" i="46"/>
  <c r="G22" i="46"/>
  <c r="G21" i="46"/>
  <c r="G23" i="46" s="1"/>
  <c r="C43" i="45"/>
  <c r="E43" i="45" s="1"/>
  <c r="G43" i="45" s="1"/>
  <c r="E42" i="45"/>
  <c r="G42" i="45" s="1"/>
  <c r="G44" i="45" s="1"/>
  <c r="G21" i="45" s="1"/>
  <c r="G37" i="45"/>
  <c r="G36" i="45"/>
  <c r="G35" i="45"/>
  <c r="G28" i="45"/>
  <c r="G30" i="45" s="1"/>
  <c r="G31" i="45" s="1"/>
  <c r="G27" i="45"/>
  <c r="G26" i="45"/>
  <c r="G20" i="45"/>
  <c r="E49" i="44"/>
  <c r="G49" i="44" s="1"/>
  <c r="C49" i="44"/>
  <c r="G48" i="44"/>
  <c r="G51" i="44" s="1"/>
  <c r="E48" i="44"/>
  <c r="G43" i="44"/>
  <c r="G42" i="44"/>
  <c r="G41" i="44"/>
  <c r="G40" i="44"/>
  <c r="G44" i="44" s="1"/>
  <c r="G34" i="44"/>
  <c r="G33" i="44"/>
  <c r="D32" i="44"/>
  <c r="G32" i="44" s="1"/>
  <c r="G31" i="44"/>
  <c r="G26" i="44"/>
  <c r="G25" i="44"/>
  <c r="G24" i="44"/>
  <c r="G23" i="44"/>
  <c r="G22" i="44"/>
  <c r="G21" i="44"/>
  <c r="G27" i="44" s="1"/>
  <c r="C44" i="43"/>
  <c r="E44" i="43" s="1"/>
  <c r="G44" i="43" s="1"/>
  <c r="E43" i="43"/>
  <c r="G43" i="43" s="1"/>
  <c r="G46" i="43" s="1"/>
  <c r="G38" i="43"/>
  <c r="G36" i="43"/>
  <c r="A36" i="43"/>
  <c r="G31" i="43"/>
  <c r="G29" i="43"/>
  <c r="G32" i="43" s="1"/>
  <c r="G24" i="43"/>
  <c r="G23" i="43"/>
  <c r="G22" i="43"/>
  <c r="G21" i="43"/>
  <c r="G25" i="43" s="1"/>
  <c r="G39" i="43" l="1"/>
  <c r="G49" i="43" s="1"/>
  <c r="G50" i="43" s="1"/>
  <c r="E56" i="11" s="1"/>
  <c r="F56" i="11" s="1"/>
  <c r="G36" i="44"/>
  <c r="G54" i="44" s="1"/>
  <c r="G55" i="44" s="1"/>
  <c r="E60" i="11" s="1"/>
  <c r="F60" i="11" s="1"/>
  <c r="G35" i="44"/>
  <c r="H85" i="11"/>
  <c r="H79" i="11"/>
  <c r="G29" i="48"/>
  <c r="G44" i="48" s="1"/>
  <c r="E59" i="11" s="1"/>
  <c r="F59" i="11" s="1"/>
  <c r="G28" i="47"/>
  <c r="G43" i="47" s="1"/>
  <c r="E58" i="11" s="1"/>
  <c r="F58" i="11" s="1"/>
  <c r="G44" i="46"/>
  <c r="E57" i="11" s="1"/>
  <c r="F57" i="11" s="1"/>
  <c r="G38" i="45"/>
  <c r="G22" i="45"/>
  <c r="G47" i="45" s="1"/>
  <c r="G48" i="45" s="1"/>
  <c r="E53" i="11" s="1"/>
  <c r="F53" i="11" s="1"/>
  <c r="H80" i="11" l="1"/>
  <c r="G31" i="37"/>
  <c r="G19" i="37"/>
  <c r="G23" i="35"/>
  <c r="G22" i="35"/>
  <c r="G42" i="33"/>
  <c r="G40" i="33"/>
  <c r="G35" i="31"/>
  <c r="G32" i="29"/>
  <c r="C34" i="32"/>
  <c r="A34" i="32"/>
  <c r="H174" i="11" l="1"/>
  <c r="F74" i="11"/>
  <c r="E33" i="42" l="1"/>
  <c r="G33" i="42" s="1"/>
  <c r="F109" i="11" l="1"/>
  <c r="C44" i="40"/>
  <c r="C40" i="39"/>
  <c r="C39" i="37"/>
  <c r="C44" i="36"/>
  <c r="C49" i="35"/>
  <c r="C48" i="34"/>
  <c r="C47" i="33" l="1"/>
  <c r="C42" i="32"/>
  <c r="C42" i="31"/>
  <c r="D28" i="31"/>
  <c r="C41" i="30"/>
  <c r="G30" i="17"/>
  <c r="G29" i="17"/>
  <c r="G28" i="17"/>
  <c r="D31" i="17"/>
  <c r="C39" i="29"/>
  <c r="C41" i="26"/>
  <c r="C44" i="25"/>
  <c r="C42" i="24"/>
  <c r="F47" i="42"/>
  <c r="C47" i="42"/>
  <c r="E47" i="42" s="1"/>
  <c r="E46" i="42"/>
  <c r="G46" i="42" s="1"/>
  <c r="G40" i="42"/>
  <c r="G39" i="42"/>
  <c r="E34" i="42"/>
  <c r="C41" i="42" s="1"/>
  <c r="G41" i="42" s="1"/>
  <c r="G32" i="42"/>
  <c r="E31" i="42"/>
  <c r="G31" i="42" s="1"/>
  <c r="E30" i="42"/>
  <c r="G30" i="42" s="1"/>
  <c r="E29" i="42"/>
  <c r="G29" i="42" s="1"/>
  <c r="E28" i="42"/>
  <c r="G28" i="42" s="1"/>
  <c r="E22" i="42"/>
  <c r="G22" i="42" s="1"/>
  <c r="E21" i="42"/>
  <c r="G21" i="42" s="1"/>
  <c r="E20" i="42"/>
  <c r="G20" i="42" s="1"/>
  <c r="C44" i="20"/>
  <c r="G47" i="42" l="1"/>
  <c r="G48" i="42"/>
  <c r="G23" i="42" s="1"/>
  <c r="G42" i="42"/>
  <c r="G34" i="42"/>
  <c r="G35" i="42" s="1"/>
  <c r="G51" i="42" l="1"/>
  <c r="G52" i="42" s="1"/>
  <c r="E30" i="11" s="1"/>
  <c r="F41" i="16"/>
  <c r="G41" i="16" s="1"/>
  <c r="E41" i="16"/>
  <c r="E40" i="16"/>
  <c r="G40" i="16" s="1"/>
  <c r="G21" i="16"/>
  <c r="G21" i="15"/>
  <c r="F42" i="15"/>
  <c r="E42" i="15"/>
  <c r="G42" i="15" s="1"/>
  <c r="E41" i="15"/>
  <c r="G41" i="15" s="1"/>
  <c r="G43" i="15" s="1"/>
  <c r="F30" i="11" l="1"/>
  <c r="G21" i="41"/>
  <c r="F40" i="41"/>
  <c r="C40" i="41"/>
  <c r="E40" i="41" s="1"/>
  <c r="E39" i="41"/>
  <c r="G39" i="41" s="1"/>
  <c r="C33" i="41"/>
  <c r="G33" i="41" s="1"/>
  <c r="G35" i="41" s="1"/>
  <c r="G28" i="41"/>
  <c r="G29" i="41" s="1"/>
  <c r="G27" i="41"/>
  <c r="C20" i="41"/>
  <c r="G20" i="41" s="1"/>
  <c r="G19" i="41"/>
  <c r="G40" i="41" l="1"/>
  <c r="G41" i="41"/>
  <c r="G22" i="41" s="1"/>
  <c r="G23" i="41" s="1"/>
  <c r="G44" i="41" s="1"/>
  <c r="G45" i="41" s="1"/>
  <c r="E18" i="11" s="1"/>
  <c r="F18" i="11" l="1"/>
  <c r="E46" i="40"/>
  <c r="G46" i="40" s="1"/>
  <c r="E45" i="40"/>
  <c r="G45" i="40" s="1"/>
  <c r="E44" i="40"/>
  <c r="G44" i="40" s="1"/>
  <c r="G24" i="40"/>
  <c r="G23" i="40"/>
  <c r="G22" i="40"/>
  <c r="G21" i="40"/>
  <c r="G20" i="40"/>
  <c r="G19" i="40"/>
  <c r="E41" i="39"/>
  <c r="G41" i="39" s="1"/>
  <c r="E40" i="39"/>
  <c r="G40" i="39" s="1"/>
  <c r="G33" i="39"/>
  <c r="G36" i="39" s="1"/>
  <c r="G19" i="39"/>
  <c r="G22" i="39" s="1"/>
  <c r="G40" i="38"/>
  <c r="G34" i="38"/>
  <c r="G19" i="38"/>
  <c r="G20" i="38" s="1"/>
  <c r="G39" i="37"/>
  <c r="G38" i="37"/>
  <c r="G40" i="37" s="1"/>
  <c r="G34" i="37"/>
  <c r="G26" i="37"/>
  <c r="G25" i="37"/>
  <c r="G45" i="36"/>
  <c r="G44" i="36"/>
  <c r="G33" i="36"/>
  <c r="G24" i="36"/>
  <c r="G23" i="36"/>
  <c r="G22" i="36"/>
  <c r="G21" i="36"/>
  <c r="G20" i="36"/>
  <c r="G19" i="36"/>
  <c r="G50" i="35"/>
  <c r="G52" i="35" s="1"/>
  <c r="G49" i="35"/>
  <c r="G42" i="35"/>
  <c r="G45" i="35" s="1"/>
  <c r="G37" i="35"/>
  <c r="G36" i="35"/>
  <c r="G35" i="35"/>
  <c r="G34" i="35"/>
  <c r="G33" i="35"/>
  <c r="G32" i="35"/>
  <c r="G31" i="35"/>
  <c r="G30" i="35"/>
  <c r="G29" i="35"/>
  <c r="G21" i="35"/>
  <c r="G25" i="35" s="1"/>
  <c r="E48" i="34"/>
  <c r="G48" i="34" s="1"/>
  <c r="E47" i="34"/>
  <c r="G47" i="34" s="1"/>
  <c r="G40" i="34"/>
  <c r="G43" i="34" s="1"/>
  <c r="G34" i="34"/>
  <c r="G33" i="34"/>
  <c r="G32" i="34"/>
  <c r="G31" i="34"/>
  <c r="G30" i="34"/>
  <c r="G29" i="34"/>
  <c r="G23" i="34"/>
  <c r="G22" i="34"/>
  <c r="G21" i="34"/>
  <c r="E47" i="33"/>
  <c r="G47" i="33" s="1"/>
  <c r="E46" i="33"/>
  <c r="G46" i="33" s="1"/>
  <c r="G35" i="33"/>
  <c r="G34" i="33"/>
  <c r="G33" i="33"/>
  <c r="G32" i="33"/>
  <c r="G31" i="33"/>
  <c r="G30" i="33"/>
  <c r="G29" i="33"/>
  <c r="G23" i="33"/>
  <c r="G22" i="33"/>
  <c r="G21" i="33"/>
  <c r="E43" i="32"/>
  <c r="G43" i="32" s="1"/>
  <c r="E42" i="32"/>
  <c r="G42" i="32" s="1"/>
  <c r="E41" i="32"/>
  <c r="G41" i="32" s="1"/>
  <c r="G34" i="32"/>
  <c r="G37" i="32" s="1"/>
  <c r="G29" i="32"/>
  <c r="G28" i="32"/>
  <c r="G23" i="32"/>
  <c r="G22" i="32"/>
  <c r="G21" i="32"/>
  <c r="E42" i="31"/>
  <c r="G42" i="31" s="1"/>
  <c r="G43" i="31" s="1"/>
  <c r="G38" i="31"/>
  <c r="G30" i="31"/>
  <c r="G29" i="31"/>
  <c r="G28" i="31"/>
  <c r="G23" i="31"/>
  <c r="G22" i="31"/>
  <c r="G42" i="30"/>
  <c r="E41" i="30"/>
  <c r="G41" i="30" s="1"/>
  <c r="G34" i="30"/>
  <c r="G37" i="30" s="1"/>
  <c r="G29" i="30"/>
  <c r="G28" i="30"/>
  <c r="G22" i="30"/>
  <c r="G21" i="30"/>
  <c r="E40" i="29"/>
  <c r="G40" i="29" s="1"/>
  <c r="E39" i="29"/>
  <c r="G39" i="29" s="1"/>
  <c r="G35" i="29"/>
  <c r="G27" i="29"/>
  <c r="G26" i="29"/>
  <c r="G22" i="29"/>
  <c r="E39" i="28"/>
  <c r="G39" i="28" s="1"/>
  <c r="E38" i="28"/>
  <c r="G38" i="28" s="1"/>
  <c r="G40" i="28" s="1"/>
  <c r="G34" i="28"/>
  <c r="G27" i="28"/>
  <c r="G26" i="28"/>
  <c r="G28" i="28" s="1"/>
  <c r="G21" i="28"/>
  <c r="G22" i="28" s="1"/>
  <c r="G19" i="28"/>
  <c r="E41" i="27"/>
  <c r="G41" i="27" s="1"/>
  <c r="G43" i="27" s="1"/>
  <c r="G21" i="27" s="1"/>
  <c r="G22" i="27" s="1"/>
  <c r="G34" i="27"/>
  <c r="G37" i="27" s="1"/>
  <c r="G29" i="27"/>
  <c r="G28" i="27"/>
  <c r="G27" i="27"/>
  <c r="G26" i="27"/>
  <c r="E41" i="26"/>
  <c r="G41" i="26" s="1"/>
  <c r="E40" i="26"/>
  <c r="G40" i="26" s="1"/>
  <c r="G35" i="26"/>
  <c r="G36" i="26" s="1"/>
  <c r="G29" i="26"/>
  <c r="G28" i="26"/>
  <c r="G27" i="26"/>
  <c r="E44" i="25"/>
  <c r="G44" i="25" s="1"/>
  <c r="E43" i="25"/>
  <c r="G43" i="25" s="1"/>
  <c r="G36" i="25"/>
  <c r="G39" i="25" s="1"/>
  <c r="G29" i="25"/>
  <c r="G28" i="25"/>
  <c r="G22" i="25"/>
  <c r="E42" i="24"/>
  <c r="G42" i="24" s="1"/>
  <c r="E41" i="24"/>
  <c r="G41" i="24" s="1"/>
  <c r="G35" i="24"/>
  <c r="G37" i="24" s="1"/>
  <c r="G30" i="24"/>
  <c r="G29" i="24"/>
  <c r="G28" i="24"/>
  <c r="G27" i="24"/>
  <c r="E41" i="22"/>
  <c r="G41" i="22" s="1"/>
  <c r="E40" i="22"/>
  <c r="G40" i="22" s="1"/>
  <c r="G34" i="22"/>
  <c r="G36" i="22" s="1"/>
  <c r="G22" i="22"/>
  <c r="G21" i="22"/>
  <c r="E40" i="21"/>
  <c r="G40" i="21" s="1"/>
  <c r="G42" i="21" s="1"/>
  <c r="G21" i="21" s="1"/>
  <c r="G22" i="21"/>
  <c r="E44" i="20"/>
  <c r="G44" i="20" s="1"/>
  <c r="E43" i="20"/>
  <c r="G43" i="20" s="1"/>
  <c r="G38" i="20"/>
  <c r="G37" i="20"/>
  <c r="G36" i="20"/>
  <c r="G30" i="20"/>
  <c r="G29" i="20"/>
  <c r="G28" i="20"/>
  <c r="G27" i="20"/>
  <c r="G21" i="20"/>
  <c r="E40" i="19"/>
  <c r="G40" i="19" s="1"/>
  <c r="G41" i="19" s="1"/>
  <c r="G19" i="19" s="1"/>
  <c r="G21" i="19" s="1"/>
  <c r="G35" i="19"/>
  <c r="G34" i="19"/>
  <c r="G33" i="19"/>
  <c r="G28" i="19"/>
  <c r="G27" i="19"/>
  <c r="G26" i="19"/>
  <c r="G25" i="19"/>
  <c r="G41" i="18"/>
  <c r="E41" i="18"/>
  <c r="E40" i="18"/>
  <c r="G40" i="18" s="1"/>
  <c r="G36" i="18"/>
  <c r="G44" i="18" s="1"/>
  <c r="G30" i="18"/>
  <c r="G29" i="18"/>
  <c r="G28" i="18"/>
  <c r="G31" i="18" s="1"/>
  <c r="G22" i="18"/>
  <c r="G21" i="18"/>
  <c r="G20" i="18"/>
  <c r="G19" i="18"/>
  <c r="E45" i="17"/>
  <c r="G45" i="17" s="1"/>
  <c r="E44" i="17"/>
  <c r="G44" i="17" s="1"/>
  <c r="G39" i="17"/>
  <c r="G38" i="17"/>
  <c r="G37" i="17"/>
  <c r="G31" i="17"/>
  <c r="G27" i="17"/>
  <c r="G22" i="17"/>
  <c r="G42" i="16"/>
  <c r="G23" i="16" s="1"/>
  <c r="G24" i="16" s="1"/>
  <c r="G34" i="16"/>
  <c r="G36" i="16" s="1"/>
  <c r="A34" i="16"/>
  <c r="G28" i="16"/>
  <c r="G30" i="16" s="1"/>
  <c r="G24" i="15"/>
  <c r="G35" i="15"/>
  <c r="G37" i="15" s="1"/>
  <c r="G30" i="15"/>
  <c r="G29" i="15"/>
  <c r="G31" i="15" s="1"/>
  <c r="G23" i="15"/>
  <c r="E36" i="13"/>
  <c r="G36" i="13" s="1"/>
  <c r="G38" i="13" s="1"/>
  <c r="G31" i="13"/>
  <c r="G32" i="13" s="1"/>
  <c r="G27" i="13"/>
  <c r="G20" i="13"/>
  <c r="G19" i="13"/>
  <c r="G42" i="12"/>
  <c r="G43" i="12" s="1"/>
  <c r="G22" i="12" s="1"/>
  <c r="E42" i="12"/>
  <c r="E41" i="12"/>
  <c r="G41" i="12" s="1"/>
  <c r="G28" i="12"/>
  <c r="G30" i="12" s="1"/>
  <c r="G27" i="12"/>
  <c r="G21" i="12"/>
  <c r="G20" i="12"/>
  <c r="G19" i="12"/>
  <c r="G31" i="24" l="1"/>
  <c r="G21" i="13"/>
  <c r="G41" i="13" s="1"/>
  <c r="G42" i="13" s="1"/>
  <c r="E17" i="11" s="1"/>
  <c r="G32" i="17"/>
  <c r="G47" i="17"/>
  <c r="G21" i="17" s="1"/>
  <c r="G23" i="17" s="1"/>
  <c r="G36" i="19"/>
  <c r="G27" i="37"/>
  <c r="G23" i="12"/>
  <c r="G46" i="12" s="1"/>
  <c r="G47" i="12" s="1"/>
  <c r="E16" i="11" s="1"/>
  <c r="G40" i="17"/>
  <c r="G42" i="26"/>
  <c r="G43" i="30"/>
  <c r="G31" i="31"/>
  <c r="G46" i="36"/>
  <c r="G23" i="21"/>
  <c r="G47" i="40"/>
  <c r="G26" i="40"/>
  <c r="G50" i="40" s="1"/>
  <c r="G51" i="40" s="1"/>
  <c r="E49" i="11" s="1"/>
  <c r="G42" i="39"/>
  <c r="G46" i="39" s="1"/>
  <c r="E48" i="11" s="1"/>
  <c r="G44" i="37"/>
  <c r="E46" i="11" s="1"/>
  <c r="G26" i="36"/>
  <c r="G49" i="36" s="1"/>
  <c r="G50" i="36" s="1"/>
  <c r="E45" i="11" s="1"/>
  <c r="G38" i="35"/>
  <c r="G56" i="35" s="1"/>
  <c r="E44" i="11" s="1"/>
  <c r="G36" i="34"/>
  <c r="G25" i="34"/>
  <c r="G49" i="33"/>
  <c r="G36" i="33"/>
  <c r="G30" i="32"/>
  <c r="G24" i="32"/>
  <c r="G24" i="31"/>
  <c r="G47" i="31" s="1"/>
  <c r="E40" i="11" s="1"/>
  <c r="G30" i="30"/>
  <c r="G24" i="30"/>
  <c r="G42" i="29"/>
  <c r="G28" i="29"/>
  <c r="G46" i="29" s="1"/>
  <c r="E38" i="11" s="1"/>
  <c r="G30" i="27"/>
  <c r="G47" i="27" s="1"/>
  <c r="E35" i="11" s="1"/>
  <c r="G21" i="26"/>
  <c r="G23" i="26" s="1"/>
  <c r="G46" i="25"/>
  <c r="G21" i="25" s="1"/>
  <c r="G24" i="25" s="1"/>
  <c r="G49" i="25" s="1"/>
  <c r="G43" i="22"/>
  <c r="G20" i="22" s="1"/>
  <c r="G23" i="22" s="1"/>
  <c r="G47" i="22" s="1"/>
  <c r="E28" i="11" s="1"/>
  <c r="G46" i="20"/>
  <c r="G20" i="20" s="1"/>
  <c r="G23" i="20" s="1"/>
  <c r="G39" i="20"/>
  <c r="G46" i="16"/>
  <c r="E20" i="11" s="1"/>
  <c r="G43" i="28"/>
  <c r="G44" i="28" s="1"/>
  <c r="E37" i="11" s="1"/>
  <c r="G25" i="15"/>
  <c r="G47" i="15" s="1"/>
  <c r="E19" i="11" s="1"/>
  <c r="G25" i="33"/>
  <c r="G50" i="34"/>
  <c r="G44" i="38"/>
  <c r="E47" i="11" s="1"/>
  <c r="G43" i="24"/>
  <c r="G21" i="24" s="1"/>
  <c r="G23" i="24" s="1"/>
  <c r="G47" i="24" s="1"/>
  <c r="E32" i="11" s="1"/>
  <c r="G42" i="18"/>
  <c r="G23" i="18" s="1"/>
  <c r="G24" i="18" s="1"/>
  <c r="G45" i="18" s="1"/>
  <c r="E22" i="11" s="1"/>
  <c r="G29" i="19"/>
  <c r="G44" i="19" s="1"/>
  <c r="G45" i="19" s="1"/>
  <c r="E23" i="11" s="1"/>
  <c r="G31" i="20"/>
  <c r="G32" i="20" s="1"/>
  <c r="F161" i="11"/>
  <c r="F158" i="11"/>
  <c r="F129" i="11"/>
  <c r="F117" i="11"/>
  <c r="F169" i="11" s="1"/>
  <c r="D85" i="11"/>
  <c r="F75" i="11"/>
  <c r="F72" i="11"/>
  <c r="F68" i="11"/>
  <c r="F65" i="11"/>
  <c r="G45" i="21" l="1"/>
  <c r="G46" i="21" s="1"/>
  <c r="E27" i="11" s="1"/>
  <c r="F27" i="11" s="1"/>
  <c r="F37" i="11"/>
  <c r="F38" i="11"/>
  <c r="F47" i="11"/>
  <c r="F19" i="11"/>
  <c r="F45" i="11"/>
  <c r="F17" i="11"/>
  <c r="F23" i="11"/>
  <c r="F46" i="11"/>
  <c r="F22" i="11"/>
  <c r="F20" i="11"/>
  <c r="F35" i="11"/>
  <c r="F48" i="11"/>
  <c r="F28" i="11"/>
  <c r="F32" i="11"/>
  <c r="F40" i="11"/>
  <c r="F44" i="11"/>
  <c r="F49" i="11"/>
  <c r="F16" i="11"/>
  <c r="G46" i="26"/>
  <c r="E34" i="11" s="1"/>
  <c r="G51" i="17"/>
  <c r="E21" i="11" s="1"/>
  <c r="G54" i="34"/>
  <c r="E43" i="11" s="1"/>
  <c r="G53" i="33"/>
  <c r="E42" i="11" s="1"/>
  <c r="G48" i="32"/>
  <c r="E41" i="11" s="1"/>
  <c r="G47" i="30"/>
  <c r="E39" i="11" s="1"/>
  <c r="G50" i="25"/>
  <c r="E33" i="11" s="1"/>
  <c r="G50" i="20"/>
  <c r="E25" i="11" s="1"/>
  <c r="F62" i="11"/>
  <c r="F126" i="11"/>
  <c r="F115" i="11"/>
  <c r="F116" i="11"/>
  <c r="F149" i="11"/>
  <c r="F155" i="11"/>
  <c r="F168" i="11"/>
  <c r="F21" i="11" l="1"/>
  <c r="F41" i="11"/>
  <c r="F34" i="11"/>
  <c r="F39" i="11"/>
  <c r="F25" i="11"/>
  <c r="F42" i="11"/>
  <c r="F33" i="11"/>
  <c r="F43" i="11"/>
  <c r="F166" i="11"/>
  <c r="F167" i="11" s="1"/>
  <c r="F118" i="11"/>
  <c r="F162" i="11"/>
  <c r="F163" i="11" s="1"/>
  <c r="F50" i="11" l="1"/>
  <c r="F76" i="11" s="1"/>
  <c r="F77" i="11" s="1"/>
  <c r="F78" i="11" s="1"/>
  <c r="F165" i="11"/>
  <c r="F172" i="11" s="1"/>
  <c r="F173" i="11" l="1"/>
  <c r="E82" i="11"/>
  <c r="E84" i="11"/>
  <c r="F79" i="11"/>
  <c r="E83" i="11"/>
  <c r="E85" i="11" l="1"/>
  <c r="F80" i="11" s="1"/>
  <c r="F174" i="11" s="1"/>
  <c r="F175" i="11" s="1"/>
  <c r="F20" i="7" l="1"/>
  <c r="F77" i="7" l="1"/>
  <c r="F73" i="7"/>
  <c r="E72" i="7"/>
  <c r="F37" i="7"/>
  <c r="F36" i="7"/>
  <c r="F27" i="7"/>
  <c r="F17" i="7"/>
  <c r="F18" i="7"/>
  <c r="F19" i="7"/>
  <c r="F21" i="7"/>
  <c r="F23" i="7"/>
  <c r="F25" i="7"/>
  <c r="F26" i="7"/>
  <c r="F33" i="7"/>
  <c r="D24" i="7"/>
  <c r="F24" i="7" s="1"/>
  <c r="F22" i="7"/>
  <c r="F38" i="7" l="1"/>
  <c r="F16" i="7"/>
  <c r="F28" i="7" s="1"/>
  <c r="F58" i="7" l="1"/>
  <c r="F57" i="7"/>
  <c r="F56" i="7"/>
  <c r="F123" i="7" l="1"/>
  <c r="F124" i="7" s="1"/>
  <c r="F117" i="7"/>
  <c r="F116" i="7"/>
  <c r="F115" i="7"/>
  <c r="F131" i="7" l="1"/>
  <c r="F118" i="7"/>
  <c r="F111" i="7" l="1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1" i="7"/>
  <c r="F92" i="7" s="1"/>
  <c r="F87" i="7"/>
  <c r="F86" i="7"/>
  <c r="F84" i="7"/>
  <c r="F76" i="7"/>
  <c r="F75" i="7"/>
  <c r="F72" i="7"/>
  <c r="F80" i="7" s="1"/>
  <c r="F132" i="7" s="1"/>
  <c r="F70" i="7"/>
  <c r="F68" i="7"/>
  <c r="F67" i="7"/>
  <c r="F66" i="7"/>
  <c r="F65" i="7"/>
  <c r="F64" i="7"/>
  <c r="F62" i="7"/>
  <c r="F61" i="7"/>
  <c r="F59" i="7"/>
  <c r="F55" i="7"/>
  <c r="F54" i="7"/>
  <c r="F53" i="7"/>
  <c r="F52" i="7"/>
  <c r="F51" i="7"/>
  <c r="D48" i="7"/>
  <c r="F34" i="7"/>
  <c r="F30" i="7"/>
  <c r="F79" i="7" l="1"/>
  <c r="F78" i="7"/>
  <c r="F120" i="7"/>
  <c r="F121" i="7" s="1"/>
  <c r="F88" i="7"/>
  <c r="F89" i="7" s="1"/>
  <c r="F112" i="7"/>
  <c r="F31" i="7"/>
  <c r="F125" i="7" l="1"/>
  <c r="F39" i="7"/>
  <c r="F40" i="7" s="1"/>
  <c r="F129" i="7"/>
  <c r="F130" i="7" s="1"/>
  <c r="F81" i="7"/>
  <c r="F128" i="7" l="1"/>
  <c r="F134" i="7" s="1"/>
  <c r="F135" i="7" s="1"/>
  <c r="F126" i="7"/>
  <c r="E45" i="7" l="1"/>
  <c r="E47" i="7"/>
  <c r="E46" i="7"/>
  <c r="F41" i="7"/>
  <c r="F42" i="7" s="1"/>
  <c r="E48" i="7" l="1"/>
  <c r="F43" i="7" s="1"/>
  <c r="F136" i="7" l="1"/>
</calcChain>
</file>

<file path=xl/sharedStrings.xml><?xml version="1.0" encoding="utf-8"?>
<sst xmlns="http://schemas.openxmlformats.org/spreadsheetml/2006/main" count="2341" uniqueCount="531">
  <si>
    <t>No</t>
  </si>
  <si>
    <t>DESCRIPCION</t>
  </si>
  <si>
    <t>UNID</t>
  </si>
  <si>
    <t>CANTIDAD</t>
  </si>
  <si>
    <t>VALOR TOTAL</t>
  </si>
  <si>
    <t>A</t>
  </si>
  <si>
    <t>Mantenimiento de pasos a nivel</t>
  </si>
  <si>
    <t>Recolección y Transporte de aceites usados en Taller del KM5 y Taller El Corzo</t>
  </si>
  <si>
    <t>mes</t>
  </si>
  <si>
    <t>SUBTOTAL COSTOS DE MANTENIMIENTO Y CONSERVACIÓN</t>
  </si>
  <si>
    <t>B</t>
  </si>
  <si>
    <t xml:space="preserve">Suministro e Instalación de Calzos </t>
  </si>
  <si>
    <t xml:space="preserve">VALOR TOTAL BÁSICO DE OBRAS </t>
  </si>
  <si>
    <t>VALOR IVA (OBRA) (16% SOBRE UTILIDAD OBRA)</t>
  </si>
  <si>
    <t>SUBTOTAL OBRAS INCLUYENDO IVA</t>
  </si>
  <si>
    <t>VALOR TOTAL DE LAS OBRAS Y EQUIPOS (SUBTOTAL OBRAS INCLUIDO IVA + A.I.U) (1)</t>
  </si>
  <si>
    <t>PORCENTAJE</t>
  </si>
  <si>
    <t>VALOR</t>
  </si>
  <si>
    <t>ADMINISTRACION</t>
  </si>
  <si>
    <t>A=</t>
  </si>
  <si>
    <t>IMPREVISTO</t>
  </si>
  <si>
    <t>I=</t>
  </si>
  <si>
    <t>UTILIDAD</t>
  </si>
  <si>
    <t>U=</t>
  </si>
  <si>
    <t>TOTAL A.I.U</t>
  </si>
  <si>
    <t>A.I.U.=</t>
  </si>
  <si>
    <t xml:space="preserve">VIII - GASTOS DE ADMINISTRACIÓN </t>
  </si>
  <si>
    <t xml:space="preserve">Personal </t>
  </si>
  <si>
    <t>Tripulaciones</t>
  </si>
  <si>
    <t>C</t>
  </si>
  <si>
    <t>Ingeniero Mecánico</t>
  </si>
  <si>
    <t>D</t>
  </si>
  <si>
    <t>Alquileres</t>
  </si>
  <si>
    <t>E</t>
  </si>
  <si>
    <t>F</t>
  </si>
  <si>
    <t>Otros Gastos</t>
  </si>
  <si>
    <t>Gastos Adm (Incluye arriendos, servicios públicos y celulares)</t>
  </si>
  <si>
    <t>Equipo de Topografía</t>
  </si>
  <si>
    <t>SUBTOTAL COSTOS PERSONAL DE ADMINISTRACIÓN</t>
  </si>
  <si>
    <t>SUBTOTAL COSTOS DE ADMINISTRACIÓN</t>
  </si>
  <si>
    <t>IX - CONTROL DE TRÁFICO</t>
  </si>
  <si>
    <t>Personal control de tráfico</t>
  </si>
  <si>
    <t>SUBTOTAL COSTOS PERSONAL CONTROL DE TRÁFICO</t>
  </si>
  <si>
    <t>Comunicaciones</t>
  </si>
  <si>
    <t>Alquiler radios (54). Incluye repetidores, enlaces y mantenimiento</t>
  </si>
  <si>
    <t>SUBTOTAL COSTOS COMUNICACIONES</t>
  </si>
  <si>
    <t>X - VIGILANCIA</t>
  </si>
  <si>
    <t>Gerente con Vehiculo (24 horas)</t>
  </si>
  <si>
    <t>Supervisores Motorizados (24 horas)</t>
  </si>
  <si>
    <t>Estaciòn Sesquilé (24 horas)</t>
  </si>
  <si>
    <t>Estación Chocontá (24 horas)</t>
  </si>
  <si>
    <t>Est. Chocontá - Refuerzo noc. (24 horas)</t>
  </si>
  <si>
    <t>Estación Villapinzón (24 horas)</t>
  </si>
  <si>
    <t>Est. V/pinzón - Refuerzo noc. (24 horas)</t>
  </si>
  <si>
    <t>Estación Tunja (24 horas)</t>
  </si>
  <si>
    <t>Est. Tunja - Refuerzo noc. (24 horas)</t>
  </si>
  <si>
    <t>Estación Paipa (24 horas)</t>
  </si>
  <si>
    <t>Estación Duitama (24 horas)</t>
  </si>
  <si>
    <t>Estación Sogamoso (24 horas)</t>
  </si>
  <si>
    <t>Est: Sogamoso - Bodegas (24 horas)</t>
  </si>
  <si>
    <t>Estación Chicamocha (24 horas)</t>
  </si>
  <si>
    <t>Talleres el Corzo (24 horas)</t>
  </si>
  <si>
    <t>Avenida 68 (24 horas)</t>
  </si>
  <si>
    <t>Puesto Revision Km 5 (24 horas)</t>
  </si>
  <si>
    <t>La Caro (24 horas)</t>
  </si>
  <si>
    <t>SUBTOTAL COSTOS DE VIGILANCIA</t>
  </si>
  <si>
    <t>FACTOR MULTIPLICADOR</t>
  </si>
  <si>
    <t>SUBTOTAL PERSONAL CON FACTOR MULTIPLICADOR</t>
  </si>
  <si>
    <t>IVA</t>
  </si>
  <si>
    <t>VALOR TOTAL (2)</t>
  </si>
  <si>
    <t>VALOR TOTAL DEL CONTRATO (1) + (2)</t>
  </si>
  <si>
    <t>II - MANTENIMIENTO Y CONSERVACIÓN DEL CORREDOR</t>
  </si>
  <si>
    <t>SUBTOTAL COSTOS DE CONSERVACIÓN Y MANTENIMIENTO MATERIAL RODANTE MENSUAL</t>
  </si>
  <si>
    <t>GL</t>
  </si>
  <si>
    <t>Unidad</t>
  </si>
  <si>
    <t xml:space="preserve">Caporal </t>
  </si>
  <si>
    <t xml:space="preserve">Maquinistas </t>
  </si>
  <si>
    <t xml:space="preserve">Ayudantes </t>
  </si>
  <si>
    <t>Soldador</t>
  </si>
  <si>
    <t xml:space="preserve">Jefes de estación </t>
  </si>
  <si>
    <t>VALOR 2016</t>
  </si>
  <si>
    <t xml:space="preserve">Ingeniero Ambiental </t>
  </si>
  <si>
    <t>II - ADMINISTRACIÓN CONSERVACIÓN Y MANTENIMIENTO DEL MATERIAL RODANTE</t>
  </si>
  <si>
    <t>SEGUROS Y POLIZA TODO RIESGO</t>
  </si>
  <si>
    <t xml:space="preserve">SUBTOTAL PERSONAL ADMINISTRACIÓN + PERSONAL CONTROL DE TRÁFICO + (GASTOS MENSUALES) </t>
  </si>
  <si>
    <t>Personal Talleres El Corzo</t>
  </si>
  <si>
    <t xml:space="preserve">Profesional Social </t>
  </si>
  <si>
    <t>Suministro e instalación de Traviesas de madera para  Puentes</t>
  </si>
  <si>
    <t>Suministro de Eclisas ( 4 elementos) incluye pernos</t>
  </si>
  <si>
    <t>XI - PROGRAMAS Y ACTIVIDADES SOCIO-AMBIENTALES</t>
  </si>
  <si>
    <t>Personal</t>
  </si>
  <si>
    <t>Alquiler de vehículo. Incluye conductor</t>
  </si>
  <si>
    <t>Implementación de Programas Socio - Ambientales</t>
  </si>
  <si>
    <r>
      <rPr>
        <b/>
        <sz val="10"/>
        <color indexed="10"/>
        <rFont val="Arial Narrow"/>
        <family val="2"/>
      </rPr>
      <t>Rubro Fijo</t>
    </r>
    <r>
      <rPr>
        <sz val="10"/>
        <rFont val="Arial Narrow"/>
        <family val="2"/>
      </rPr>
      <t xml:space="preserve"> Implementación de Programas Socio - Ambientales. En caso que sea requerido por la autoridad ambiental. </t>
    </r>
  </si>
  <si>
    <t>SUBTOTAL COSTOS DE ACTIVIDADES SOCIO AMBIENTALES</t>
  </si>
  <si>
    <t>SUBTOTAL OTROS COSTOS DIRECTOS (COSTOS DIRECTOS DE ADMINISTRACIÓN + COMUNICACIONES + VIGILANCIA + ALQUILERES AMBIENTALES (GASTOS MENSUALES))</t>
  </si>
  <si>
    <t>RUBRO FIJO PROGRAMAS SOCIO AMBIEMNTALES</t>
  </si>
  <si>
    <t xml:space="preserve">Operador carromotor </t>
  </si>
  <si>
    <t>AGENCIA NACIONAL DE INFRAESTRUCTURA</t>
  </si>
  <si>
    <t>VICEPRESIDENCIA DE ESTRUCTURACIÓN</t>
  </si>
  <si>
    <t>PROFORMA 8 - FORMULARIO DE PRESUPUESTO OFICIAL</t>
  </si>
  <si>
    <t>“REPARACIÓN Y ATENCIÓN DE PUNTOS CRÍTICOS QUE PRESENTA LA VÍA FÉRREA EN LOS TRAMOS: LA DORADA (PK 201+502) - CHIRIGUANÁ (PK 722+683); PUERTO BERRÍO (PK 328+100) – CABAÑAS (PK 361+199) Y EN EL RAMAL DE PUERTO CAPULCO, QUE SE UBICA ENTRE LAS ABSCISAS PK 597+394,08 (CAMBIAVÍAS SUR) Y PK 598+253,54 (CAMBIAVÍAS NORTE) QUE FINALIZA EN LA ABSCISA PK 601+976,20, BOGOTÁ (PK 5) – BELENCITO (PK 262); LA CARO (PK 32+628) – ZIPAQUIRÁ (PK 53); Y BOGOTÁ (PK 5) – FACATATIVÁ (PK 35+871), ASÍ COMO SU ADMINISTRACIÓN, MANTENIMIENTO, VIGILANCIA, OPERACIÓN Y CONTROL DE TRÁFICO ENTRE OTRAS ACTIVIDADES POR EL TIEMPO DE VIGENCIA DE ESTE CONTRATO”</t>
  </si>
  <si>
    <t>I - INTERVENCION A PUNTOS CRITICOS</t>
  </si>
  <si>
    <t>SUBTOTAL COSTO INTERVENCION A PUNTOS CRITICOS</t>
  </si>
  <si>
    <t>Director de Mantenimiento</t>
  </si>
  <si>
    <t>III - PUNTOS CRITICOS Y ATENCION DE EMERGENCIAS</t>
  </si>
  <si>
    <t xml:space="preserve">Rubro Fijo para puntos críticos y atención de emergencias. </t>
  </si>
  <si>
    <t>CORREDOR FÉRREO BOGOTA - BELENCITO</t>
  </si>
  <si>
    <t>I - MANTENIMIENTO Y CONSERVACIÓN DEL CORREDOR</t>
  </si>
  <si>
    <t>Global</t>
  </si>
  <si>
    <t xml:space="preserve">PRECIO </t>
  </si>
  <si>
    <t xml:space="preserve">Transporte de 30 Km de riel desde Santa Marta hasta La Caro </t>
  </si>
  <si>
    <t>Rubro Fijo</t>
  </si>
  <si>
    <t>Suministro e instalación de traviesas de concreto (Incluye sujeciones y placas de asiento)</t>
  </si>
  <si>
    <t xml:space="preserve">Unidad </t>
  </si>
  <si>
    <r>
      <t xml:space="preserve">Suministro e instalación de Balasto (incluye el cargue, </t>
    </r>
    <r>
      <rPr>
        <sz val="10"/>
        <color rgb="FFFF0000"/>
        <rFont val="Arial Narrow"/>
        <family val="2"/>
      </rPr>
      <t>transporte</t>
    </r>
    <r>
      <rPr>
        <sz val="10"/>
        <rFont val="Arial Narrow"/>
        <family val="2"/>
      </rPr>
      <t xml:space="preserve"> y el riego)</t>
    </r>
  </si>
  <si>
    <t>M3</t>
  </si>
  <si>
    <t>Suministro e instalacion de pernos</t>
  </si>
  <si>
    <t>Instalación de 30 Km de riel en el corredor. Incluye transporte de instalación y retiro de riel</t>
  </si>
  <si>
    <t>LICITACIÓN PÚBLICA VJ-VE-LP-XXX DE 2016</t>
  </si>
  <si>
    <t>Puesta a punto, mantenimieniento, repuestos, pinturas, servicios contratados para material rodante y carromotores</t>
  </si>
  <si>
    <t>SUBTOTAL COSTOS PUNTOS CRITICOS Y ATENCIÓN DE EMERGENCIAS</t>
  </si>
  <si>
    <t>Ingeniero Territorial</t>
  </si>
  <si>
    <t>Auxiliar de Infraestructura</t>
  </si>
  <si>
    <t>Ayudante de vía (12 cuadrillas de 10 personas)</t>
  </si>
  <si>
    <t>Conductores</t>
  </si>
  <si>
    <t xml:space="preserve">Topografo </t>
  </si>
  <si>
    <t xml:space="preserve">Cadenero </t>
  </si>
  <si>
    <t xml:space="preserve">Almacenista </t>
  </si>
  <si>
    <t>Mecanicos</t>
  </si>
  <si>
    <t>Reparaciones locativas y mantenimiento a las estaciones a cargo de la ANI</t>
  </si>
  <si>
    <t xml:space="preserve">IV - SEÑALIZACION </t>
  </si>
  <si>
    <t>SUBTOTAL COSTOS DE SEÑALIZACION</t>
  </si>
  <si>
    <t>Apiques de demarcación de abscisado</t>
  </si>
  <si>
    <t xml:space="preserve">Señales verticales  informativas </t>
  </si>
  <si>
    <t>SUBTOTAL MANTENIMIENTO Y CONSERVACION DEL CORREDOR + ADM Y CONSERVACION DEL MATERIAL RODANTE + PUNTOS CRITICOS Y ATENCIÓN DE EMERGENCIAS + SEÑALIZACION)</t>
  </si>
  <si>
    <t xml:space="preserve">Alquiler de vehículos </t>
  </si>
  <si>
    <t xml:space="preserve">Mantenimiento Tanque de Combustible, Tunja y Km5 </t>
  </si>
  <si>
    <t xml:space="preserve">ACPM, Gasolina, Aceite, Filtros </t>
  </si>
  <si>
    <t>Combustibles y Herramienta Menor</t>
  </si>
  <si>
    <t xml:space="preserve">Herramienta Menor </t>
  </si>
  <si>
    <t>SUBTOTAL COSTOS DIRECTOS MENSUALES DE ADMINISTRACIÓN</t>
  </si>
  <si>
    <t>SUBTOTAL COSTOS DIRECTOS GLOBALES DE ADMINISTRACIÓN</t>
  </si>
  <si>
    <t xml:space="preserve">Supervisor de Línea </t>
  </si>
  <si>
    <t>Tecnólogo de operaciones</t>
  </si>
  <si>
    <t xml:space="preserve">Coordinador de CBR - Control de Bloqueo de Radios </t>
  </si>
  <si>
    <r>
      <t xml:space="preserve">Personal para </t>
    </r>
    <r>
      <rPr>
        <sz val="10"/>
        <color rgb="FFFF0000"/>
        <rFont val="Arial Narrow"/>
        <family val="2"/>
      </rPr>
      <t>40</t>
    </r>
    <r>
      <rPr>
        <sz val="10"/>
        <rFont val="Arial Narrow"/>
        <family val="2"/>
      </rPr>
      <t xml:space="preserve"> Casetas de pasos a nivel (3 turnos) (</t>
    </r>
    <r>
      <rPr>
        <sz val="10"/>
        <color rgb="FFFF0000"/>
        <rFont val="Arial Narrow"/>
        <family val="2"/>
      </rPr>
      <t>120</t>
    </r>
    <r>
      <rPr>
        <sz val="10"/>
        <rFont val="Arial Narrow"/>
        <family val="2"/>
      </rPr>
      <t xml:space="preserve"> pasonivelistas)</t>
    </r>
  </si>
  <si>
    <t xml:space="preserve">Abogado </t>
  </si>
  <si>
    <r>
      <t>PLAZO 19</t>
    </r>
    <r>
      <rPr>
        <b/>
        <sz val="11"/>
        <color indexed="10"/>
        <rFont val="Arial Narrow"/>
        <family val="2"/>
      </rPr>
      <t xml:space="preserve"> MESES</t>
    </r>
  </si>
  <si>
    <t>ML</t>
  </si>
  <si>
    <t>Construcción de cunetas a pie de talud revestidas en concreto simple de 21 MPA (Hecho en obra) de e= 10 cm , incluye excavacion manual, afirmado y formaleta.</t>
  </si>
  <si>
    <t>PENDIENTE DEJAR RECURSOS PARA ESTUDIOS</t>
  </si>
  <si>
    <t>m3</t>
  </si>
  <si>
    <t>m2</t>
  </si>
  <si>
    <t>kg</t>
  </si>
  <si>
    <t>und</t>
  </si>
  <si>
    <t>Retiro de superestructura de vía férrea</t>
  </si>
  <si>
    <t xml:space="preserve">RUBRO COSTOS DIRECTOS GLOBALES DE ADMINISTRACIÓN </t>
  </si>
  <si>
    <t>RUBRO ESTUDIOS Y DISEÑOS PUNTOS CRITICOS O ESTUDIOS COMPLEMENTARIOS</t>
  </si>
  <si>
    <t>ml</t>
  </si>
  <si>
    <t>Puesta a punto, mantenimiento, repuestos, pinturas, servicios contratados para material rodante y carromotores</t>
  </si>
  <si>
    <t xml:space="preserve">Rubro Fijo para atención de emergencias. </t>
  </si>
  <si>
    <t>Alquiler radios. Incluye repetidores, enlaces y mantenimiento</t>
  </si>
  <si>
    <t>Gerente con Vehículo (24 horas)</t>
  </si>
  <si>
    <t xml:space="preserve">Topógrafo </t>
  </si>
  <si>
    <t>Mecánicos</t>
  </si>
  <si>
    <t>Estación Sesquilé (24 horas)</t>
  </si>
  <si>
    <t>Puesto Revisión Km 5 (24 horas)</t>
  </si>
  <si>
    <t xml:space="preserve">Abogados </t>
  </si>
  <si>
    <t xml:space="preserve">Rubro Fijo para atención para obras complementarias </t>
  </si>
  <si>
    <t>SUBTOTAL COSTOS DE OBRAS COMPLEMENTARIAS</t>
  </si>
  <si>
    <t xml:space="preserve">VII - GASTOS DE ADMINISTRACIÓN </t>
  </si>
  <si>
    <t>VIII - CONTROL DE TRÁFICO</t>
  </si>
  <si>
    <t>IX - VIGILANCIA</t>
  </si>
  <si>
    <t>X - PROGRAMAS Y ACTIVIDADES SOCIO-AMBIENTALES</t>
  </si>
  <si>
    <t>FORMATO 6 - OFERTA ECONOMICA</t>
  </si>
  <si>
    <t>CONFORMACIÓN DEL TERRAPLEN FERROVIARIO</t>
  </si>
  <si>
    <t>CONSTRUCCION DE ALCANTARILLADO</t>
  </si>
  <si>
    <t>OTROS ITEMS</t>
  </si>
  <si>
    <t>MODIFICACIÓN DE LA GEOMETRIA DEL TALUD</t>
  </si>
  <si>
    <t>DRENAJES DEL TALUD</t>
  </si>
  <si>
    <t>ELEMENTOS DE CONTENCIÓN</t>
  </si>
  <si>
    <t>ud</t>
  </si>
  <si>
    <t>hora</t>
  </si>
  <si>
    <t>Excavación mecánica en material común incluye cargue y transporte</t>
  </si>
  <si>
    <t>Suministro, extendido, nivelación y compactación de sub-base granular, para capa de forma terraplén ferroviario, incluye acopio, cargue y transporte.</t>
  </si>
  <si>
    <t>Suministro, extendido, nivelación y compactación de gravilla 1/2" a 3/4" para capa de sub-balasto, incluye acopio, cargue y transporte</t>
  </si>
  <si>
    <t>Suministro e instalación de riel ara 90 lb/yd, incluye transporte y elementos de sujeción.</t>
  </si>
  <si>
    <t>Montaje y nivelación de superestructura de vía férrea, con material de 2o uso, incluye balasto nuevo (1,2 m3/ml de vía)</t>
  </si>
  <si>
    <t>Empradizacion de terraplenes</t>
  </si>
  <si>
    <t>Concreto de 14 MPA hecho en obra, para solados</t>
  </si>
  <si>
    <t>Excavación en roca y retiro</t>
  </si>
  <si>
    <t>Muro en gaviones, en malla de triple torsión y con piedra rajón según INV - ART 681-07</t>
  </si>
  <si>
    <t>Muro en concreto reforzado hecho en obra de 28 MPA, incluye formaleta.</t>
  </si>
  <si>
    <t>Construcción de filtro en el trasdós del muro, con material drenante, incluye geo textil</t>
  </si>
  <si>
    <t>Suministro e instalación de tubería para lloraderos d=3"</t>
  </si>
  <si>
    <t>Localización y replanteo topográfico</t>
  </si>
  <si>
    <t>Acero de refuerzo FY: 4200 kg/cm2</t>
  </si>
  <si>
    <t>Relleno para estructuras</t>
  </si>
  <si>
    <t>Malla de acero galvanizado calibre q4, para concreto lanzado, incluye bastones de fijación</t>
  </si>
  <si>
    <t>Concreto lanzado (7 cm- 10 cm espesor) 21 Mpa</t>
  </si>
  <si>
    <t>Pernos de 1 " Acero A36</t>
  </si>
  <si>
    <t>Dren horizontal diámetro 2", incluye perforación y tubería</t>
  </si>
  <si>
    <t>Anclaje activo con cuatro cables o torones de 1/2" - 30 Tn incluye suministro e instalación.</t>
  </si>
  <si>
    <t>Pilotes pre excavados de diámetro 1,50</t>
  </si>
  <si>
    <t>Concreto 4000 psi para pilotes medido sobre sección teórica</t>
  </si>
  <si>
    <t>Perforación Con Widia</t>
  </si>
  <si>
    <t>Descabezado de pilote para continuidad estructural</t>
  </si>
  <si>
    <t>Pilote pre excavado de d: 0,80 m</t>
  </si>
  <si>
    <t>REPUBLICA DE COLOMBIA</t>
  </si>
  <si>
    <t>VICEPRESIDENCIA DE ESTRUCTURACION</t>
  </si>
  <si>
    <t>MODO FERREO</t>
  </si>
  <si>
    <t>ANALISIS DE PRECIOS UNITARIOS</t>
  </si>
  <si>
    <t>Bogotá- Belencito</t>
  </si>
  <si>
    <t>ITEM: 1</t>
  </si>
  <si>
    <t>RETIRO DE SUPERESTRUCTURA DE VIA FERREA</t>
  </si>
  <si>
    <t>UNIDAD:</t>
  </si>
  <si>
    <t>1. EQUIPO:</t>
  </si>
  <si>
    <t>TARIFA HORA/DIA</t>
  </si>
  <si>
    <t>RENDIMIENTO</t>
  </si>
  <si>
    <t>VALOR UNITARIO</t>
  </si>
  <si>
    <t>Equipo de oxicorte</t>
  </si>
  <si>
    <t>Equipo para extraer sujeciones</t>
  </si>
  <si>
    <t>Retrocargadora para desmonte de elementos de vía</t>
  </si>
  <si>
    <t>Herramienta menor</t>
  </si>
  <si>
    <t>SUBTOTAL</t>
  </si>
  <si>
    <t>2. MATERIALES:</t>
  </si>
  <si>
    <t>UNIDAD</t>
  </si>
  <si>
    <t>PRECIO UNIT.</t>
  </si>
  <si>
    <t>Oxígeno</t>
  </si>
  <si>
    <t>Botella</t>
  </si>
  <si>
    <t>Acetileno</t>
  </si>
  <si>
    <t>3. TRANSPORTE:</t>
  </si>
  <si>
    <t>MATERIAL</t>
  </si>
  <si>
    <t>VOLUMEN</t>
  </si>
  <si>
    <t>RECOR. (KM)</t>
  </si>
  <si>
    <t>COSTO</t>
  </si>
  <si>
    <t>4. MANO DE OBRA:</t>
  </si>
  <si>
    <t>TRABAJADOR</t>
  </si>
  <si>
    <t>JORNAL</t>
  </si>
  <si>
    <t>PRESTACIONES</t>
  </si>
  <si>
    <t>COSTO DIA</t>
  </si>
  <si>
    <t>Oficial</t>
  </si>
  <si>
    <t>Ayudante (10)</t>
  </si>
  <si>
    <t>COSTO TOTAL DIRECTO</t>
  </si>
  <si>
    <t>ITEM: 2</t>
  </si>
  <si>
    <t>EXCAVACION MECANICA EN MATERIAL COMUN, INCLUYE CARGUE Y TRANSPORTE</t>
  </si>
  <si>
    <t>Retroexcavadora de oruga, valde 1,3 m3, potencia 143 HP</t>
  </si>
  <si>
    <t>Material proveniente excavacion</t>
  </si>
  <si>
    <t>Ayudante (1)</t>
  </si>
  <si>
    <t>Retroexcavadora de oruga, valde 1,3m3, potencia 143HP</t>
  </si>
  <si>
    <t>Motoniveladora de 120 HP</t>
  </si>
  <si>
    <t>Herramienta Menor</t>
  </si>
  <si>
    <t>Material de afirmado</t>
  </si>
  <si>
    <t>Agua</t>
  </si>
  <si>
    <t>Litro</t>
  </si>
  <si>
    <t>3, TRANSPORTE:</t>
  </si>
  <si>
    <t>4, MANO DE OBRA:</t>
  </si>
  <si>
    <t>Ayudante (2)</t>
  </si>
  <si>
    <t>ITEM: 4</t>
  </si>
  <si>
    <t>Subase Granular Sbg-1</t>
  </si>
  <si>
    <t>ITEM: 5</t>
  </si>
  <si>
    <t>SUMINISTRO, EXTENDIDO, NIVELACION Y COMPACTACION DE MATERIAL GRANULAR PARA CAPA DE SUBBALASTO, INCLUYE ACOPIO, CARGUE Y TRANSPORTE</t>
  </si>
  <si>
    <t>Material granular para Sub-balasto</t>
  </si>
  <si>
    <t xml:space="preserve"> VICEPRESIDENCIA DE ESTRUCTURACION</t>
  </si>
  <si>
    <t>ITEM: 6</t>
  </si>
  <si>
    <t>SUMINISTRO DE RIEL ARA 90 LIBRAS/YARDA (INCLUYE TRANSPORTE Y ELEMENTOS DE SUJECION) - PRECIO POR ML DE VÍA (PAR DE RIELES)</t>
  </si>
  <si>
    <t>ML - VÍA</t>
  </si>
  <si>
    <t>Riel Ara 90 Libras/Yarda</t>
  </si>
  <si>
    <t>Eclisas (4 elementos)</t>
  </si>
  <si>
    <t>Tornillos</t>
  </si>
  <si>
    <t>Ayudantes (3)</t>
  </si>
  <si>
    <t>ITEM: 7</t>
  </si>
  <si>
    <t>MONTAJE Y NIVELACION DE SUPERESTRUCTURA DE VIA FERREA,  CON MATERIAL DE 2º USO, INCLUYE BALASTO NUEVO (1,2 M3/ML)</t>
  </si>
  <si>
    <t>Planta eléctrica</t>
  </si>
  <si>
    <t>Equipo de bateo, (incluye gatas de nivelación)</t>
  </si>
  <si>
    <t>Equipo para instalar sujeciones</t>
  </si>
  <si>
    <t xml:space="preserve">Gravilla con granulometría adecuada para Balasto </t>
  </si>
  <si>
    <t>Gravilla con granulometría adecuada para Balasto (anexo 2)</t>
  </si>
  <si>
    <t>Bogotá-Belencito</t>
  </si>
  <si>
    <t>ITEM: 8</t>
  </si>
  <si>
    <t xml:space="preserve">EMPRADIZACION DE TERRAPLENES </t>
  </si>
  <si>
    <t>M2</t>
  </si>
  <si>
    <t>Cesped</t>
  </si>
  <si>
    <t>Urea</t>
  </si>
  <si>
    <t>Kg</t>
  </si>
  <si>
    <t>Estacas de madera</t>
  </si>
  <si>
    <t>Suelo Orgánico</t>
  </si>
  <si>
    <t>ITEM: 9</t>
  </si>
  <si>
    <t>CONCRETO DE 14 MPA (HECHO EN OBRA) PARA SOLADOS</t>
  </si>
  <si>
    <t>Mezcladora</t>
  </si>
  <si>
    <t>Arena lavada</t>
  </si>
  <si>
    <t>Gravilla</t>
  </si>
  <si>
    <t>Cemento gris</t>
  </si>
  <si>
    <t>Bulto</t>
  </si>
  <si>
    <t>Desperdicio</t>
  </si>
  <si>
    <t>Ayudante (6)</t>
  </si>
  <si>
    <t>ITEM: 10</t>
  </si>
  <si>
    <t>Ayudante</t>
  </si>
  <si>
    <t>ITEM: 11</t>
  </si>
  <si>
    <t xml:space="preserve">EXCAVACION EN ROCA Y RETIRO </t>
  </si>
  <si>
    <t>Volqueta 6 M3</t>
  </si>
  <si>
    <t>Retroexcavadora de oruga, valde 1,3m3, potencia 143HP y martillo presión 14000KPA, incluye barreno de 115 mm</t>
  </si>
  <si>
    <t>Material rocoso proveniente de la excavacion.</t>
  </si>
  <si>
    <t>Ayudantes (2)</t>
  </si>
  <si>
    <t>Retroexcavadora</t>
  </si>
  <si>
    <t>Formaleta de madera</t>
  </si>
  <si>
    <t>Vibrador de concreto</t>
  </si>
  <si>
    <t>Ayudante (4)</t>
  </si>
  <si>
    <t>ITEM: 13</t>
  </si>
  <si>
    <t xml:space="preserve">CONSTRUCCION DE MURO EN GAVION, INCLUYE MALLA DE TRIPLE TORSION Y RAJON </t>
  </si>
  <si>
    <t>Alambre galvanizado cal. 14</t>
  </si>
  <si>
    <t>Rajón para gavión</t>
  </si>
  <si>
    <t>Malla para gaviones tipo AC 12</t>
  </si>
  <si>
    <t>Ayudantes (4)</t>
  </si>
  <si>
    <t>ITEM: 14</t>
  </si>
  <si>
    <t xml:space="preserve">MURO EN CONCRETO REFORZADO HECHO EN OBRA DE 28 MPA, INCLUYE FORMALETA </t>
  </si>
  <si>
    <t>Concreto simple de 28 Mpa</t>
  </si>
  <si>
    <t>Acero de Refuerzo 420 Mpa</t>
  </si>
  <si>
    <t>Formaleta, incluye acodalamiento muros</t>
  </si>
  <si>
    <t>ITEM: 15</t>
  </si>
  <si>
    <t xml:space="preserve">CONSTRUCCION DE FILTRO EN EL TRASDOS DEL MURO, CON MATERIAL DRENANTE, INCLUYE GEOTEXTIL NT 1600 </t>
  </si>
  <si>
    <t xml:space="preserve">Material filtrante </t>
  </si>
  <si>
    <t>Tuberia PVC 4"</t>
  </si>
  <si>
    <t>Geotextil NT 1600</t>
  </si>
  <si>
    <t>Material filtrante</t>
  </si>
  <si>
    <t>Maestro</t>
  </si>
  <si>
    <t>ITEM: 16</t>
  </si>
  <si>
    <t xml:space="preserve">SUMINISTRO E INSTALACION DE TUBERIA PARA LLORADEROS D = 3" </t>
  </si>
  <si>
    <t>Tubería PVC D= 3"</t>
  </si>
  <si>
    <t>Unión PVC D= 3"</t>
  </si>
  <si>
    <t>Soldadura PVC</t>
  </si>
  <si>
    <t>Limpiador PVC</t>
  </si>
  <si>
    <t>Materiales</t>
  </si>
  <si>
    <t>ITEM: 17</t>
  </si>
  <si>
    <t xml:space="preserve">LOCALIZACION Y REPLANTEO TOPOGRAFICO </t>
  </si>
  <si>
    <t>Equipo de Topografia - estacion total</t>
  </si>
  <si>
    <t>Puntilla</t>
  </si>
  <si>
    <t>Libra</t>
  </si>
  <si>
    <t>Topografo</t>
  </si>
  <si>
    <t>Cadenero (2)</t>
  </si>
  <si>
    <t>ITEM: 18</t>
  </si>
  <si>
    <t>ACERO DE REFUERZO DE Fy=4200 kg/cm2</t>
  </si>
  <si>
    <t xml:space="preserve">Herramienta menor </t>
  </si>
  <si>
    <t>Acero de refuerzo de Fy= 4200 PSI</t>
  </si>
  <si>
    <t>Alambre negro</t>
  </si>
  <si>
    <t>Transporte Acero</t>
  </si>
  <si>
    <t>ITEM: 19</t>
  </si>
  <si>
    <t>RELLENO PARA ESTRUCTURAS</t>
  </si>
  <si>
    <t>Compactador manual vibratorio</t>
  </si>
  <si>
    <t>Lt</t>
  </si>
  <si>
    <t>Transporte de material afirmado</t>
  </si>
  <si>
    <t>ITEM: 20</t>
  </si>
  <si>
    <t>MALLA DE ACERO GALVANIZADO CALIBRE Q4 PARA CONCRETO LANZADO, INCLUYE BASTONES DE FIJACIÓN</t>
  </si>
  <si>
    <t>Herramiento menor</t>
  </si>
  <si>
    <t>Andamio colgante o elevador (2)</t>
  </si>
  <si>
    <t>Taladro de perforación tipo jakcler para la instalación de los bastones de fijación</t>
  </si>
  <si>
    <t>Malla electrosoldada  Q4</t>
  </si>
  <si>
    <t xml:space="preserve">Bastones de fijación en varilla corrugada de Ø=1" y L= 1,50 m. </t>
  </si>
  <si>
    <t>Inyección de lechada para los pernos de fijación</t>
  </si>
  <si>
    <t>Transporte malla</t>
  </si>
  <si>
    <t>ITEM: 21</t>
  </si>
  <si>
    <t>CONCRETO LANZADO (7 cm- 10 CM ESPESOR) 21 Mpa</t>
  </si>
  <si>
    <t>Aliva</t>
  </si>
  <si>
    <t>Compresor 750</t>
  </si>
  <si>
    <t>Concreto de 3000 PSI de planta</t>
  </si>
  <si>
    <t>Aditivo impermeabilizante SIGUNIT 1 o similar</t>
  </si>
  <si>
    <t>Ayudantes(8)</t>
  </si>
  <si>
    <t>Operador</t>
  </si>
  <si>
    <t>ITEM: 22</t>
  </si>
  <si>
    <t>PERNOS DE 1" EN ACERO A36</t>
  </si>
  <si>
    <t>Track Drill</t>
  </si>
  <si>
    <t>Inyección lechada</t>
  </si>
  <si>
    <t>Platina 0,20*0,20*3/4"</t>
  </si>
  <si>
    <t>Tuerca</t>
  </si>
  <si>
    <t>Arandela</t>
  </si>
  <si>
    <t>Varila roscada de 1"</t>
  </si>
  <si>
    <t>manguera de 1/2"</t>
  </si>
  <si>
    <t>Brocas</t>
  </si>
  <si>
    <t>Ayudantes(4)</t>
  </si>
  <si>
    <t>ITEM: 23</t>
  </si>
  <si>
    <t>DREN HORIZONTAL DIAMETRO 2". INCLUYE PERFORACIÓN Y TUBERIA</t>
  </si>
  <si>
    <t>Martillo de fondo</t>
  </si>
  <si>
    <t>Tuberia PVC de 2"</t>
  </si>
  <si>
    <t>Unión PVC 2"</t>
  </si>
  <si>
    <t>Boxer</t>
  </si>
  <si>
    <t>Ayudantes(3)</t>
  </si>
  <si>
    <t>ITEM: 24</t>
  </si>
  <si>
    <t>ANCLAJE ACTIVO CON CUATRO CABLES O TORONES DE 1/2"- 30 Tn incluye suministro e instalación</t>
  </si>
  <si>
    <t>Equipo de perforación</t>
  </si>
  <si>
    <t>Inyección primaria mortero</t>
  </si>
  <si>
    <t>Inyección bulbo mortero</t>
  </si>
  <si>
    <t>Torones d: 1/2 "</t>
  </si>
  <si>
    <t>Estructura armazón anclaje</t>
  </si>
  <si>
    <t>Concreto de 4000 PSI para planta</t>
  </si>
  <si>
    <t>Tuberia sanitaria nov. 1</t>
  </si>
  <si>
    <t>Tuberia sanitaria nov. 3</t>
  </si>
  <si>
    <t>Tuberia sanitaria nov. 1 Perforada</t>
  </si>
  <si>
    <t>ITEM: 25</t>
  </si>
  <si>
    <t>PILOTE PREEXCAVADO DE DIAMETRO 1,50 m</t>
  </si>
  <si>
    <t>Maquina pilotadora</t>
  </si>
  <si>
    <t>Pala Auxiliar</t>
  </si>
  <si>
    <t>Grua con torre</t>
  </si>
  <si>
    <t>Retroexcavadora Cat 320</t>
  </si>
  <si>
    <t>Bomba para concreto</t>
  </si>
  <si>
    <t>Equipo de soladadura grua</t>
  </si>
  <si>
    <t>ITEM: 26</t>
  </si>
  <si>
    <t>CONCRETO DE 4000 PSI PARA PILOTES</t>
  </si>
  <si>
    <t>PRECIO UNITARIO</t>
  </si>
  <si>
    <t>Concreto de 4000 psi para planta</t>
  </si>
  <si>
    <t>Aditivo impermeabilizante SIKACIM</t>
  </si>
  <si>
    <t>KG</t>
  </si>
  <si>
    <t>COSTO (km)</t>
  </si>
  <si>
    <t>Oficial (1)</t>
  </si>
  <si>
    <t>ITEM: 27</t>
  </si>
  <si>
    <t>PERFORACIÓN CON WIDIA</t>
  </si>
  <si>
    <t>HORA</t>
  </si>
  <si>
    <t>Perforación Widia o trépano</t>
  </si>
  <si>
    <t>ITEM: 28</t>
  </si>
  <si>
    <t>DESCABEZADO DE PILOTE PARA CONTINUIDAD ESTRUCTURAL</t>
  </si>
  <si>
    <t>UD</t>
  </si>
  <si>
    <t>Retroexcabadora Cat 320</t>
  </si>
  <si>
    <t>Compresor Bob Cat</t>
  </si>
  <si>
    <t>Transporte de material resultante al sitio de disposcion final</t>
  </si>
  <si>
    <t>ITEM: 29</t>
  </si>
  <si>
    <t>PILOTE PRE EXCABADO DE DIAMETRO 0,80 M</t>
  </si>
  <si>
    <t>Maquina Pilotadora</t>
  </si>
  <si>
    <t>Equipo de soldadura grua</t>
  </si>
  <si>
    <t>ITEM: 1.9</t>
  </si>
  <si>
    <t xml:space="preserve">SUMINISTRO, EXTENDIDO, NIVELACION Y COMPACTACION MANUAL DE MATERIAL SELECCIONADO PARA RELLENO TERRAPLEN FERROVIARIO, INCLUYE ACOPIO, CARGUE Y TRANSPORTE </t>
  </si>
  <si>
    <t>UN</t>
  </si>
  <si>
    <t>MINICARGADOR</t>
  </si>
  <si>
    <t>BENITIN</t>
  </si>
  <si>
    <t>MATERIAL SELECCIONADO</t>
  </si>
  <si>
    <t>MATERIAL AFIRMADO</t>
  </si>
  <si>
    <t>MOTONIVELADORA DE 120 HP</t>
  </si>
  <si>
    <t>Suministro, extendido, nivelación y compactación manual de material de afirmado para relleno terraplén ferroviario, incluye acopio, cargue y transporte.</t>
  </si>
  <si>
    <t>Benitin</t>
  </si>
  <si>
    <t>Minicargador</t>
  </si>
  <si>
    <t xml:space="preserve">SUMINISTRO, EXTENDIDO, NIVELACION Y COMPACTACION MANUAL DE SUBBASE GRANULAR PARA CAPA DE FORMA DE TERRAPLEN FERROVIARIO, INCLUYE ACOPIO, CARGUE Y TRANSPORTE </t>
  </si>
  <si>
    <t>Eclisas (4 elementos) De 6 huecos</t>
  </si>
  <si>
    <t>Ayudante (3)</t>
  </si>
  <si>
    <t>ITEM: 1.23</t>
  </si>
  <si>
    <t>CUNETAS A PIE DE TALUD REVESTIDAS EN CONCRETO SIMPLE DE 21 MPA (HECHO EN OBRA) DE e= 15 cm , INCLUYE ACERO 1,7 Kg/ml, EXCAVACIÓN MANUAL, AFIRMADO Y FORMALETA.</t>
  </si>
  <si>
    <t>Rana</t>
  </si>
  <si>
    <t>Mezcladora de concreto</t>
  </si>
  <si>
    <t xml:space="preserve">Cemento </t>
  </si>
  <si>
    <t>Grava</t>
  </si>
  <si>
    <t>Kg/M3</t>
  </si>
  <si>
    <t>Arena</t>
  </si>
  <si>
    <t>Lt/M3</t>
  </si>
  <si>
    <t>Acero de Refuerzo de 420 Mpa</t>
  </si>
  <si>
    <t>Afirmado</t>
  </si>
  <si>
    <t>Materiales para concreto</t>
  </si>
  <si>
    <t>Acero</t>
  </si>
  <si>
    <t>Cunetas a pie de talud revestidas en concreto simple de 21 MPA (hecho en obra) de e= 10 cm, incluye acero 1,7 kg/ml, excavación manual, afirmado y formaleta.</t>
  </si>
  <si>
    <t>Bogota - Belencito</t>
  </si>
  <si>
    <t>Gastos de Nacionalización</t>
  </si>
  <si>
    <t>GLOBAL</t>
  </si>
  <si>
    <t>Almohadillas</t>
  </si>
  <si>
    <t>Placa de asiento</t>
  </si>
  <si>
    <t>Clips</t>
  </si>
  <si>
    <t>Ayudantes (5)</t>
  </si>
  <si>
    <t>litiro</t>
  </si>
  <si>
    <t>litro</t>
  </si>
  <si>
    <t>Oficial (2)</t>
  </si>
  <si>
    <t xml:space="preserve">Oficial </t>
  </si>
  <si>
    <t>Ayudantes (8)</t>
  </si>
  <si>
    <t>III - ADMINISTRACIÓN CONSERVACIÓN Y MANTENIMIENTO DEL MATERIAL RODANTE</t>
  </si>
  <si>
    <t>IV - ATENCION DE EMERGENCIAS</t>
  </si>
  <si>
    <t xml:space="preserve">V - SEÑALIZACION </t>
  </si>
  <si>
    <t xml:space="preserve">VI- OBRAS COMPLEMENTARIAS </t>
  </si>
  <si>
    <t>Suministro e instalación de Balasto (incluye el cargue, transporte y el riego)</t>
  </si>
  <si>
    <t xml:space="preserve">SUBTOTAL PUTOS CRITICOS + MANTENIMIENTO Y CONSERVACIÓN DEL CORREDOR + CONSERVACIÓN Y MANTENIMIENTO DEL MATERIAL RODANTE  + SEÑALIZACION + ATENCION A EMERGENCIAS + OBRAS COMPLEMENTARIAS </t>
  </si>
  <si>
    <t>Gastos Adm (Incluye arriendos, computadores, consumibles y equipos, servicios públicos y celulares)</t>
  </si>
  <si>
    <t xml:space="preserve">Transporte de 10.395 m de riel desde Santa Marta hasta La Caro </t>
  </si>
  <si>
    <t>Instalación de 10.395 de riel en el corredor. Incluye transporte de instalación y retiro de riel</t>
  </si>
  <si>
    <t>Gastos de Viaje por longitud del corredor-Caja Menor</t>
  </si>
  <si>
    <t>materiales</t>
  </si>
  <si>
    <t xml:space="preserve">Equipo Tensor </t>
  </si>
  <si>
    <t>Equipo de bombeo</t>
  </si>
  <si>
    <t>Transporte de materiales</t>
  </si>
  <si>
    <t>Trasnporte de materiales</t>
  </si>
  <si>
    <t>No modificar</t>
  </si>
  <si>
    <t>SUMINISTRO E INSTALACIÓN DE TRAVIESAS DE CONCRETO (INCLUYE SUJECIONES Y PLACAS DE ASIENTO). PARA APARTADEROS</t>
  </si>
  <si>
    <t>Equipo para extraer sujeciones existentes</t>
  </si>
  <si>
    <t>Barrenadora de traviesas de madera</t>
  </si>
  <si>
    <t>Gato de vía</t>
  </si>
  <si>
    <t>Vehiculo para transportar traviesas</t>
  </si>
  <si>
    <t>Traviesa de concreto para trocha yárdica. Incluye hombros bipata</t>
  </si>
  <si>
    <t>Sujeciones</t>
  </si>
  <si>
    <t>SUMINISTRO E INSTALACIÓN DE TRAVIESAS DE MADERA PARA PUENTES EN SECTORES EN OPERACIÓN - INCLUYE SUJECIONES Y PLACAS DE ASIENTO</t>
  </si>
  <si>
    <t>Palas (4)</t>
  </si>
  <si>
    <t>Equipos de seguridad</t>
  </si>
  <si>
    <t>Traviesa de madera cajeada y zunchada</t>
  </si>
  <si>
    <t>Tirafondos</t>
  </si>
  <si>
    <t>Placas de asiento</t>
  </si>
  <si>
    <t>Gastos de Nacioanlización</t>
  </si>
  <si>
    <t>Traviesa de madera</t>
  </si>
  <si>
    <t xml:space="preserve">Bogotá - Belencito </t>
  </si>
  <si>
    <t>ITEM: 1.31</t>
  </si>
  <si>
    <t>ML-VIA</t>
  </si>
  <si>
    <t>Bogotá - Belencito</t>
  </si>
  <si>
    <t>Suministro e instalación de balasto</t>
  </si>
  <si>
    <t>Retroexcavadora de oruga, valde 1,3 m3, potencia 143 HP. Para cargue y descargue</t>
  </si>
  <si>
    <t>Bateadora Manual</t>
  </si>
  <si>
    <t>Gravilla con granulometría adecuada para balasto</t>
  </si>
  <si>
    <t>ITEM: 1.36</t>
  </si>
  <si>
    <t>ITEM: 1.35</t>
  </si>
  <si>
    <t>ITEM: 1.37</t>
  </si>
  <si>
    <t>Suministro e instalación de Tirafondos</t>
  </si>
  <si>
    <t>Equipo para instalar Tirafondos</t>
  </si>
  <si>
    <t xml:space="preserve">Tirafondos </t>
  </si>
  <si>
    <t>ITEM: 1.38</t>
  </si>
  <si>
    <t>Suministro de Eclisas (4 Agujeros) incluye pernos</t>
  </si>
  <si>
    <t xml:space="preserve">Eclisas de 4 agujeros. Incluye pernos </t>
  </si>
  <si>
    <t>VALOR UNITARIO OFERTADO</t>
  </si>
  <si>
    <t>“REPARACIÓN Y ATENCIÓN DE PUNTOS CRÍTICOS QUE PRESENTA LA VÍA FÉRREA EN LOS TRAMOS: LA DORADA - CHIRIGUANÁ Y BOGOTÁ – BELENCITO SEGÚN LO ESTABLECEN LOS APENDICES TECNICOS, ASÍ COMO SU ADMINISTRACIÓN, MANTENIMIENTO, VIGILANCIA, OPERACIÓN Y CONTROL DE TRÁFICO ENTRE OTRAS ACTIVIDADES”</t>
  </si>
  <si>
    <t>OBJETO: “REPARACIÓN Y ATENCIÓN DE PUNTOS CRÍTICOS QUE PRESENTA LA VÍA FÉRREA EN LOS TRAMOS: LA DORADA - CHIRIGUANÁ Y BOGOTÁ – BELENCITO SEGÚN LO ESTABLECEN LOS APENDICES TECNICOS, ASÍ COMO SU ADMINISTRACIÓN, MANTENIMIENTO, VIGILANCIA, OPERACIÓN Y CONTROL DE TRÁFICO ENTRE OTRAS ACTIVIDADES”</t>
  </si>
  <si>
    <t>Ayudante de vía (14 cuadrillas de 10 personas)</t>
  </si>
  <si>
    <t>Piquetes de demarcación de abscisado</t>
  </si>
  <si>
    <t>VALOR IVA (OBRA) (19% SOBRE UTILIDAD OBRA)</t>
  </si>
  <si>
    <r>
      <t>PLAZO 14</t>
    </r>
    <r>
      <rPr>
        <b/>
        <sz val="11"/>
        <color rgb="FFFF0000"/>
        <rFont val="Arial Narrow"/>
        <family val="2"/>
      </rPr>
      <t xml:space="preserve"> MESES</t>
    </r>
  </si>
  <si>
    <r>
      <t>PLAZO 14</t>
    </r>
    <r>
      <rPr>
        <b/>
        <sz val="11"/>
        <color indexed="10"/>
        <rFont val="Arial Narrow"/>
        <family val="2"/>
      </rPr>
      <t xml:space="preserve"> MESES</t>
    </r>
  </si>
  <si>
    <t>ITEM: 1.34</t>
  </si>
  <si>
    <t xml:space="preserve">RECONFORMACION GEOMETRICA DEL TALUD </t>
  </si>
  <si>
    <t xml:space="preserve">Reconformación geométrica del talud </t>
  </si>
  <si>
    <t>placas de asiento</t>
  </si>
  <si>
    <t xml:space="preserve">No modificar </t>
  </si>
  <si>
    <t>Personal para 59 Casetas de pasos a nivel (3 turnos) (162 pasonivelistas)</t>
  </si>
  <si>
    <t>LICITACIÓN PÚBLICA VJ-VE-LP-001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</si>
</sst>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_€_-;\-* #,##0.00\ _€_-;_-* &quot;-&quot;??\ _€_-;_-@_-"/>
    <numFmt numFmtId="167" formatCode="_-* #,##0.0\ _€_-;\-* #,##0.0\ _€_-;_-* &quot;-&quot;??\ _€_-;_-@_-"/>
    <numFmt numFmtId="168" formatCode="[$$-500A]\ #,##0.00"/>
    <numFmt numFmtId="169" formatCode="_ [$$-240A]\ * #,##0_ ;_ [$$-240A]\ * \-#,##0_ ;_ [$$-240A]\ * &quot;-&quot;??_ ;_ @_ "/>
    <numFmt numFmtId="170" formatCode="_-* #,##0\ _€_-;\-* #,##0\ _€_-;_-* &quot;-&quot;??\ _€_-;_-@_-"/>
    <numFmt numFmtId="171" formatCode="#,##0.0"/>
    <numFmt numFmtId="172" formatCode="_ * #,##0_ ;_ * \-#,##0_ ;_ * &quot;-&quot;_ ;_ @_ "/>
    <numFmt numFmtId="173" formatCode="_-* #,##0_-;\-* #,##0_-;_-* &quot;-&quot;??_-;_-@_-"/>
    <numFmt numFmtId="174" formatCode="_(* #,##0_);_(* \(#,##0\);_(* &quot;-&quot;??_);_(@_)"/>
    <numFmt numFmtId="175" formatCode="[$$-240A]\ #,##0.00"/>
    <numFmt numFmtId="176" formatCode="[$$-240A]\ #,##0"/>
    <numFmt numFmtId="177" formatCode="#,##0.00_);\-#,##0.00"/>
    <numFmt numFmtId="178" formatCode="#,##0.0000_);\-#,##0.0000"/>
    <numFmt numFmtId="179" formatCode="0.0%"/>
    <numFmt numFmtId="180" formatCode="#\ ???/???"/>
    <numFmt numFmtId="181" formatCode="_-[$$-240A]* #,##0_-;\-[$$-240A]* #,##0_-;_-[$$-240A]* &quot;-&quot;??_-;_-@_-"/>
    <numFmt numFmtId="182" formatCode="_(&quot;$&quot;\ * #,##0.00_);_(&quot;$&quot;\ * \(#,##0.00\);_(&quot;$&quot;\ * &quot;-&quot;??_);_(@_)"/>
    <numFmt numFmtId="183" formatCode="0.000"/>
    <numFmt numFmtId="184" formatCode="[$$-240A]#,##0.00"/>
    <numFmt numFmtId="185" formatCode="_ [$$-240A]\ * #,##0.0_ ;_ [$$-240A]\ * \-#,##0.0_ ;_ [$$-240A]\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4"/>
      <color theme="0"/>
      <name val="Arial Narrow"/>
      <family val="2"/>
    </font>
    <font>
      <sz val="9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9.1"/>
      <color indexed="8"/>
      <name val="Arial"/>
      <family val="2"/>
    </font>
    <font>
      <b/>
      <sz val="7.9"/>
      <color indexed="8"/>
      <name val="Arial"/>
      <family val="2"/>
    </font>
    <font>
      <sz val="7.9"/>
      <color indexed="8"/>
      <name val="Arial"/>
      <family val="2"/>
    </font>
    <font>
      <sz val="10"/>
      <color indexed="8"/>
      <name val="MS Sans Serif"/>
      <family val="2"/>
    </font>
    <font>
      <sz val="10"/>
      <color theme="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Arial Narrow"/>
      <family val="2"/>
    </font>
    <font>
      <b/>
      <sz val="12"/>
      <color theme="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33" fillId="0" borderId="0"/>
    <xf numFmtId="182" fontId="4" fillId="0" borderId="0" applyFont="0" applyFill="0" applyBorder="0" applyAlignment="0" applyProtection="0"/>
    <xf numFmtId="0" fontId="4" fillId="0" borderId="0"/>
    <xf numFmtId="164" fontId="37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</cellStyleXfs>
  <cellXfs count="71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3" fontId="3" fillId="0" borderId="1" xfId="3" applyNumberFormat="1" applyFont="1" applyFill="1" applyBorder="1" applyAlignment="1">
      <alignment horizontal="center" vertical="center"/>
    </xf>
    <xf numFmtId="167" fontId="3" fillId="0" borderId="1" xfId="4" applyNumberFormat="1" applyFont="1" applyFill="1" applyBorder="1" applyAlignment="1">
      <alignment horizontal="center" vertical="center"/>
    </xf>
    <xf numFmtId="169" fontId="3" fillId="0" borderId="1" xfId="5" applyNumberFormat="1" applyFont="1" applyFill="1" applyBorder="1" applyAlignment="1">
      <alignment horizontal="right" vertical="center" wrapText="1"/>
    </xf>
    <xf numFmtId="4" fontId="3" fillId="0" borderId="1" xfId="3" applyNumberFormat="1" applyFont="1" applyFill="1" applyBorder="1" applyAlignment="1">
      <alignment horizontal="center" vertical="center"/>
    </xf>
    <xf numFmtId="170" fontId="3" fillId="4" borderId="1" xfId="0" applyNumberFormat="1" applyFont="1" applyFill="1" applyBorder="1"/>
    <xf numFmtId="169" fontId="3" fillId="4" borderId="1" xfId="0" applyNumberFormat="1" applyFont="1" applyFill="1" applyBorder="1"/>
    <xf numFmtId="169" fontId="6" fillId="5" borderId="1" xfId="0" applyNumberFormat="1" applyFont="1" applyFill="1" applyBorder="1" applyAlignment="1">
      <alignment vertical="center"/>
    </xf>
    <xf numFmtId="169" fontId="8" fillId="3" borderId="1" xfId="0" applyNumberFormat="1" applyFont="1" applyFill="1" applyBorder="1" applyAlignment="1">
      <alignment vertical="center"/>
    </xf>
    <xf numFmtId="165" fontId="2" fillId="0" borderId="1" xfId="6" applyFont="1" applyFill="1" applyBorder="1" applyAlignment="1">
      <alignment horizontal="center" vertical="center"/>
    </xf>
    <xf numFmtId="10" fontId="2" fillId="2" borderId="1" xfId="6" applyNumberFormat="1" applyFont="1" applyFill="1" applyBorder="1" applyAlignment="1">
      <alignment horizontal="center" vertical="center"/>
    </xf>
    <xf numFmtId="9" fontId="2" fillId="2" borderId="1" xfId="6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/>
    </xf>
    <xf numFmtId="170" fontId="3" fillId="4" borderId="1" xfId="4" applyNumberFormat="1" applyFont="1" applyFill="1" applyBorder="1" applyAlignment="1">
      <alignment horizontal="center" vertical="center"/>
    </xf>
    <xf numFmtId="169" fontId="3" fillId="4" borderId="1" xfId="5" applyNumberFormat="1" applyFont="1" applyFill="1" applyBorder="1" applyAlignment="1">
      <alignment horizontal="right" vertical="center" wrapText="1"/>
    </xf>
    <xf numFmtId="4" fontId="3" fillId="4" borderId="1" xfId="3" applyNumberFormat="1" applyFont="1" applyFill="1" applyBorder="1" applyAlignment="1">
      <alignment horizontal="center" vertical="center"/>
    </xf>
    <xf numFmtId="171" fontId="6" fillId="5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3" fillId="0" borderId="0" xfId="0" applyNumberFormat="1" applyFont="1" applyFill="1" applyAlignment="1">
      <alignment vertical="center"/>
    </xf>
    <xf numFmtId="164" fontId="3" fillId="0" borderId="0" xfId="2" applyFont="1" applyFill="1" applyAlignment="1">
      <alignment vertical="center"/>
    </xf>
    <xf numFmtId="0" fontId="3" fillId="6" borderId="0" xfId="0" applyFont="1" applyFill="1" applyAlignment="1">
      <alignment vertical="center"/>
    </xf>
    <xf numFmtId="170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169" fontId="3" fillId="4" borderId="3" xfId="5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72" fontId="3" fillId="6" borderId="0" xfId="0" applyNumberFormat="1" applyFont="1" applyFill="1" applyAlignment="1">
      <alignment vertical="center"/>
    </xf>
    <xf numFmtId="164" fontId="3" fillId="6" borderId="0" xfId="2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3" borderId="5" xfId="7" applyFont="1" applyFill="1" applyBorder="1" applyAlignment="1">
      <alignment vertical="center"/>
    </xf>
    <xf numFmtId="0" fontId="5" fillId="3" borderId="6" xfId="7" applyFont="1" applyFill="1" applyBorder="1" applyAlignment="1">
      <alignment vertical="center"/>
    </xf>
    <xf numFmtId="0" fontId="5" fillId="3" borderId="7" xfId="7" applyFont="1" applyFill="1" applyBorder="1" applyAlignment="1">
      <alignment horizontal="left" vertical="center"/>
    </xf>
    <xf numFmtId="0" fontId="5" fillId="3" borderId="8" xfId="7" applyFont="1" applyFill="1" applyBorder="1" applyAlignment="1">
      <alignment horizontal="left" vertical="center"/>
    </xf>
    <xf numFmtId="0" fontId="3" fillId="0" borderId="0" xfId="7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9" fontId="12" fillId="6" borderId="0" xfId="0" applyNumberFormat="1" applyFont="1" applyFill="1" applyAlignment="1">
      <alignment vertical="center"/>
    </xf>
    <xf numFmtId="172" fontId="3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70" fontId="3" fillId="4" borderId="1" xfId="4" applyNumberFormat="1" applyFont="1" applyFill="1" applyBorder="1" applyAlignment="1">
      <alignment vertical="center"/>
    </xf>
    <xf numFmtId="173" fontId="3" fillId="0" borderId="1" xfId="1" applyNumberFormat="1" applyFont="1" applyFill="1" applyBorder="1" applyAlignment="1">
      <alignment horizontal="right" vertical="center" wrapText="1"/>
    </xf>
    <xf numFmtId="173" fontId="3" fillId="0" borderId="1" xfId="1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wrapText="1" indent="2"/>
    </xf>
    <xf numFmtId="6" fontId="3" fillId="6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4" fontId="3" fillId="6" borderId="0" xfId="2" applyNumberFormat="1" applyFont="1" applyFill="1" applyAlignment="1">
      <alignment vertical="center"/>
    </xf>
    <xf numFmtId="174" fontId="3" fillId="6" borderId="0" xfId="0" applyNumberFormat="1" applyFont="1" applyFill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3" applyNumberFormat="1" applyFont="1" applyFill="1" applyBorder="1" applyAlignment="1">
      <alignment horizontal="center" vertical="center"/>
    </xf>
    <xf numFmtId="169" fontId="3" fillId="6" borderId="1" xfId="5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 wrapText="1" indent="2"/>
    </xf>
    <xf numFmtId="0" fontId="20" fillId="0" borderId="1" xfId="0" applyFont="1" applyBorder="1" applyAlignment="1">
      <alignment horizontal="left" vertical="center" wrapText="1" indent="2"/>
    </xf>
    <xf numFmtId="0" fontId="20" fillId="0" borderId="1" xfId="0" applyFont="1" applyBorder="1" applyAlignment="1">
      <alignment horizontal="left" vertical="center" indent="2"/>
    </xf>
    <xf numFmtId="0" fontId="4" fillId="0" borderId="0" xfId="7"/>
    <xf numFmtId="0" fontId="4" fillId="0" borderId="16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17" xfId="7" applyBorder="1" applyAlignment="1">
      <alignment vertical="center"/>
    </xf>
    <xf numFmtId="0" fontId="4" fillId="0" borderId="18" xfId="7" applyBorder="1" applyAlignment="1">
      <alignment vertical="center"/>
    </xf>
    <xf numFmtId="0" fontId="4" fillId="0" borderId="20" xfId="7" applyBorder="1" applyAlignment="1">
      <alignment vertical="center"/>
    </xf>
    <xf numFmtId="0" fontId="4" fillId="0" borderId="19" xfId="7" applyBorder="1" applyAlignment="1">
      <alignment vertical="center"/>
    </xf>
    <xf numFmtId="0" fontId="24" fillId="0" borderId="0" xfId="7" applyFont="1" applyAlignment="1">
      <alignment horizontal="center"/>
    </xf>
    <xf numFmtId="0" fontId="4" fillId="0" borderId="0" xfId="7" applyBorder="1"/>
    <xf numFmtId="0" fontId="28" fillId="0" borderId="0" xfId="7" applyFont="1" applyAlignment="1">
      <alignment vertical="center"/>
    </xf>
    <xf numFmtId="0" fontId="4" fillId="0" borderId="0" xfId="7" applyAlignment="1">
      <alignment vertical="center"/>
    </xf>
    <xf numFmtId="0" fontId="26" fillId="0" borderId="0" xfId="7" applyFont="1" applyBorder="1" applyAlignment="1">
      <alignment horizontal="left"/>
    </xf>
    <xf numFmtId="0" fontId="4" fillId="0" borderId="0" xfId="7" applyBorder="1" applyAlignment="1">
      <alignment horizontal="center"/>
    </xf>
    <xf numFmtId="0" fontId="26" fillId="0" borderId="1" xfId="7" applyFont="1" applyBorder="1" applyAlignment="1">
      <alignment horizontal="center" vertical="center"/>
    </xf>
    <xf numFmtId="175" fontId="29" fillId="0" borderId="1" xfId="7" applyNumberFormat="1" applyFont="1" applyBorder="1" applyAlignment="1">
      <alignment vertical="center"/>
    </xf>
    <xf numFmtId="0" fontId="29" fillId="0" borderId="1" xfId="7" applyFont="1" applyBorder="1" applyAlignment="1">
      <alignment vertical="center"/>
    </xf>
    <xf numFmtId="0" fontId="29" fillId="0" borderId="0" xfId="7" applyFont="1" applyAlignment="1">
      <alignment vertical="center"/>
    </xf>
    <xf numFmtId="0" fontId="26" fillId="0" borderId="3" xfId="7" applyFont="1" applyBorder="1" applyAlignment="1">
      <alignment horizontal="center" vertical="center"/>
    </xf>
    <xf numFmtId="0" fontId="26" fillId="0" borderId="4" xfId="7" applyFont="1" applyBorder="1" applyAlignment="1">
      <alignment horizontal="center" vertical="center"/>
    </xf>
    <xf numFmtId="0" fontId="26" fillId="0" borderId="1" xfId="7" applyFont="1" applyBorder="1" applyAlignment="1">
      <alignment vertical="center"/>
    </xf>
    <xf numFmtId="0" fontId="26" fillId="0" borderId="4" xfId="7" applyFont="1" applyBorder="1" applyAlignment="1">
      <alignment vertical="center"/>
    </xf>
    <xf numFmtId="9" fontId="29" fillId="0" borderId="1" xfId="7" applyNumberFormat="1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13" fontId="4" fillId="0" borderId="0" xfId="7" applyNumberFormat="1" applyFont="1"/>
    <xf numFmtId="10" fontId="29" fillId="0" borderId="1" xfId="7" applyNumberFormat="1" applyFont="1" applyBorder="1" applyAlignment="1">
      <alignment horizontal="center" vertical="center"/>
    </xf>
    <xf numFmtId="2" fontId="29" fillId="0" borderId="1" xfId="7" applyNumberFormat="1" applyFont="1" applyBorder="1" applyAlignment="1">
      <alignment horizontal="center" vertical="center" wrapText="1"/>
    </xf>
    <xf numFmtId="0" fontId="25" fillId="0" borderId="0" xfId="9"/>
    <xf numFmtId="0" fontId="25" fillId="0" borderId="16" xfId="9" applyBorder="1"/>
    <xf numFmtId="0" fontId="25" fillId="0" borderId="0" xfId="9" applyBorder="1"/>
    <xf numFmtId="0" fontId="25" fillId="0" borderId="17" xfId="9" applyBorder="1"/>
    <xf numFmtId="0" fontId="25" fillId="0" borderId="18" xfId="9" applyBorder="1"/>
    <xf numFmtId="0" fontId="25" fillId="0" borderId="20" xfId="9" applyBorder="1"/>
    <xf numFmtId="0" fontId="25" fillId="0" borderId="19" xfId="9" applyBorder="1"/>
    <xf numFmtId="0" fontId="24" fillId="0" borderId="0" xfId="9" applyFont="1" applyAlignment="1">
      <alignment horizontal="center"/>
    </xf>
    <xf numFmtId="0" fontId="28" fillId="0" borderId="0" xfId="9" applyFont="1"/>
    <xf numFmtId="0" fontId="26" fillId="0" borderId="0" xfId="9" applyFont="1" applyBorder="1" applyAlignment="1">
      <alignment horizontal="left"/>
    </xf>
    <xf numFmtId="0" fontId="25" fillId="0" borderId="0" xfId="9" applyBorder="1" applyAlignment="1">
      <alignment horizontal="center"/>
    </xf>
    <xf numFmtId="0" fontId="26" fillId="0" borderId="1" xfId="9" applyFont="1" applyBorder="1" applyAlignment="1">
      <alignment horizontal="center"/>
    </xf>
    <xf numFmtId="0" fontId="29" fillId="0" borderId="1" xfId="9" applyFont="1" applyBorder="1"/>
    <xf numFmtId="175" fontId="29" fillId="0" borderId="1" xfId="9" applyNumberFormat="1" applyFont="1" applyBorder="1"/>
    <xf numFmtId="0" fontId="29" fillId="0" borderId="0" xfId="9" applyFont="1"/>
    <xf numFmtId="0" fontId="26" fillId="0" borderId="4" xfId="9" applyFont="1" applyBorder="1" applyAlignment="1">
      <alignment horizontal="center"/>
    </xf>
    <xf numFmtId="0" fontId="29" fillId="0" borderId="1" xfId="9" applyFont="1" applyBorder="1" applyAlignment="1">
      <alignment horizontal="center"/>
    </xf>
    <xf numFmtId="0" fontId="29" fillId="0" borderId="1" xfId="9" applyFont="1" applyBorder="1" applyAlignment="1"/>
    <xf numFmtId="0" fontId="26" fillId="0" borderId="1" xfId="9" applyFont="1" applyBorder="1" applyAlignment="1"/>
    <xf numFmtId="0" fontId="26" fillId="0" borderId="4" xfId="9" applyFont="1" applyBorder="1" applyAlignment="1"/>
    <xf numFmtId="175" fontId="29" fillId="0" borderId="1" xfId="9" applyNumberFormat="1" applyFont="1" applyBorder="1" applyAlignment="1"/>
    <xf numFmtId="9" fontId="29" fillId="0" borderId="1" xfId="9" applyNumberFormat="1" applyFont="1" applyBorder="1" applyAlignment="1">
      <alignment horizontal="center"/>
    </xf>
    <xf numFmtId="9" fontId="29" fillId="0" borderId="1" xfId="9" applyNumberFormat="1" applyFont="1" applyBorder="1" applyAlignment="1"/>
    <xf numFmtId="0" fontId="29" fillId="0" borderId="1" xfId="9" applyFont="1" applyBorder="1" applyAlignment="1">
      <alignment horizontal="center" vertical="center"/>
    </xf>
    <xf numFmtId="175" fontId="29" fillId="0" borderId="1" xfId="9" applyNumberFormat="1" applyFont="1" applyBorder="1" applyAlignment="1">
      <alignment horizontal="center" vertical="center"/>
    </xf>
    <xf numFmtId="175" fontId="29" fillId="0" borderId="1" xfId="9" applyNumberFormat="1" applyFont="1" applyBorder="1" applyAlignment="1">
      <alignment horizontal="center"/>
    </xf>
    <xf numFmtId="0" fontId="4" fillId="6" borderId="0" xfId="9" applyFont="1" applyFill="1"/>
    <xf numFmtId="0" fontId="26" fillId="0" borderId="3" xfId="9" applyFont="1" applyBorder="1" applyAlignment="1">
      <alignment horizontal="center"/>
    </xf>
    <xf numFmtId="0" fontId="25" fillId="0" borderId="16" xfId="9" applyBorder="1" applyAlignment="1">
      <alignment vertical="center"/>
    </xf>
    <xf numFmtId="0" fontId="25" fillId="0" borderId="0" xfId="9" applyBorder="1" applyAlignment="1">
      <alignment vertical="center"/>
    </xf>
    <xf numFmtId="0" fontId="25" fillId="0" borderId="17" xfId="9" applyBorder="1" applyAlignment="1">
      <alignment vertical="center"/>
    </xf>
    <xf numFmtId="0" fontId="25" fillId="0" borderId="18" xfId="9" applyBorder="1" applyAlignment="1">
      <alignment vertical="center"/>
    </xf>
    <xf numFmtId="0" fontId="25" fillId="0" borderId="20" xfId="9" applyBorder="1" applyAlignment="1">
      <alignment vertical="center"/>
    </xf>
    <xf numFmtId="0" fontId="25" fillId="0" borderId="19" xfId="9" applyBorder="1" applyAlignment="1">
      <alignment vertical="center"/>
    </xf>
    <xf numFmtId="0" fontId="24" fillId="0" borderId="0" xfId="9" applyFont="1" applyAlignment="1">
      <alignment horizontal="center" vertical="center"/>
    </xf>
    <xf numFmtId="0" fontId="28" fillId="0" borderId="0" xfId="9" applyFont="1" applyAlignment="1">
      <alignment vertical="center"/>
    </xf>
    <xf numFmtId="0" fontId="25" fillId="0" borderId="0" xfId="9" applyAlignment="1">
      <alignment vertical="center"/>
    </xf>
    <xf numFmtId="0" fontId="4" fillId="0" borderId="0" xfId="9" applyFont="1" applyAlignment="1">
      <alignment vertical="center"/>
    </xf>
    <xf numFmtId="0" fontId="26" fillId="0" borderId="1" xfId="9" applyFont="1" applyBorder="1" applyAlignment="1">
      <alignment horizontal="center" vertical="center"/>
    </xf>
    <xf numFmtId="175" fontId="29" fillId="0" borderId="1" xfId="9" applyNumberFormat="1" applyFont="1" applyBorder="1" applyAlignment="1">
      <alignment vertical="center"/>
    </xf>
    <xf numFmtId="175" fontId="29" fillId="6" borderId="1" xfId="9" applyNumberFormat="1" applyFont="1" applyFill="1" applyBorder="1" applyAlignment="1">
      <alignment vertical="center"/>
    </xf>
    <xf numFmtId="0" fontId="29" fillId="0" borderId="0" xfId="9" applyFont="1" applyAlignment="1">
      <alignment vertical="center"/>
    </xf>
    <xf numFmtId="0" fontId="26" fillId="0" borderId="3" xfId="9" applyFont="1" applyBorder="1" applyAlignment="1">
      <alignment horizontal="center" vertical="center"/>
    </xf>
    <xf numFmtId="0" fontId="26" fillId="0" borderId="4" xfId="9" applyFont="1" applyBorder="1" applyAlignment="1">
      <alignment horizontal="center" vertical="center"/>
    </xf>
    <xf numFmtId="0" fontId="26" fillId="0" borderId="1" xfId="9" applyFont="1" applyBorder="1" applyAlignment="1">
      <alignment vertical="center"/>
    </xf>
    <xf numFmtId="0" fontId="26" fillId="0" borderId="4" xfId="9" applyFont="1" applyBorder="1" applyAlignment="1">
      <alignment vertical="center"/>
    </xf>
    <xf numFmtId="9" fontId="29" fillId="0" borderId="1" xfId="9" applyNumberFormat="1" applyFont="1" applyBorder="1" applyAlignment="1">
      <alignment horizontal="center" vertical="center"/>
    </xf>
    <xf numFmtId="0" fontId="26" fillId="0" borderId="0" xfId="9" applyFont="1" applyBorder="1" applyAlignment="1">
      <alignment horizontal="left" vertical="center"/>
    </xf>
    <xf numFmtId="0" fontId="25" fillId="0" borderId="0" xfId="9" applyBorder="1" applyAlignment="1">
      <alignment horizontal="center" vertical="center"/>
    </xf>
    <xf numFmtId="10" fontId="29" fillId="0" borderId="1" xfId="9" applyNumberFormat="1" applyFont="1" applyBorder="1" applyAlignment="1">
      <alignment horizontal="center" vertical="center"/>
    </xf>
    <xf numFmtId="0" fontId="30" fillId="0" borderId="0" xfId="9" applyFont="1" applyAlignment="1">
      <alignment horizontal="left" vertical="center" wrapText="1"/>
    </xf>
    <xf numFmtId="0" fontId="25" fillId="0" borderId="0" xfId="9" applyNumberFormat="1" applyFill="1" applyBorder="1" applyAlignment="1" applyProtection="1">
      <alignment vertical="center" wrapText="1"/>
    </xf>
    <xf numFmtId="3" fontId="30" fillId="0" borderId="0" xfId="9" applyNumberFormat="1" applyFont="1" applyAlignment="1">
      <alignment horizontal="right" vertical="center" wrapText="1"/>
    </xf>
    <xf numFmtId="0" fontId="30" fillId="0" borderId="0" xfId="9" applyFont="1" applyAlignment="1">
      <alignment vertical="center" wrapText="1"/>
    </xf>
    <xf numFmtId="177" fontId="31" fillId="0" borderId="0" xfId="9" applyNumberFormat="1" applyFont="1" applyAlignment="1">
      <alignment horizontal="right" vertical="center" wrapText="1"/>
    </xf>
    <xf numFmtId="3" fontId="32" fillId="0" borderId="0" xfId="9" applyNumberFormat="1" applyFont="1" applyAlignment="1">
      <alignment horizontal="right" vertical="center" wrapText="1"/>
    </xf>
    <xf numFmtId="0" fontId="32" fillId="0" borderId="0" xfId="9" applyFont="1" applyAlignment="1">
      <alignment horizontal="left" vertical="center" wrapText="1"/>
    </xf>
    <xf numFmtId="0" fontId="32" fillId="0" borderId="0" xfId="9" applyFont="1" applyAlignment="1">
      <alignment vertical="center" wrapText="1"/>
    </xf>
    <xf numFmtId="178" fontId="32" fillId="0" borderId="0" xfId="9" applyNumberFormat="1" applyFont="1" applyAlignment="1">
      <alignment horizontal="right" vertical="center" wrapText="1"/>
    </xf>
    <xf numFmtId="177" fontId="32" fillId="0" borderId="0" xfId="9" applyNumberFormat="1" applyFont="1" applyAlignment="1">
      <alignment horizontal="right" vertical="center" wrapText="1"/>
    </xf>
    <xf numFmtId="10" fontId="29" fillId="0" borderId="1" xfId="9" applyNumberFormat="1" applyFont="1" applyBorder="1" applyAlignment="1">
      <alignment horizontal="center"/>
    </xf>
    <xf numFmtId="13" fontId="29" fillId="0" borderId="1" xfId="9" applyNumberFormat="1" applyFont="1" applyBorder="1" applyAlignment="1"/>
    <xf numFmtId="0" fontId="4" fillId="0" borderId="0" xfId="9" applyFont="1"/>
    <xf numFmtId="0" fontId="30" fillId="0" borderId="0" xfId="11" applyFont="1" applyAlignment="1">
      <alignment horizontal="left" vertical="center" wrapText="1"/>
    </xf>
    <xf numFmtId="0" fontId="30" fillId="0" borderId="0" xfId="11" applyFont="1" applyAlignment="1">
      <alignment vertical="center" wrapText="1"/>
    </xf>
    <xf numFmtId="0" fontId="33" fillId="0" borderId="0" xfId="11" applyNumberFormat="1" applyFill="1" applyBorder="1" applyAlignment="1" applyProtection="1"/>
    <xf numFmtId="177" fontId="31" fillId="0" borderId="0" xfId="11" applyNumberFormat="1" applyFont="1" applyAlignment="1">
      <alignment horizontal="right" vertical="center" wrapText="1"/>
    </xf>
    <xf numFmtId="0" fontId="32" fillId="0" borderId="0" xfId="11" applyFont="1" applyAlignment="1">
      <alignment horizontal="left" vertical="center" wrapText="1"/>
    </xf>
    <xf numFmtId="0" fontId="32" fillId="0" borderId="0" xfId="11" applyFont="1" applyAlignment="1">
      <alignment vertical="center" wrapText="1"/>
    </xf>
    <xf numFmtId="178" fontId="32" fillId="0" borderId="0" xfId="11" applyNumberFormat="1" applyFont="1" applyAlignment="1">
      <alignment horizontal="right" vertical="center" wrapText="1"/>
    </xf>
    <xf numFmtId="177" fontId="32" fillId="0" borderId="0" xfId="11" applyNumberFormat="1" applyFont="1" applyAlignment="1">
      <alignment horizontal="right" vertical="center" wrapText="1"/>
    </xf>
    <xf numFmtId="0" fontId="32" fillId="6" borderId="0" xfId="11" applyFont="1" applyFill="1" applyAlignment="1">
      <alignment horizontal="left" vertical="center" wrapText="1"/>
    </xf>
    <xf numFmtId="180" fontId="29" fillId="0" borderId="1" xfId="9" applyNumberFormat="1" applyFont="1" applyBorder="1" applyAlignment="1">
      <alignment horizontal="center" vertical="center" wrapText="1"/>
    </xf>
    <xf numFmtId="175" fontId="29" fillId="0" borderId="1" xfId="9" applyNumberFormat="1" applyFont="1" applyFill="1" applyBorder="1" applyAlignment="1">
      <alignment horizontal="center"/>
    </xf>
    <xf numFmtId="0" fontId="28" fillId="0" borderId="0" xfId="9" applyFont="1" applyAlignment="1">
      <alignment horizontal="left" vertical="center"/>
    </xf>
    <xf numFmtId="0" fontId="29" fillId="0" borderId="1" xfId="9" applyFont="1" applyBorder="1" applyAlignment="1">
      <alignment vertical="center"/>
    </xf>
    <xf numFmtId="13" fontId="29" fillId="0" borderId="1" xfId="9" applyNumberFormat="1" applyFont="1" applyBorder="1" applyAlignment="1">
      <alignment horizontal="center" vertical="center" wrapText="1"/>
    </xf>
    <xf numFmtId="0" fontId="25" fillId="0" borderId="0" xfId="9" applyFill="1"/>
    <xf numFmtId="181" fontId="25" fillId="0" borderId="0" xfId="9" applyNumberFormat="1" applyFill="1"/>
    <xf numFmtId="181" fontId="0" fillId="0" borderId="0" xfId="12" applyNumberFormat="1" applyFont="1" applyFill="1"/>
    <xf numFmtId="175" fontId="29" fillId="0" borderId="1" xfId="7" applyNumberFormat="1" applyFont="1" applyBorder="1" applyAlignment="1"/>
    <xf numFmtId="2" fontId="29" fillId="0" borderId="1" xfId="9" applyNumberFormat="1" applyFont="1" applyBorder="1" applyAlignment="1">
      <alignment horizontal="center"/>
    </xf>
    <xf numFmtId="0" fontId="26" fillId="0" borderId="12" xfId="7" applyFont="1" applyBorder="1" applyAlignment="1">
      <alignment horizontal="center" vertical="center"/>
    </xf>
    <xf numFmtId="2" fontId="29" fillId="0" borderId="1" xfId="7" applyNumberFormat="1" applyFont="1" applyBorder="1" applyAlignment="1">
      <alignment horizontal="center" vertical="center"/>
    </xf>
    <xf numFmtId="2" fontId="29" fillId="0" borderId="1" xfId="7" applyNumberFormat="1" applyFont="1" applyBorder="1" applyAlignment="1">
      <alignment vertical="center"/>
    </xf>
    <xf numFmtId="175" fontId="34" fillId="0" borderId="0" xfId="7" applyNumberFormat="1" applyFont="1"/>
    <xf numFmtId="176" fontId="34" fillId="0" borderId="0" xfId="7" applyNumberFormat="1" applyFont="1"/>
    <xf numFmtId="176" fontId="34" fillId="0" borderId="0" xfId="9" applyNumberFormat="1" applyFont="1"/>
    <xf numFmtId="175" fontId="34" fillId="0" borderId="0" xfId="9" applyNumberFormat="1" applyFont="1"/>
    <xf numFmtId="0" fontId="21" fillId="0" borderId="0" xfId="0" applyFont="1" applyAlignment="1">
      <alignment vertical="center"/>
    </xf>
    <xf numFmtId="0" fontId="3" fillId="0" borderId="0" xfId="7" applyFont="1"/>
    <xf numFmtId="0" fontId="3" fillId="0" borderId="16" xfId="7" applyFont="1" applyBorder="1" applyAlignment="1">
      <alignment vertical="center"/>
    </xf>
    <xf numFmtId="0" fontId="3" fillId="0" borderId="0" xfId="7" applyFont="1" applyBorder="1" applyAlignment="1">
      <alignment vertical="center"/>
    </xf>
    <xf numFmtId="0" fontId="3" fillId="0" borderId="17" xfId="7" applyFont="1" applyBorder="1" applyAlignment="1">
      <alignment vertical="center"/>
    </xf>
    <xf numFmtId="0" fontId="3" fillId="0" borderId="18" xfId="7" applyFont="1" applyBorder="1" applyAlignment="1">
      <alignment vertical="center"/>
    </xf>
    <xf numFmtId="0" fontId="3" fillId="0" borderId="20" xfId="7" applyFont="1" applyBorder="1" applyAlignment="1">
      <alignment vertical="center"/>
    </xf>
    <xf numFmtId="0" fontId="3" fillId="0" borderId="19" xfId="7" applyFont="1" applyBorder="1" applyAlignment="1">
      <alignment vertical="center"/>
    </xf>
    <xf numFmtId="0" fontId="2" fillId="0" borderId="0" xfId="7" applyFont="1" applyAlignment="1">
      <alignment horizontal="center" vertical="center"/>
    </xf>
    <xf numFmtId="182" fontId="3" fillId="0" borderId="0" xfId="7" applyNumberFormat="1" applyFont="1"/>
    <xf numFmtId="0" fontId="3" fillId="0" borderId="0" xfId="7" applyFont="1" applyBorder="1"/>
    <xf numFmtId="0" fontId="3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7" fillId="0" borderId="0" xfId="7" applyFont="1" applyBorder="1" applyAlignment="1">
      <alignment horizontal="left"/>
    </xf>
    <xf numFmtId="0" fontId="3" fillId="0" borderId="0" xfId="7" applyFont="1" applyBorder="1" applyAlignment="1">
      <alignment horizontal="center"/>
    </xf>
    <xf numFmtId="0" fontId="27" fillId="0" borderId="1" xfId="7" applyFont="1" applyBorder="1" applyAlignment="1">
      <alignment horizontal="center" vertical="center"/>
    </xf>
    <xf numFmtId="0" fontId="36" fillId="0" borderId="1" xfId="7" applyFont="1" applyBorder="1" applyAlignment="1">
      <alignment vertical="center"/>
    </xf>
    <xf numFmtId="175" fontId="36" fillId="0" borderId="1" xfId="7" applyNumberFormat="1" applyFont="1" applyBorder="1" applyAlignment="1">
      <alignment vertical="center"/>
    </xf>
    <xf numFmtId="0" fontId="36" fillId="0" borderId="0" xfId="7" applyFont="1" applyAlignment="1">
      <alignment vertical="center"/>
    </xf>
    <xf numFmtId="0" fontId="27" fillId="0" borderId="4" xfId="7" applyFont="1" applyBorder="1" applyAlignment="1">
      <alignment horizontal="center" vertical="center"/>
    </xf>
    <xf numFmtId="0" fontId="36" fillId="0" borderId="1" xfId="13" applyFont="1" applyBorder="1" applyAlignment="1">
      <alignment horizontal="center"/>
    </xf>
    <xf numFmtId="0" fontId="36" fillId="0" borderId="1" xfId="7" applyFont="1" applyBorder="1" applyAlignment="1">
      <alignment horizontal="center" vertical="center"/>
    </xf>
    <xf numFmtId="0" fontId="27" fillId="0" borderId="1" xfId="7" applyFont="1" applyBorder="1" applyAlignment="1">
      <alignment vertical="center"/>
    </xf>
    <xf numFmtId="0" fontId="27" fillId="0" borderId="4" xfId="7" applyFont="1" applyBorder="1" applyAlignment="1">
      <alignment vertical="center"/>
    </xf>
    <xf numFmtId="174" fontId="4" fillId="0" borderId="0" xfId="14" applyNumberFormat="1" applyFont="1" applyAlignment="1">
      <alignment horizontal="left"/>
    </xf>
    <xf numFmtId="0" fontId="4" fillId="0" borderId="0" xfId="7" applyFont="1" applyAlignment="1">
      <alignment horizontal="center"/>
    </xf>
    <xf numFmtId="9" fontId="36" fillId="0" borderId="1" xfId="7" applyNumberFormat="1" applyFont="1" applyBorder="1" applyAlignment="1">
      <alignment horizontal="center" vertical="center"/>
    </xf>
    <xf numFmtId="2" fontId="36" fillId="0" borderId="1" xfId="7" applyNumberFormat="1" applyFont="1" applyBorder="1" applyAlignment="1">
      <alignment horizontal="center" vertical="center" wrapText="1"/>
    </xf>
    <xf numFmtId="174" fontId="4" fillId="0" borderId="0" xfId="14" applyNumberFormat="1" applyFont="1"/>
    <xf numFmtId="2" fontId="36" fillId="0" borderId="1" xfId="7" applyNumberFormat="1" applyFont="1" applyBorder="1" applyAlignment="1">
      <alignment horizontal="center" vertical="center"/>
    </xf>
    <xf numFmtId="0" fontId="3" fillId="0" borderId="0" xfId="7" applyFont="1" applyAlignment="1">
      <alignment horizontal="right" indent="2"/>
    </xf>
    <xf numFmtId="175" fontId="22" fillId="0" borderId="0" xfId="0" applyNumberFormat="1" applyFont="1"/>
    <xf numFmtId="0" fontId="20" fillId="0" borderId="1" xfId="0" applyFont="1" applyBorder="1" applyAlignment="1">
      <alignment wrapText="1"/>
    </xf>
    <xf numFmtId="2" fontId="36" fillId="0" borderId="1" xfId="7" applyNumberFormat="1" applyFont="1" applyBorder="1" applyAlignment="1">
      <alignment horizontal="right" vertical="center" wrapText="1" indent="2"/>
    </xf>
    <xf numFmtId="2" fontId="36" fillId="0" borderId="1" xfId="7" applyNumberFormat="1" applyFont="1" applyBorder="1" applyAlignment="1">
      <alignment horizontal="right" vertical="center" indent="2"/>
    </xf>
    <xf numFmtId="0" fontId="38" fillId="0" borderId="0" xfId="9" applyFont="1"/>
    <xf numFmtId="0" fontId="2" fillId="0" borderId="0" xfId="7" applyFont="1" applyAlignment="1">
      <alignment horizontal="center"/>
    </xf>
    <xf numFmtId="0" fontId="3" fillId="0" borderId="0" xfId="16" applyFont="1" applyBorder="1"/>
    <xf numFmtId="0" fontId="3" fillId="0" borderId="0" xfId="16" applyFont="1"/>
    <xf numFmtId="0" fontId="35" fillId="0" borderId="0" xfId="16" applyFont="1" applyAlignment="1">
      <alignment horizontal="center" vertical="center"/>
    </xf>
    <xf numFmtId="0" fontId="3" fillId="0" borderId="0" xfId="16" applyFont="1" applyAlignment="1">
      <alignment horizontal="center" vertical="center"/>
    </xf>
    <xf numFmtId="0" fontId="27" fillId="0" borderId="0" xfId="16" applyFont="1" applyBorder="1" applyAlignment="1">
      <alignment horizontal="center" vertical="center"/>
    </xf>
    <xf numFmtId="0" fontId="3" fillId="0" borderId="0" xfId="16" applyFont="1" applyBorder="1" applyAlignment="1">
      <alignment horizontal="center" vertical="center"/>
    </xf>
    <xf numFmtId="0" fontId="35" fillId="0" borderId="0" xfId="16" applyFont="1" applyAlignment="1">
      <alignment horizontal="left" vertical="center"/>
    </xf>
    <xf numFmtId="0" fontId="27" fillId="0" borderId="1" xfId="16" applyFont="1" applyBorder="1" applyAlignment="1">
      <alignment horizontal="center" vertical="center"/>
    </xf>
    <xf numFmtId="0" fontId="36" fillId="0" borderId="1" xfId="16" applyFont="1" applyBorder="1" applyAlignment="1">
      <alignment horizontal="left" vertical="center"/>
    </xf>
    <xf numFmtId="184" fontId="0" fillId="0" borderId="0" xfId="0" applyNumberFormat="1"/>
    <xf numFmtId="175" fontId="36" fillId="0" borderId="1" xfId="7" applyNumberFormat="1" applyFont="1" applyFill="1" applyBorder="1" applyAlignment="1">
      <alignment vertical="center"/>
    </xf>
    <xf numFmtId="175" fontId="36" fillId="0" borderId="1" xfId="16" applyNumberFormat="1" applyFont="1" applyBorder="1" applyAlignment="1">
      <alignment horizontal="right" vertical="center"/>
    </xf>
    <xf numFmtId="0" fontId="36" fillId="0" borderId="0" xfId="16" applyFont="1" applyAlignment="1">
      <alignment horizontal="center" vertical="center"/>
    </xf>
    <xf numFmtId="0" fontId="27" fillId="0" borderId="4" xfId="16" applyFont="1" applyBorder="1" applyAlignment="1">
      <alignment horizontal="center" vertical="center"/>
    </xf>
    <xf numFmtId="0" fontId="36" fillId="0" borderId="1" xfId="16" applyFont="1" applyBorder="1" applyAlignment="1">
      <alignment horizontal="center" vertical="center"/>
    </xf>
    <xf numFmtId="0" fontId="27" fillId="0" borderId="3" xfId="16" applyFont="1" applyBorder="1" applyAlignment="1">
      <alignment horizontal="center" vertical="center"/>
    </xf>
    <xf numFmtId="175" fontId="36" fillId="0" borderId="1" xfId="16" applyNumberFormat="1" applyFont="1" applyBorder="1" applyAlignment="1">
      <alignment horizontal="center" vertical="center"/>
    </xf>
    <xf numFmtId="10" fontId="36" fillId="0" borderId="1" xfId="16" applyNumberFormat="1" applyFont="1" applyBorder="1" applyAlignment="1">
      <alignment horizontal="center" vertical="center"/>
    </xf>
    <xf numFmtId="175" fontId="3" fillId="0" borderId="0" xfId="16" applyNumberFormat="1" applyFont="1" applyAlignment="1">
      <alignment horizontal="right" vertical="center" indent="2"/>
    </xf>
    <xf numFmtId="175" fontId="29" fillId="0" borderId="1" xfId="0" applyNumberFormat="1" applyFont="1" applyBorder="1" applyAlignment="1"/>
    <xf numFmtId="175" fontId="29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175" fontId="29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left" vertical="center" wrapText="1" indent="1"/>
    </xf>
    <xf numFmtId="175" fontId="36" fillId="0" borderId="1" xfId="16" applyNumberFormat="1" applyFont="1" applyBorder="1" applyAlignment="1"/>
    <xf numFmtId="0" fontId="36" fillId="0" borderId="1" xfId="7" applyFont="1" applyFill="1" applyBorder="1" applyAlignment="1">
      <alignment horizontal="left" vertical="center"/>
    </xf>
    <xf numFmtId="174" fontId="2" fillId="0" borderId="1" xfId="2" applyNumberFormat="1" applyFont="1" applyFill="1" applyBorder="1" applyAlignment="1">
      <alignment horizontal="center" vertical="center" wrapText="1"/>
    </xf>
    <xf numFmtId="3" fontId="3" fillId="6" borderId="1" xfId="3" applyNumberFormat="1" applyFont="1" applyFill="1" applyBorder="1" applyAlignment="1">
      <alignment horizontal="center" vertical="center"/>
    </xf>
    <xf numFmtId="170" fontId="3" fillId="6" borderId="1" xfId="4" applyNumberFormat="1" applyFont="1" applyFill="1" applyBorder="1" applyAlignment="1">
      <alignment horizontal="center" vertical="center"/>
    </xf>
    <xf numFmtId="169" fontId="3" fillId="6" borderId="0" xfId="0" applyNumberFormat="1" applyFont="1" applyFill="1" applyAlignment="1">
      <alignment vertical="center"/>
    </xf>
    <xf numFmtId="175" fontId="29" fillId="0" borderId="1" xfId="9" applyNumberFormat="1" applyFont="1" applyBorder="1" applyAlignment="1">
      <alignment horizontal="center" vertical="center"/>
    </xf>
    <xf numFmtId="0" fontId="29" fillId="0" borderId="1" xfId="9" applyFont="1" applyBorder="1" applyAlignment="1">
      <alignment horizontal="center"/>
    </xf>
    <xf numFmtId="0" fontId="29" fillId="0" borderId="1" xfId="0" applyFont="1" applyBorder="1" applyAlignment="1">
      <alignment horizontal="left" vertical="center"/>
    </xf>
    <xf numFmtId="2" fontId="29" fillId="0" borderId="1" xfId="9" applyNumberFormat="1" applyFont="1" applyBorder="1" applyAlignment="1"/>
    <xf numFmtId="0" fontId="12" fillId="6" borderId="0" xfId="0" applyFont="1" applyFill="1" applyAlignment="1">
      <alignment vertic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24" fillId="0" borderId="0" xfId="0" applyFont="1" applyAlignment="1">
      <alignment horizontal="center"/>
    </xf>
    <xf numFmtId="0" fontId="28" fillId="0" borderId="0" xfId="0" applyFont="1"/>
    <xf numFmtId="0" fontId="26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9" fillId="0" borderId="0" xfId="0" applyFont="1"/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26" fillId="0" borderId="1" xfId="0" applyFont="1" applyBorder="1" applyAlignment="1"/>
    <xf numFmtId="0" fontId="26" fillId="0" borderId="4" xfId="0" applyFont="1" applyBorder="1" applyAlignment="1"/>
    <xf numFmtId="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176" fontId="22" fillId="0" borderId="0" xfId="0" applyNumberFormat="1" applyFont="1"/>
    <xf numFmtId="0" fontId="3" fillId="6" borderId="1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81" fontId="0" fillId="0" borderId="0" xfId="0" applyNumberFormat="1"/>
    <xf numFmtId="10" fontId="29" fillId="0" borderId="1" xfId="0" applyNumberFormat="1" applyFont="1" applyBorder="1" applyAlignment="1">
      <alignment horizontal="center"/>
    </xf>
    <xf numFmtId="175" fontId="0" fillId="0" borderId="0" xfId="0" applyNumberFormat="1"/>
    <xf numFmtId="175" fontId="29" fillId="0" borderId="1" xfId="0" applyNumberFormat="1" applyFont="1" applyBorder="1" applyAlignment="1">
      <alignment horizontal="center" vertical="center"/>
    </xf>
    <xf numFmtId="43" fontId="0" fillId="0" borderId="0" xfId="1" applyFont="1"/>
    <xf numFmtId="0" fontId="15" fillId="8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5" fontId="4" fillId="0" borderId="0" xfId="7" applyNumberFormat="1"/>
    <xf numFmtId="169" fontId="3" fillId="0" borderId="3" xfId="5" applyNumberFormat="1" applyFont="1" applyFill="1" applyBorder="1" applyAlignment="1">
      <alignment horizontal="right" vertical="center" wrapText="1"/>
    </xf>
    <xf numFmtId="169" fontId="6" fillId="5" borderId="3" xfId="0" applyNumberFormat="1" applyFont="1" applyFill="1" applyBorder="1" applyAlignment="1">
      <alignment vertical="center"/>
    </xf>
    <xf numFmtId="169" fontId="8" fillId="3" borderId="3" xfId="0" applyNumberFormat="1" applyFont="1" applyFill="1" applyBorder="1" applyAlignment="1">
      <alignment vertical="center"/>
    </xf>
    <xf numFmtId="165" fontId="2" fillId="0" borderId="3" xfId="6" applyFont="1" applyFill="1" applyBorder="1" applyAlignment="1">
      <alignment horizontal="center" vertical="center"/>
    </xf>
    <xf numFmtId="169" fontId="3" fillId="4" borderId="3" xfId="5" applyNumberFormat="1" applyFont="1" applyFill="1" applyBorder="1" applyAlignment="1">
      <alignment horizontal="right" vertical="center" wrapText="1"/>
    </xf>
    <xf numFmtId="169" fontId="3" fillId="4" borderId="3" xfId="0" applyNumberFormat="1" applyFont="1" applyFill="1" applyBorder="1"/>
    <xf numFmtId="171" fontId="6" fillId="5" borderId="3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69" fontId="6" fillId="7" borderId="1" xfId="0" applyNumberFormat="1" applyFont="1" applyFill="1" applyBorder="1" applyAlignment="1">
      <alignment vertical="center"/>
    </xf>
    <xf numFmtId="0" fontId="5" fillId="3" borderId="1" xfId="7" applyFont="1" applyFill="1" applyBorder="1" applyAlignment="1">
      <alignment horizontal="left" vertical="center"/>
    </xf>
    <xf numFmtId="169" fontId="2" fillId="0" borderId="3" xfId="5" applyNumberFormat="1" applyFont="1" applyFill="1" applyBorder="1" applyAlignment="1">
      <alignment horizontal="right" vertical="center" wrapText="1"/>
    </xf>
    <xf numFmtId="169" fontId="2" fillId="0" borderId="1" xfId="5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7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85" fontId="6" fillId="5" borderId="3" xfId="0" applyNumberFormat="1" applyFont="1" applyFill="1" applyBorder="1" applyAlignment="1">
      <alignment vertical="center"/>
    </xf>
    <xf numFmtId="44" fontId="11" fillId="6" borderId="0" xfId="17" applyFont="1" applyFill="1" applyAlignment="1">
      <alignment vertical="center"/>
    </xf>
    <xf numFmtId="44" fontId="11" fillId="6" borderId="0" xfId="0" applyNumberFormat="1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4" fontId="10" fillId="6" borderId="0" xfId="17" applyFont="1" applyFill="1" applyAlignment="1">
      <alignment vertical="center"/>
    </xf>
    <xf numFmtId="175" fontId="29" fillId="0" borderId="1" xfId="9" applyNumberFormat="1" applyFont="1" applyBorder="1" applyAlignment="1">
      <alignment horizontal="center" vertical="center"/>
    </xf>
    <xf numFmtId="0" fontId="29" fillId="0" borderId="1" xfId="9" applyFont="1" applyBorder="1" applyAlignment="1">
      <alignment horizontal="center" vertical="center"/>
    </xf>
    <xf numFmtId="0" fontId="36" fillId="0" borderId="1" xfId="7" applyFont="1" applyFill="1" applyBorder="1" applyAlignment="1">
      <alignment horizontal="center" vertical="center"/>
    </xf>
    <xf numFmtId="3" fontId="11" fillId="6" borderId="0" xfId="0" applyNumberFormat="1" applyFont="1" applyFill="1" applyAlignment="1">
      <alignment vertical="center"/>
    </xf>
    <xf numFmtId="3" fontId="40" fillId="0" borderId="0" xfId="0" applyNumberFormat="1" applyFont="1"/>
    <xf numFmtId="169" fontId="10" fillId="6" borderId="0" xfId="0" applyNumberFormat="1" applyFont="1" applyFill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10" fillId="6" borderId="0" xfId="2" applyNumberFormat="1" applyFont="1" applyFill="1" applyAlignment="1">
      <alignment vertical="center"/>
    </xf>
    <xf numFmtId="0" fontId="6" fillId="5" borderId="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9" fontId="6" fillId="7" borderId="3" xfId="0" applyNumberFormat="1" applyFont="1" applyFill="1" applyBorder="1" applyAlignment="1">
      <alignment vertical="center"/>
    </xf>
    <xf numFmtId="169" fontId="6" fillId="7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5" fillId="8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69" fontId="6" fillId="7" borderId="2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right" vertical="center" indent="1"/>
    </xf>
    <xf numFmtId="0" fontId="29" fillId="0" borderId="1" xfId="7" applyFont="1" applyBorder="1" applyAlignment="1">
      <alignment horizontal="left" vertical="center"/>
    </xf>
    <xf numFmtId="175" fontId="29" fillId="0" borderId="1" xfId="7" applyNumberFormat="1" applyFont="1" applyBorder="1" applyAlignment="1">
      <alignment horizontal="center" vertical="center"/>
    </xf>
    <xf numFmtId="0" fontId="26" fillId="0" borderId="1" xfId="7" applyFont="1" applyBorder="1" applyAlignment="1">
      <alignment horizontal="left" vertical="center"/>
    </xf>
    <xf numFmtId="0" fontId="24" fillId="0" borderId="1" xfId="7" applyFont="1" applyBorder="1" applyAlignment="1">
      <alignment horizontal="left" vertical="center"/>
    </xf>
    <xf numFmtId="175" fontId="24" fillId="0" borderId="1" xfId="7" applyNumberFormat="1" applyFont="1" applyBorder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9" fillId="0" borderId="3" xfId="7" applyFont="1" applyBorder="1" applyAlignment="1">
      <alignment horizontal="left" vertical="center"/>
    </xf>
    <xf numFmtId="0" fontId="29" fillId="0" borderId="4" xfId="7" applyFont="1" applyBorder="1" applyAlignment="1">
      <alignment horizontal="left" vertical="center"/>
    </xf>
    <xf numFmtId="2" fontId="29" fillId="0" borderId="1" xfId="9" applyNumberFormat="1" applyFont="1" applyBorder="1" applyAlignment="1">
      <alignment horizontal="center"/>
    </xf>
    <xf numFmtId="175" fontId="29" fillId="0" borderId="3" xfId="7" applyNumberFormat="1" applyFont="1" applyBorder="1" applyAlignment="1">
      <alignment horizontal="center" vertical="center"/>
    </xf>
    <xf numFmtId="175" fontId="29" fillId="0" borderId="4" xfId="7" applyNumberFormat="1" applyFont="1" applyBorder="1" applyAlignment="1">
      <alignment horizontal="center" vertical="center"/>
    </xf>
    <xf numFmtId="0" fontId="29" fillId="0" borderId="3" xfId="7" applyFont="1" applyBorder="1" applyAlignment="1">
      <alignment horizontal="left" vertical="center" wrapText="1"/>
    </xf>
    <xf numFmtId="0" fontId="29" fillId="0" borderId="4" xfId="7" applyFont="1" applyBorder="1" applyAlignment="1">
      <alignment horizontal="left" vertical="center" wrapText="1"/>
    </xf>
    <xf numFmtId="0" fontId="29" fillId="0" borderId="3" xfId="7" applyFont="1" applyBorder="1" applyAlignment="1">
      <alignment horizontal="center" vertical="center"/>
    </xf>
    <xf numFmtId="0" fontId="29" fillId="0" borderId="4" xfId="7" applyFont="1" applyBorder="1" applyAlignment="1">
      <alignment horizontal="center" vertical="center"/>
    </xf>
    <xf numFmtId="9" fontId="29" fillId="0" borderId="1" xfId="7" applyNumberFormat="1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/>
    </xf>
    <xf numFmtId="0" fontId="29" fillId="0" borderId="3" xfId="9" applyFont="1" applyBorder="1" applyAlignment="1">
      <alignment horizontal="left" wrapText="1"/>
    </xf>
    <xf numFmtId="0" fontId="29" fillId="0" borderId="4" xfId="9" applyFont="1" applyBorder="1" applyAlignment="1">
      <alignment horizontal="left" wrapText="1"/>
    </xf>
    <xf numFmtId="175" fontId="29" fillId="0" borderId="1" xfId="9" applyNumberFormat="1" applyFont="1" applyBorder="1" applyAlignment="1">
      <alignment horizontal="center" vertical="center"/>
    </xf>
    <xf numFmtId="2" fontId="29" fillId="0" borderId="1" xfId="9" applyNumberFormat="1" applyFont="1" applyBorder="1" applyAlignment="1">
      <alignment horizontal="center" vertical="center"/>
    </xf>
    <xf numFmtId="175" fontId="29" fillId="0" borderId="3" xfId="9" applyNumberFormat="1" applyFont="1" applyBorder="1" applyAlignment="1">
      <alignment horizontal="center" vertical="center"/>
    </xf>
    <xf numFmtId="175" fontId="29" fillId="0" borderId="4" xfId="9" applyNumberFormat="1" applyFont="1" applyBorder="1" applyAlignment="1">
      <alignment horizontal="center" vertical="center"/>
    </xf>
    <xf numFmtId="2" fontId="29" fillId="0" borderId="1" xfId="7" applyNumberFormat="1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6" fillId="0" borderId="21" xfId="9" applyFont="1" applyBorder="1" applyAlignment="1">
      <alignment horizontal="center"/>
    </xf>
    <xf numFmtId="0" fontId="26" fillId="0" borderId="22" xfId="9" applyFont="1" applyBorder="1" applyAlignment="1">
      <alignment horizontal="center"/>
    </xf>
    <xf numFmtId="0" fontId="27" fillId="0" borderId="13" xfId="9" applyFont="1" applyFill="1" applyBorder="1" applyAlignment="1">
      <alignment horizontal="left" vertical="center" wrapText="1" shrinkToFit="1"/>
    </xf>
    <xf numFmtId="0" fontId="25" fillId="0" borderId="15" xfId="9" applyBorder="1" applyAlignment="1">
      <alignment horizontal="left" wrapText="1"/>
    </xf>
    <xf numFmtId="0" fontId="25" fillId="0" borderId="14" xfId="9" applyBorder="1" applyAlignment="1">
      <alignment horizontal="left" wrapText="1"/>
    </xf>
    <xf numFmtId="0" fontId="25" fillId="0" borderId="16" xfId="9" applyBorder="1" applyAlignment="1">
      <alignment horizontal="left" wrapText="1"/>
    </xf>
    <xf numFmtId="0" fontId="25" fillId="0" borderId="0" xfId="9" applyBorder="1" applyAlignment="1">
      <alignment horizontal="left" wrapText="1"/>
    </xf>
    <xf numFmtId="0" fontId="25" fillId="0" borderId="17" xfId="9" applyBorder="1" applyAlignment="1">
      <alignment horizontal="left" wrapText="1"/>
    </xf>
    <xf numFmtId="0" fontId="25" fillId="0" borderId="18" xfId="9" applyBorder="1" applyAlignment="1">
      <alignment horizontal="left" wrapText="1"/>
    </xf>
    <xf numFmtId="0" fontId="25" fillId="0" borderId="20" xfId="9" applyBorder="1" applyAlignment="1">
      <alignment horizontal="left" wrapText="1"/>
    </xf>
    <xf numFmtId="0" fontId="25" fillId="0" borderId="19" xfId="9" applyBorder="1" applyAlignment="1">
      <alignment horizontal="left" wrapText="1"/>
    </xf>
    <xf numFmtId="0" fontId="26" fillId="0" borderId="23" xfId="7" applyFont="1" applyBorder="1" applyAlignment="1">
      <alignment vertical="center" wrapText="1"/>
    </xf>
    <xf numFmtId="0" fontId="4" fillId="0" borderId="24" xfId="7" applyBorder="1" applyAlignment="1">
      <alignment vertical="center" wrapText="1"/>
    </xf>
    <xf numFmtId="0" fontId="26" fillId="0" borderId="13" xfId="7" applyFont="1" applyBorder="1" applyAlignment="1">
      <alignment horizontal="left" vertical="center" wrapText="1"/>
    </xf>
    <xf numFmtId="0" fontId="26" fillId="0" borderId="15" xfId="7" applyFont="1" applyBorder="1" applyAlignment="1">
      <alignment horizontal="left" vertical="center" wrapText="1"/>
    </xf>
    <xf numFmtId="0" fontId="26" fillId="0" borderId="14" xfId="7" applyFont="1" applyBorder="1" applyAlignment="1">
      <alignment horizontal="left" vertical="center" wrapText="1"/>
    </xf>
    <xf numFmtId="0" fontId="4" fillId="0" borderId="18" xfId="7" applyBorder="1" applyAlignment="1">
      <alignment vertical="center" wrapText="1"/>
    </xf>
    <xf numFmtId="0" fontId="4" fillId="0" borderId="20" xfId="7" applyBorder="1" applyAlignment="1">
      <alignment vertical="center" wrapText="1"/>
    </xf>
    <xf numFmtId="0" fontId="4" fillId="0" borderId="19" xfId="7" applyBorder="1" applyAlignment="1">
      <alignment vertical="center" wrapText="1"/>
    </xf>
    <xf numFmtId="0" fontId="26" fillId="0" borderId="23" xfId="7" applyFont="1" applyBorder="1" applyAlignment="1">
      <alignment horizontal="center" vertical="center" wrapText="1"/>
    </xf>
    <xf numFmtId="0" fontId="4" fillId="0" borderId="24" xfId="7" applyBorder="1" applyAlignment="1">
      <alignment horizontal="center" vertical="center" wrapText="1"/>
    </xf>
    <xf numFmtId="0" fontId="4" fillId="0" borderId="13" xfId="7" applyBorder="1" applyAlignment="1">
      <alignment wrapText="1"/>
    </xf>
    <xf numFmtId="0" fontId="4" fillId="0" borderId="14" xfId="7" applyBorder="1" applyAlignment="1">
      <alignment wrapText="1"/>
    </xf>
    <xf numFmtId="0" fontId="4" fillId="0" borderId="16" xfId="7" applyBorder="1" applyAlignment="1">
      <alignment wrapText="1"/>
    </xf>
    <xf numFmtId="0" fontId="4" fillId="0" borderId="17" xfId="7" applyBorder="1" applyAlignment="1">
      <alignment wrapText="1"/>
    </xf>
    <xf numFmtId="0" fontId="4" fillId="0" borderId="18" xfId="7" applyBorder="1" applyAlignment="1">
      <alignment wrapText="1"/>
    </xf>
    <xf numFmtId="0" fontId="4" fillId="0" borderId="19" xfId="7" applyBorder="1" applyAlignment="1">
      <alignment wrapText="1"/>
    </xf>
    <xf numFmtId="0" fontId="23" fillId="0" borderId="13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/>
    </xf>
    <xf numFmtId="0" fontId="23" fillId="0" borderId="14" xfId="7" applyFont="1" applyBorder="1" applyAlignment="1">
      <alignment horizontal="center" vertical="center"/>
    </xf>
    <xf numFmtId="0" fontId="24" fillId="0" borderId="16" xfId="7" applyFont="1" applyBorder="1" applyAlignment="1">
      <alignment horizontal="center" vertical="center"/>
    </xf>
    <xf numFmtId="0" fontId="24" fillId="0" borderId="0" xfId="7" applyFont="1" applyBorder="1" applyAlignment="1">
      <alignment horizontal="center" vertical="center"/>
    </xf>
    <xf numFmtId="0" fontId="24" fillId="0" borderId="17" xfId="7" applyFont="1" applyBorder="1" applyAlignment="1">
      <alignment horizontal="center" vertical="center"/>
    </xf>
    <xf numFmtId="0" fontId="29" fillId="0" borderId="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2" fontId="29" fillId="0" borderId="3" xfId="7" applyNumberFormat="1" applyFont="1" applyBorder="1" applyAlignment="1">
      <alignment horizontal="center" vertical="center" wrapText="1"/>
    </xf>
    <xf numFmtId="2" fontId="29" fillId="0" borderId="4" xfId="7" applyNumberFormat="1" applyFont="1" applyBorder="1" applyAlignment="1">
      <alignment horizontal="center" vertical="center" wrapText="1"/>
    </xf>
    <xf numFmtId="0" fontId="36" fillId="0" borderId="1" xfId="15" applyFont="1" applyBorder="1" applyAlignment="1">
      <alignment horizontal="left" vertical="center"/>
    </xf>
    <xf numFmtId="175" fontId="36" fillId="0" borderId="1" xfId="7" applyNumberFormat="1" applyFont="1" applyBorder="1" applyAlignment="1">
      <alignment horizontal="right" vertical="center" indent="2"/>
    </xf>
    <xf numFmtId="0" fontId="27" fillId="0" borderId="1" xfId="7" applyFont="1" applyBorder="1" applyAlignment="1">
      <alignment horizontal="left" vertical="center"/>
    </xf>
    <xf numFmtId="0" fontId="2" fillId="0" borderId="1" xfId="7" applyFont="1" applyBorder="1" applyAlignment="1">
      <alignment horizontal="left"/>
    </xf>
    <xf numFmtId="175" fontId="2" fillId="0" borderId="1" xfId="7" applyNumberFormat="1" applyFont="1" applyBorder="1" applyAlignment="1">
      <alignment horizontal="right" indent="2"/>
    </xf>
    <xf numFmtId="0" fontId="27" fillId="0" borderId="1" xfId="7" applyFont="1" applyBorder="1" applyAlignment="1">
      <alignment horizontal="center" vertical="center"/>
    </xf>
    <xf numFmtId="0" fontId="36" fillId="0" borderId="3" xfId="15" applyFont="1" applyBorder="1" applyAlignment="1">
      <alignment horizontal="left" vertical="center"/>
    </xf>
    <xf numFmtId="0" fontId="36" fillId="0" borderId="4" xfId="15" applyFont="1" applyBorder="1" applyAlignment="1">
      <alignment horizontal="left" vertical="center"/>
    </xf>
    <xf numFmtId="0" fontId="36" fillId="0" borderId="3" xfId="7" applyFont="1" applyBorder="1" applyAlignment="1">
      <alignment horizontal="left" vertical="center"/>
    </xf>
    <xf numFmtId="0" fontId="36" fillId="0" borderId="4" xfId="7" applyFont="1" applyBorder="1" applyAlignment="1">
      <alignment horizontal="left" vertical="center"/>
    </xf>
    <xf numFmtId="175" fontId="36" fillId="0" borderId="1" xfId="7" applyNumberFormat="1" applyFont="1" applyBorder="1" applyAlignment="1">
      <alignment horizontal="center" vertical="center"/>
    </xf>
    <xf numFmtId="0" fontId="36" fillId="0" borderId="1" xfId="7" applyFont="1" applyBorder="1" applyAlignment="1">
      <alignment horizontal="left" vertical="center"/>
    </xf>
    <xf numFmtId="0" fontId="36" fillId="0" borderId="3" xfId="7" applyFont="1" applyBorder="1" applyAlignment="1">
      <alignment horizontal="center" vertical="center"/>
    </xf>
    <xf numFmtId="0" fontId="36" fillId="0" borderId="4" xfId="7" applyFont="1" applyBorder="1" applyAlignment="1">
      <alignment horizontal="center" vertical="center"/>
    </xf>
    <xf numFmtId="175" fontId="36" fillId="0" borderId="3" xfId="7" applyNumberFormat="1" applyFont="1" applyBorder="1" applyAlignment="1">
      <alignment horizontal="right" vertical="center" indent="2"/>
    </xf>
    <xf numFmtId="175" fontId="36" fillId="0" borderId="4" xfId="7" applyNumberFormat="1" applyFont="1" applyBorder="1" applyAlignment="1">
      <alignment horizontal="right" vertical="center" indent="2"/>
    </xf>
    <xf numFmtId="179" fontId="36" fillId="0" borderId="1" xfId="7" applyNumberFormat="1" applyFont="1" applyBorder="1" applyAlignment="1">
      <alignment horizontal="center" vertical="center"/>
    </xf>
    <xf numFmtId="175" fontId="27" fillId="0" borderId="1" xfId="7" applyNumberFormat="1" applyFont="1" applyBorder="1" applyAlignment="1">
      <alignment horizontal="right" vertical="center" indent="2"/>
    </xf>
    <xf numFmtId="2" fontId="36" fillId="0" borderId="1" xfId="7" applyNumberFormat="1" applyFont="1" applyBorder="1" applyAlignment="1">
      <alignment horizontal="center" vertical="center"/>
    </xf>
    <xf numFmtId="0" fontId="29" fillId="0" borderId="3" xfId="7" applyFont="1" applyBorder="1" applyAlignment="1">
      <alignment horizontal="left"/>
    </xf>
    <xf numFmtId="0" fontId="29" fillId="0" borderId="4" xfId="7" applyFont="1" applyBorder="1" applyAlignment="1">
      <alignment horizontal="left"/>
    </xf>
    <xf numFmtId="175" fontId="29" fillId="0" borderId="1" xfId="9" applyNumberFormat="1" applyFont="1" applyBorder="1" applyAlignment="1">
      <alignment horizontal="center"/>
    </xf>
    <xf numFmtId="0" fontId="36" fillId="0" borderId="3" xfId="7" applyFont="1" applyBorder="1" applyAlignment="1">
      <alignment horizontal="left" vertical="center" wrapText="1"/>
    </xf>
    <xf numFmtId="0" fontId="36" fillId="0" borderId="4" xfId="7" applyFont="1" applyBorder="1" applyAlignment="1">
      <alignment horizontal="left" vertical="center" wrapText="1"/>
    </xf>
    <xf numFmtId="0" fontId="2" fillId="0" borderId="0" xfId="7" applyFont="1" applyAlignment="1">
      <alignment horizontal="center" vertical="center"/>
    </xf>
    <xf numFmtId="0" fontId="27" fillId="0" borderId="23" xfId="7" applyFont="1" applyBorder="1" applyAlignment="1">
      <alignment vertical="center" wrapText="1"/>
    </xf>
    <xf numFmtId="0" fontId="3" fillId="0" borderId="24" xfId="7" applyFont="1" applyBorder="1" applyAlignment="1">
      <alignment vertical="center" wrapText="1"/>
    </xf>
    <xf numFmtId="0" fontId="27" fillId="0" borderId="13" xfId="7" applyFont="1" applyBorder="1" applyAlignment="1">
      <alignment horizontal="left" vertical="center" wrapText="1"/>
    </xf>
    <xf numFmtId="0" fontId="27" fillId="0" borderId="15" xfId="7" applyFont="1" applyBorder="1" applyAlignment="1">
      <alignment horizontal="left" vertical="center" wrapText="1"/>
    </xf>
    <xf numFmtId="0" fontId="27" fillId="0" borderId="14" xfId="7" applyFont="1" applyBorder="1" applyAlignment="1">
      <alignment horizontal="left" vertical="center" wrapText="1"/>
    </xf>
    <xf numFmtId="0" fontId="3" fillId="0" borderId="18" xfId="7" applyFont="1" applyBorder="1" applyAlignment="1">
      <alignment vertical="center" wrapText="1"/>
    </xf>
    <xf numFmtId="0" fontId="3" fillId="0" borderId="20" xfId="7" applyFont="1" applyBorder="1" applyAlignment="1">
      <alignment vertical="center" wrapText="1"/>
    </xf>
    <xf numFmtId="0" fontId="3" fillId="0" borderId="19" xfId="7" applyFont="1" applyBorder="1" applyAlignment="1">
      <alignment vertical="center" wrapText="1"/>
    </xf>
    <xf numFmtId="0" fontId="27" fillId="0" borderId="23" xfId="7" applyFont="1" applyBorder="1" applyAlignment="1">
      <alignment horizontal="center" vertical="center" wrapText="1"/>
    </xf>
    <xf numFmtId="0" fontId="3" fillId="0" borderId="24" xfId="7" applyFont="1" applyBorder="1" applyAlignment="1">
      <alignment horizontal="center" vertical="center" wrapText="1"/>
    </xf>
    <xf numFmtId="0" fontId="3" fillId="0" borderId="13" xfId="7" applyFont="1" applyBorder="1" applyAlignment="1">
      <alignment wrapText="1"/>
    </xf>
    <xf numFmtId="0" fontId="3" fillId="0" borderId="14" xfId="7" applyFont="1" applyBorder="1" applyAlignment="1">
      <alignment wrapText="1"/>
    </xf>
    <xf numFmtId="0" fontId="3" fillId="0" borderId="16" xfId="7" applyFont="1" applyBorder="1" applyAlignment="1">
      <alignment wrapText="1"/>
    </xf>
    <xf numFmtId="0" fontId="3" fillId="0" borderId="17" xfId="7" applyFont="1" applyBorder="1" applyAlignment="1">
      <alignment wrapText="1"/>
    </xf>
    <xf numFmtId="0" fontId="3" fillId="0" borderId="18" xfId="7" applyFont="1" applyBorder="1" applyAlignment="1">
      <alignment wrapText="1"/>
    </xf>
    <xf numFmtId="0" fontId="3" fillId="0" borderId="19" xfId="7" applyFont="1" applyBorder="1" applyAlignment="1">
      <alignment wrapText="1"/>
    </xf>
    <xf numFmtId="0" fontId="15" fillId="0" borderId="13" xfId="7" applyFont="1" applyBorder="1" applyAlignment="1">
      <alignment horizontal="center" vertical="center"/>
    </xf>
    <xf numFmtId="0" fontId="15" fillId="0" borderId="15" xfId="7" applyFont="1" applyBorder="1" applyAlignment="1">
      <alignment horizontal="center" vertical="center"/>
    </xf>
    <xf numFmtId="0" fontId="15" fillId="0" borderId="14" xfId="7" applyFont="1" applyBorder="1" applyAlignment="1">
      <alignment horizontal="center" vertical="center"/>
    </xf>
    <xf numFmtId="0" fontId="2" fillId="0" borderId="16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17" xfId="7" applyFont="1" applyBorder="1" applyAlignment="1">
      <alignment horizontal="center" vertical="center"/>
    </xf>
    <xf numFmtId="0" fontId="26" fillId="0" borderId="1" xfId="9" applyFont="1" applyBorder="1" applyAlignment="1">
      <alignment horizontal="left"/>
    </xf>
    <xf numFmtId="0" fontId="24" fillId="0" borderId="1" xfId="9" applyFont="1" applyBorder="1" applyAlignment="1">
      <alignment horizontal="left"/>
    </xf>
    <xf numFmtId="0" fontId="26" fillId="0" borderId="1" xfId="9" applyFont="1" applyBorder="1" applyAlignment="1">
      <alignment horizontal="center"/>
    </xf>
    <xf numFmtId="175" fontId="36" fillId="0" borderId="1" xfId="7" applyNumberFormat="1" applyFont="1" applyBorder="1" applyAlignment="1">
      <alignment horizontal="right" vertical="center" indent="3"/>
    </xf>
    <xf numFmtId="0" fontId="29" fillId="0" borderId="1" xfId="9" applyFont="1" applyBorder="1" applyAlignment="1">
      <alignment horizontal="left"/>
    </xf>
    <xf numFmtId="0" fontId="29" fillId="0" borderId="3" xfId="9" applyFont="1" applyBorder="1" applyAlignment="1">
      <alignment horizontal="center"/>
    </xf>
    <xf numFmtId="0" fontId="29" fillId="0" borderId="4" xfId="9" applyFont="1" applyBorder="1" applyAlignment="1">
      <alignment horizontal="center"/>
    </xf>
    <xf numFmtId="175" fontId="29" fillId="0" borderId="3" xfId="9" applyNumberFormat="1" applyFont="1" applyBorder="1" applyAlignment="1">
      <alignment horizontal="center"/>
    </xf>
    <xf numFmtId="175" fontId="29" fillId="0" borderId="4" xfId="9" applyNumberFormat="1" applyFont="1" applyBorder="1" applyAlignment="1">
      <alignment horizontal="center"/>
    </xf>
    <xf numFmtId="0" fontId="29" fillId="0" borderId="3" xfId="9" applyFont="1" applyBorder="1" applyAlignment="1">
      <alignment horizontal="left"/>
    </xf>
    <xf numFmtId="0" fontId="29" fillId="0" borderId="4" xfId="9" applyFont="1" applyBorder="1" applyAlignment="1">
      <alignment horizontal="left"/>
    </xf>
    <xf numFmtId="9" fontId="29" fillId="0" borderId="1" xfId="10" applyFont="1" applyBorder="1" applyAlignment="1">
      <alignment horizontal="center"/>
    </xf>
    <xf numFmtId="0" fontId="24" fillId="0" borderId="0" xfId="9" applyFont="1" applyAlignment="1">
      <alignment horizontal="center"/>
    </xf>
    <xf numFmtId="0" fontId="26" fillId="0" borderId="23" xfId="9" applyFont="1" applyBorder="1" applyAlignment="1">
      <alignment vertical="center" wrapText="1"/>
    </xf>
    <xf numFmtId="0" fontId="25" fillId="0" borderId="24" xfId="9" applyBorder="1" applyAlignment="1">
      <alignment vertical="center" wrapText="1"/>
    </xf>
    <xf numFmtId="0" fontId="26" fillId="0" borderId="23" xfId="9" applyFont="1" applyBorder="1" applyAlignment="1">
      <alignment horizontal="right" vertical="center" wrapText="1"/>
    </xf>
    <xf numFmtId="0" fontId="25" fillId="0" borderId="13" xfId="9" applyBorder="1" applyAlignment="1">
      <alignment wrapText="1"/>
    </xf>
    <xf numFmtId="0" fontId="25" fillId="0" borderId="14" xfId="9" applyBorder="1" applyAlignment="1">
      <alignment wrapText="1"/>
    </xf>
    <xf numFmtId="0" fontId="25" fillId="0" borderId="16" xfId="9" applyBorder="1" applyAlignment="1">
      <alignment wrapText="1"/>
    </xf>
    <xf numFmtId="0" fontId="25" fillId="0" borderId="17" xfId="9" applyBorder="1" applyAlignment="1">
      <alignment wrapText="1"/>
    </xf>
    <xf numFmtId="0" fontId="25" fillId="0" borderId="18" xfId="9" applyBorder="1" applyAlignment="1">
      <alignment wrapText="1"/>
    </xf>
    <xf numFmtId="0" fontId="25" fillId="0" borderId="19" xfId="9" applyBorder="1" applyAlignment="1">
      <alignment wrapText="1"/>
    </xf>
    <xf numFmtId="0" fontId="23" fillId="0" borderId="13" xfId="9" applyFont="1" applyBorder="1" applyAlignment="1">
      <alignment horizontal="center"/>
    </xf>
    <xf numFmtId="0" fontId="23" fillId="0" borderId="15" xfId="9" applyFont="1" applyBorder="1" applyAlignment="1">
      <alignment horizontal="center"/>
    </xf>
    <xf numFmtId="0" fontId="23" fillId="0" borderId="14" xfId="9" applyFont="1" applyBorder="1" applyAlignment="1">
      <alignment horizontal="center"/>
    </xf>
    <xf numFmtId="0" fontId="24" fillId="0" borderId="16" xfId="9" applyFont="1" applyBorder="1" applyAlignment="1">
      <alignment horizontal="center"/>
    </xf>
    <xf numFmtId="0" fontId="24" fillId="0" borderId="0" xfId="9" applyFont="1" applyBorder="1" applyAlignment="1">
      <alignment horizontal="center"/>
    </xf>
    <xf numFmtId="0" fontId="24" fillId="0" borderId="17" xfId="9" applyFont="1" applyBorder="1" applyAlignment="1">
      <alignment horizontal="center"/>
    </xf>
    <xf numFmtId="0" fontId="29" fillId="0" borderId="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6" fillId="6" borderId="13" xfId="9" applyFont="1" applyFill="1" applyBorder="1" applyAlignment="1">
      <alignment horizontal="left" vertical="center" wrapText="1"/>
    </xf>
    <xf numFmtId="0" fontId="26" fillId="6" borderId="15" xfId="9" applyFont="1" applyFill="1" applyBorder="1" applyAlignment="1">
      <alignment horizontal="left" vertical="center" wrapText="1"/>
    </xf>
    <xf numFmtId="0" fontId="26" fillId="6" borderId="14" xfId="9" applyFont="1" applyFill="1" applyBorder="1" applyAlignment="1">
      <alignment horizontal="left" vertical="center" wrapText="1"/>
    </xf>
    <xf numFmtId="0" fontId="25" fillId="6" borderId="18" xfId="9" applyFill="1" applyBorder="1" applyAlignment="1">
      <alignment vertical="center" wrapText="1"/>
    </xf>
    <xf numFmtId="0" fontId="25" fillId="6" borderId="20" xfId="9" applyFill="1" applyBorder="1" applyAlignment="1">
      <alignment vertical="center" wrapText="1"/>
    </xf>
    <xf numFmtId="0" fontId="25" fillId="6" borderId="19" xfId="9" applyFill="1" applyBorder="1" applyAlignment="1">
      <alignment vertical="center" wrapText="1"/>
    </xf>
    <xf numFmtId="0" fontId="29" fillId="0" borderId="1" xfId="0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75" fontId="29" fillId="0" borderId="3" xfId="0" applyNumberFormat="1" applyFont="1" applyBorder="1" applyAlignment="1">
      <alignment horizontal="center" vertical="center"/>
    </xf>
    <xf numFmtId="175" fontId="29" fillId="0" borderId="4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wrapText="1"/>
    </xf>
    <xf numFmtId="9" fontId="29" fillId="0" borderId="1" xfId="8" applyFont="1" applyBorder="1" applyAlignment="1">
      <alignment horizontal="center"/>
    </xf>
    <xf numFmtId="175" fontId="29" fillId="0" borderId="3" xfId="0" applyNumberFormat="1" applyFont="1" applyBorder="1" applyAlignment="1">
      <alignment horizontal="center"/>
    </xf>
    <xf numFmtId="175" fontId="29" fillId="0" borderId="4" xfId="0" applyNumberFormat="1" applyFont="1" applyBorder="1" applyAlignment="1">
      <alignment horizontal="center"/>
    </xf>
    <xf numFmtId="176" fontId="24" fillId="0" borderId="3" xfId="9" applyNumberFormat="1" applyFont="1" applyBorder="1" applyAlignment="1">
      <alignment horizontal="center"/>
    </xf>
    <xf numFmtId="176" fontId="24" fillId="0" borderId="4" xfId="9" applyNumberFormat="1" applyFont="1" applyBorder="1" applyAlignment="1">
      <alignment horizontal="center"/>
    </xf>
    <xf numFmtId="0" fontId="29" fillId="0" borderId="1" xfId="9" applyFont="1" applyBorder="1" applyAlignment="1">
      <alignment horizontal="center" vertical="center"/>
    </xf>
    <xf numFmtId="9" fontId="29" fillId="0" borderId="1" xfId="9" applyNumberFormat="1" applyFont="1" applyBorder="1" applyAlignment="1">
      <alignment horizontal="center"/>
    </xf>
    <xf numFmtId="0" fontId="29" fillId="0" borderId="1" xfId="9" applyFont="1" applyBorder="1" applyAlignment="1">
      <alignment horizontal="center"/>
    </xf>
    <xf numFmtId="0" fontId="26" fillId="0" borderId="13" xfId="9" applyFont="1" applyBorder="1" applyAlignment="1">
      <alignment horizontal="left" vertical="center" wrapText="1"/>
    </xf>
    <xf numFmtId="0" fontId="26" fillId="0" borderId="15" xfId="9" applyFont="1" applyBorder="1" applyAlignment="1">
      <alignment horizontal="left" vertical="center" wrapText="1"/>
    </xf>
    <xf numFmtId="0" fontId="26" fillId="0" borderId="14" xfId="9" applyFont="1" applyBorder="1" applyAlignment="1">
      <alignment horizontal="left" vertical="center" wrapText="1"/>
    </xf>
    <xf numFmtId="0" fontId="25" fillId="0" borderId="18" xfId="9" applyBorder="1" applyAlignment="1">
      <alignment horizontal="left" vertical="center" wrapText="1"/>
    </xf>
    <xf numFmtId="0" fontId="25" fillId="0" borderId="20" xfId="9" applyBorder="1" applyAlignment="1">
      <alignment horizontal="left" vertical="center" wrapText="1"/>
    </xf>
    <xf numFmtId="0" fontId="25" fillId="0" borderId="19" xfId="9" applyBorder="1" applyAlignment="1">
      <alignment horizontal="left" vertical="center" wrapText="1"/>
    </xf>
    <xf numFmtId="0" fontId="29" fillId="0" borderId="1" xfId="9" applyFont="1" applyBorder="1" applyAlignment="1">
      <alignment horizontal="left" vertical="center"/>
    </xf>
    <xf numFmtId="0" fontId="26" fillId="0" borderId="1" xfId="9" applyFont="1" applyBorder="1" applyAlignment="1">
      <alignment horizontal="left" vertical="center"/>
    </xf>
    <xf numFmtId="0" fontId="24" fillId="0" borderId="1" xfId="9" applyFont="1" applyBorder="1" applyAlignment="1">
      <alignment horizontal="left" vertical="center"/>
    </xf>
    <xf numFmtId="175" fontId="24" fillId="6" borderId="3" xfId="9" applyNumberFormat="1" applyFont="1" applyFill="1" applyBorder="1" applyAlignment="1">
      <alignment horizontal="center" vertical="center"/>
    </xf>
    <xf numFmtId="175" fontId="24" fillId="6" borderId="4" xfId="9" applyNumberFormat="1" applyFont="1" applyFill="1" applyBorder="1" applyAlignment="1">
      <alignment horizontal="center" vertical="center"/>
    </xf>
    <xf numFmtId="0" fontId="26" fillId="0" borderId="1" xfId="9" applyFont="1" applyBorder="1" applyAlignment="1">
      <alignment horizontal="center" vertical="center"/>
    </xf>
    <xf numFmtId="0" fontId="29" fillId="0" borderId="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9" fontId="29" fillId="0" borderId="1" xfId="9" applyNumberFormat="1" applyFont="1" applyBorder="1" applyAlignment="1">
      <alignment horizontal="center" vertical="center"/>
    </xf>
    <xf numFmtId="0" fontId="24" fillId="0" borderId="0" xfId="9" applyFont="1" applyAlignment="1">
      <alignment horizontal="center" vertical="center"/>
    </xf>
    <xf numFmtId="0" fontId="25" fillId="0" borderId="18" xfId="9" applyBorder="1" applyAlignment="1">
      <alignment vertical="center" wrapText="1"/>
    </xf>
    <xf numFmtId="0" fontId="25" fillId="0" borderId="20" xfId="9" applyBorder="1" applyAlignment="1">
      <alignment vertical="center" wrapText="1"/>
    </xf>
    <xf numFmtId="0" fontId="25" fillId="0" borderId="19" xfId="9" applyBorder="1" applyAlignment="1">
      <alignment vertical="center" wrapText="1"/>
    </xf>
    <xf numFmtId="0" fontId="26" fillId="0" borderId="23" xfId="9" applyFont="1" applyBorder="1" applyAlignment="1">
      <alignment horizontal="center" vertical="center" wrapText="1"/>
    </xf>
    <xf numFmtId="0" fontId="25" fillId="0" borderId="24" xfId="9" applyBorder="1" applyAlignment="1">
      <alignment horizontal="center" vertical="center" wrapText="1"/>
    </xf>
    <xf numFmtId="0" fontId="23" fillId="0" borderId="13" xfId="9" applyFont="1" applyBorder="1" applyAlignment="1">
      <alignment horizontal="center" vertical="center"/>
    </xf>
    <xf numFmtId="0" fontId="23" fillId="0" borderId="15" xfId="9" applyFont="1" applyBorder="1" applyAlignment="1">
      <alignment horizontal="center" vertical="center"/>
    </xf>
    <xf numFmtId="0" fontId="23" fillId="0" borderId="14" xfId="9" applyFont="1" applyBorder="1" applyAlignment="1">
      <alignment horizontal="center" vertical="center"/>
    </xf>
    <xf numFmtId="0" fontId="24" fillId="0" borderId="16" xfId="9" applyFont="1" applyBorder="1" applyAlignment="1">
      <alignment horizontal="center" vertical="center"/>
    </xf>
    <xf numFmtId="0" fontId="24" fillId="0" borderId="0" xfId="9" applyFont="1" applyBorder="1" applyAlignment="1">
      <alignment horizontal="center" vertical="center"/>
    </xf>
    <xf numFmtId="0" fontId="24" fillId="0" borderId="17" xfId="9" applyFont="1" applyBorder="1" applyAlignment="1">
      <alignment horizontal="center" vertical="center"/>
    </xf>
    <xf numFmtId="175" fontId="24" fillId="0" borderId="1" xfId="9" applyNumberFormat="1" applyFont="1" applyBorder="1" applyAlignment="1">
      <alignment horizontal="center" vertical="center"/>
    </xf>
    <xf numFmtId="176" fontId="24" fillId="0" borderId="1" xfId="9" applyNumberFormat="1" applyFont="1" applyBorder="1" applyAlignment="1">
      <alignment horizontal="center"/>
    </xf>
    <xf numFmtId="175" fontId="29" fillId="6" borderId="1" xfId="9" applyNumberFormat="1" applyFont="1" applyFill="1" applyBorder="1" applyAlignment="1">
      <alignment horizontal="center" vertical="center"/>
    </xf>
    <xf numFmtId="0" fontId="26" fillId="0" borderId="3" xfId="9" applyFont="1" applyBorder="1" applyAlignment="1">
      <alignment horizontal="center"/>
    </xf>
    <xf numFmtId="0" fontId="26" fillId="0" borderId="4" xfId="9" applyFont="1" applyBorder="1" applyAlignment="1">
      <alignment horizontal="center"/>
    </xf>
    <xf numFmtId="9" fontId="29" fillId="0" borderId="3" xfId="9" applyNumberFormat="1" applyFont="1" applyBorder="1" applyAlignment="1">
      <alignment horizontal="center"/>
    </xf>
    <xf numFmtId="0" fontId="27" fillId="0" borderId="1" xfId="16" applyFont="1" applyBorder="1" applyAlignment="1">
      <alignment horizontal="center" vertical="center"/>
    </xf>
    <xf numFmtId="0" fontId="36" fillId="0" borderId="1" xfId="16" applyFont="1" applyBorder="1" applyAlignment="1">
      <alignment horizontal="left" vertical="center"/>
    </xf>
    <xf numFmtId="175" fontId="36" fillId="0" borderId="1" xfId="16" applyNumberFormat="1" applyFont="1" applyBorder="1" applyAlignment="1">
      <alignment horizontal="center" vertical="center"/>
    </xf>
    <xf numFmtId="175" fontId="36" fillId="0" borderId="1" xfId="16" applyNumberFormat="1" applyFont="1" applyBorder="1" applyAlignment="1">
      <alignment horizontal="right" vertical="center" indent="2"/>
    </xf>
    <xf numFmtId="175" fontId="27" fillId="0" borderId="1" xfId="16" applyNumberFormat="1" applyFont="1" applyBorder="1" applyAlignment="1">
      <alignment horizontal="right" vertical="center" indent="2"/>
    </xf>
    <xf numFmtId="0" fontId="2" fillId="0" borderId="1" xfId="16" applyFont="1" applyBorder="1" applyAlignment="1">
      <alignment horizontal="center" vertical="center"/>
    </xf>
    <xf numFmtId="175" fontId="2" fillId="0" borderId="1" xfId="16" applyNumberFormat="1" applyFont="1" applyFill="1" applyBorder="1" applyAlignment="1">
      <alignment horizontal="right" vertical="center" indent="2"/>
    </xf>
    <xf numFmtId="0" fontId="36" fillId="0" borderId="3" xfId="16" applyFont="1" applyBorder="1" applyAlignment="1">
      <alignment horizontal="left" vertical="center"/>
    </xf>
    <xf numFmtId="0" fontId="36" fillId="0" borderId="4" xfId="16" applyFont="1" applyBorder="1" applyAlignment="1">
      <alignment horizontal="left" vertical="center"/>
    </xf>
    <xf numFmtId="183" fontId="36" fillId="0" borderId="3" xfId="16" applyNumberFormat="1" applyFont="1" applyFill="1" applyBorder="1" applyAlignment="1">
      <alignment horizontal="right" vertical="center" indent="2"/>
    </xf>
    <xf numFmtId="183" fontId="36" fillId="0" borderId="4" xfId="16" applyNumberFormat="1" applyFont="1" applyFill="1" applyBorder="1" applyAlignment="1">
      <alignment horizontal="right" vertical="center" indent="2"/>
    </xf>
    <xf numFmtId="175" fontId="36" fillId="0" borderId="3" xfId="16" applyNumberFormat="1" applyFont="1" applyBorder="1" applyAlignment="1">
      <alignment horizontal="right" vertical="center" indent="2"/>
    </xf>
    <xf numFmtId="175" fontId="36" fillId="0" borderId="4" xfId="16" applyNumberFormat="1" applyFont="1" applyBorder="1" applyAlignment="1">
      <alignment horizontal="right" vertical="center" indent="2"/>
    </xf>
    <xf numFmtId="0" fontId="36" fillId="0" borderId="3" xfId="16" applyFont="1" applyBorder="1" applyAlignment="1">
      <alignment horizontal="left"/>
    </xf>
    <xf numFmtId="0" fontId="36" fillId="0" borderId="4" xfId="16" applyFont="1" applyBorder="1" applyAlignment="1">
      <alignment horizontal="left"/>
    </xf>
    <xf numFmtId="0" fontId="36" fillId="0" borderId="3" xfId="7" applyFont="1" applyFill="1" applyBorder="1" applyAlignment="1">
      <alignment horizontal="left" vertical="center" wrapText="1"/>
    </xf>
    <xf numFmtId="0" fontId="36" fillId="0" borderId="4" xfId="7" applyFont="1" applyFill="1" applyBorder="1" applyAlignment="1">
      <alignment horizontal="left" vertical="center" wrapText="1"/>
    </xf>
    <xf numFmtId="183" fontId="36" fillId="0" borderId="3" xfId="16" applyNumberFormat="1" applyFont="1" applyBorder="1" applyAlignment="1">
      <alignment horizontal="right" vertical="center" indent="2"/>
    </xf>
    <xf numFmtId="183" fontId="36" fillId="0" borderId="4" xfId="16" applyNumberFormat="1" applyFont="1" applyBorder="1" applyAlignment="1">
      <alignment horizontal="right" vertical="center" indent="2"/>
    </xf>
    <xf numFmtId="183" fontId="36" fillId="0" borderId="3" xfId="7" applyNumberFormat="1" applyFont="1" applyBorder="1" applyAlignment="1">
      <alignment horizontal="right" vertical="center" indent="2"/>
    </xf>
    <xf numFmtId="183" fontId="36" fillId="0" borderId="4" xfId="7" applyNumberFormat="1" applyFont="1" applyBorder="1" applyAlignment="1">
      <alignment horizontal="right" vertical="center" indent="2"/>
    </xf>
    <xf numFmtId="9" fontId="36" fillId="0" borderId="1" xfId="16" applyNumberFormat="1" applyFont="1" applyBorder="1" applyAlignment="1">
      <alignment horizontal="center" vertical="center"/>
    </xf>
    <xf numFmtId="0" fontId="36" fillId="0" borderId="1" xfId="16" applyFont="1" applyBorder="1" applyAlignment="1">
      <alignment horizontal="center" vertical="center"/>
    </xf>
    <xf numFmtId="0" fontId="27" fillId="0" borderId="21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16" applyFont="1" applyBorder="1" applyAlignment="1">
      <alignment horizontal="left" vertical="center" wrapText="1"/>
    </xf>
    <xf numFmtId="0" fontId="27" fillId="0" borderId="25" xfId="16" applyFont="1" applyBorder="1" applyAlignment="1">
      <alignment horizontal="left" vertical="center" wrapText="1"/>
    </xf>
    <xf numFmtId="0" fontId="27" fillId="0" borderId="24" xfId="16" applyFont="1" applyBorder="1" applyAlignment="1">
      <alignment horizontal="left" vertical="center" wrapText="1"/>
    </xf>
    <xf numFmtId="0" fontId="27" fillId="0" borderId="13" xfId="16" applyFont="1" applyBorder="1" applyAlignment="1">
      <alignment horizontal="left" vertical="center" wrapText="1"/>
    </xf>
    <xf numFmtId="0" fontId="27" fillId="0" borderId="15" xfId="16" applyFont="1" applyBorder="1" applyAlignment="1">
      <alignment horizontal="left" vertical="center" wrapText="1"/>
    </xf>
    <xf numFmtId="0" fontId="27" fillId="0" borderId="14" xfId="16" applyFont="1" applyBorder="1" applyAlignment="1">
      <alignment horizontal="left" vertical="center" wrapText="1"/>
    </xf>
    <xf numFmtId="0" fontId="27" fillId="0" borderId="16" xfId="16" applyFont="1" applyBorder="1" applyAlignment="1">
      <alignment horizontal="left" vertical="center" wrapText="1"/>
    </xf>
    <xf numFmtId="0" fontId="27" fillId="0" borderId="0" xfId="16" applyFont="1" applyBorder="1" applyAlignment="1">
      <alignment horizontal="left" vertical="center" wrapText="1"/>
    </xf>
    <xf numFmtId="0" fontId="27" fillId="0" borderId="17" xfId="16" applyFont="1" applyBorder="1" applyAlignment="1">
      <alignment horizontal="left" vertical="center" wrapText="1"/>
    </xf>
    <xf numFmtId="0" fontId="27" fillId="0" borderId="18" xfId="16" applyFont="1" applyBorder="1" applyAlignment="1">
      <alignment horizontal="left" vertical="center" wrapText="1"/>
    </xf>
    <xf numFmtId="0" fontId="27" fillId="0" borderId="20" xfId="16" applyFont="1" applyBorder="1" applyAlignment="1">
      <alignment horizontal="left" vertical="center" wrapText="1"/>
    </xf>
    <xf numFmtId="0" fontId="27" fillId="0" borderId="19" xfId="16" applyFont="1" applyBorder="1" applyAlignment="1">
      <alignment horizontal="left" vertical="center" wrapText="1"/>
    </xf>
    <xf numFmtId="0" fontId="27" fillId="0" borderId="23" xfId="16" applyFont="1" applyBorder="1" applyAlignment="1">
      <alignment horizontal="center" vertical="center" wrapText="1"/>
    </xf>
    <xf numFmtId="0" fontId="27" fillId="0" borderId="25" xfId="16" applyFont="1" applyBorder="1" applyAlignment="1">
      <alignment horizontal="center" vertical="center" wrapText="1"/>
    </xf>
    <xf numFmtId="0" fontId="27" fillId="0" borderId="24" xfId="16" applyFont="1" applyBorder="1" applyAlignment="1">
      <alignment horizontal="center" vertical="center" wrapText="1"/>
    </xf>
    <xf numFmtId="2" fontId="29" fillId="0" borderId="3" xfId="9" applyNumberFormat="1" applyFont="1" applyBorder="1" applyAlignment="1">
      <alignment horizontal="center"/>
    </xf>
    <xf numFmtId="2" fontId="29" fillId="0" borderId="4" xfId="9" applyNumberFormat="1" applyFont="1" applyBorder="1" applyAlignment="1">
      <alignment horizontal="center"/>
    </xf>
    <xf numFmtId="2" fontId="29" fillId="0" borderId="3" xfId="9" applyNumberFormat="1" applyFont="1" applyBorder="1" applyAlignment="1">
      <alignment horizontal="center" vertical="center"/>
    </xf>
    <xf numFmtId="2" fontId="29" fillId="0" borderId="4" xfId="9" applyNumberFormat="1" applyFont="1" applyBorder="1" applyAlignment="1">
      <alignment horizontal="center" vertical="center"/>
    </xf>
    <xf numFmtId="0" fontId="24" fillId="0" borderId="3" xfId="9" applyFont="1" applyBorder="1" applyAlignment="1">
      <alignment horizontal="left"/>
    </xf>
    <xf numFmtId="0" fontId="24" fillId="0" borderId="2" xfId="9" applyFont="1" applyBorder="1" applyAlignment="1">
      <alignment horizontal="left"/>
    </xf>
    <xf numFmtId="0" fontId="24" fillId="0" borderId="4" xfId="9" applyFont="1" applyBorder="1" applyAlignment="1">
      <alignment horizontal="left"/>
    </xf>
    <xf numFmtId="0" fontId="26" fillId="0" borderId="3" xfId="9" applyFont="1" applyBorder="1" applyAlignment="1">
      <alignment horizontal="left"/>
    </xf>
    <xf numFmtId="0" fontId="26" fillId="0" borderId="2" xfId="9" applyFont="1" applyBorder="1" applyAlignment="1">
      <alignment horizontal="left"/>
    </xf>
    <xf numFmtId="0" fontId="26" fillId="0" borderId="4" xfId="9" applyFont="1" applyBorder="1" applyAlignment="1">
      <alignment horizontal="left"/>
    </xf>
    <xf numFmtId="9" fontId="29" fillId="0" borderId="4" xfId="9" applyNumberFormat="1" applyFont="1" applyBorder="1" applyAlignment="1">
      <alignment horizontal="center"/>
    </xf>
    <xf numFmtId="0" fontId="26" fillId="0" borderId="24" xfId="9" applyFont="1" applyBorder="1" applyAlignment="1">
      <alignment vertical="center" wrapText="1"/>
    </xf>
    <xf numFmtId="0" fontId="26" fillId="0" borderId="18" xfId="9" applyFont="1" applyBorder="1" applyAlignment="1">
      <alignment horizontal="left" vertical="center" wrapText="1"/>
    </xf>
    <xf numFmtId="0" fontId="26" fillId="0" borderId="20" xfId="9" applyFont="1" applyBorder="1" applyAlignment="1">
      <alignment horizontal="left" vertical="center" wrapText="1"/>
    </xf>
    <xf numFmtId="0" fontId="26" fillId="0" borderId="19" xfId="9" applyFont="1" applyBorder="1" applyAlignment="1">
      <alignment horizontal="left" vertical="center" wrapText="1"/>
    </xf>
    <xf numFmtId="0" fontId="26" fillId="0" borderId="24" xfId="9" applyFont="1" applyBorder="1" applyAlignment="1">
      <alignment horizontal="right" vertical="center" wrapText="1"/>
    </xf>
    <xf numFmtId="175" fontId="24" fillId="0" borderId="1" xfId="9" applyNumberFormat="1" applyFont="1" applyBorder="1" applyAlignment="1">
      <alignment horizontal="center"/>
    </xf>
    <xf numFmtId="0" fontId="25" fillId="0" borderId="4" xfId="9" applyBorder="1" applyAlignment="1">
      <alignment horizontal="left" vertical="center" wrapText="1"/>
    </xf>
    <xf numFmtId="13" fontId="29" fillId="0" borderId="3" xfId="9" applyNumberFormat="1" applyFont="1" applyBorder="1" applyAlignment="1">
      <alignment horizontal="center" vertical="center" wrapText="1"/>
    </xf>
    <xf numFmtId="13" fontId="29" fillId="0" borderId="4" xfId="9" applyNumberFormat="1" applyFont="1" applyBorder="1" applyAlignment="1">
      <alignment horizontal="center" vertical="center" wrapText="1"/>
    </xf>
    <xf numFmtId="0" fontId="26" fillId="0" borderId="23" xfId="9" applyFont="1" applyBorder="1" applyAlignment="1">
      <alignment horizontal="left" vertical="center" wrapText="1"/>
    </xf>
    <xf numFmtId="0" fontId="25" fillId="0" borderId="24" xfId="9" applyBorder="1" applyAlignment="1">
      <alignment horizontal="left" vertical="center" wrapText="1"/>
    </xf>
    <xf numFmtId="175" fontId="29" fillId="0" borderId="1" xfId="7" applyNumberFormat="1" applyFont="1" applyBorder="1" applyAlignment="1">
      <alignment horizontal="center"/>
    </xf>
    <xf numFmtId="176" fontId="29" fillId="0" borderId="1" xfId="9" applyNumberFormat="1" applyFont="1" applyBorder="1" applyAlignment="1">
      <alignment horizontal="center"/>
    </xf>
    <xf numFmtId="183" fontId="29" fillId="0" borderId="1" xfId="9" applyNumberFormat="1" applyFont="1" applyBorder="1" applyAlignment="1">
      <alignment horizontal="center" vertical="center"/>
    </xf>
    <xf numFmtId="0" fontId="26" fillId="0" borderId="23" xfId="9" applyFont="1" applyFill="1" applyBorder="1" applyAlignment="1">
      <alignment horizontal="right" vertical="center" wrapText="1"/>
    </xf>
    <xf numFmtId="0" fontId="25" fillId="0" borderId="24" xfId="9" applyFill="1" applyBorder="1" applyAlignment="1">
      <alignment vertical="center" wrapText="1"/>
    </xf>
    <xf numFmtId="175" fontId="24" fillId="0" borderId="1" xfId="7" applyNumberFormat="1" applyFont="1" applyFill="1" applyBorder="1" applyAlignment="1">
      <alignment horizontal="center" vertical="center"/>
    </xf>
    <xf numFmtId="0" fontId="26" fillId="0" borderId="3" xfId="7" applyFont="1" applyBorder="1" applyAlignment="1">
      <alignment horizontal="left" vertical="center"/>
    </xf>
    <xf numFmtId="0" fontId="26" fillId="0" borderId="2" xfId="7" applyFont="1" applyBorder="1" applyAlignment="1">
      <alignment horizontal="left" vertical="center"/>
    </xf>
    <xf numFmtId="0" fontId="26" fillId="0" borderId="4" xfId="7" applyFont="1" applyBorder="1" applyAlignment="1">
      <alignment horizontal="left" vertical="center"/>
    </xf>
    <xf numFmtId="183" fontId="29" fillId="0" borderId="1" xfId="7" applyNumberFormat="1" applyFont="1" applyBorder="1" applyAlignment="1">
      <alignment horizontal="center" vertical="center"/>
    </xf>
    <xf numFmtId="176" fontId="24" fillId="0" borderId="1" xfId="7" applyNumberFormat="1" applyFont="1" applyFill="1" applyBorder="1" applyAlignment="1">
      <alignment horizontal="center" vertical="center"/>
    </xf>
    <xf numFmtId="0" fontId="29" fillId="0" borderId="1" xfId="9" applyFont="1" applyBorder="1" applyAlignment="1">
      <alignment horizontal="left" wrapText="1"/>
    </xf>
    <xf numFmtId="176" fontId="29" fillId="0" borderId="3" xfId="7" applyNumberFormat="1" applyFont="1" applyBorder="1" applyAlignment="1">
      <alignment horizontal="center" vertical="center"/>
    </xf>
    <xf numFmtId="176" fontId="29" fillId="0" borderId="4" xfId="7" applyNumberFormat="1" applyFont="1" applyBorder="1" applyAlignment="1">
      <alignment horizontal="center" vertical="center"/>
    </xf>
    <xf numFmtId="176" fontId="29" fillId="0" borderId="1" xfId="7" applyNumberFormat="1" applyFont="1" applyBorder="1" applyAlignment="1">
      <alignment horizontal="center" vertical="center"/>
    </xf>
    <xf numFmtId="0" fontId="26" fillId="0" borderId="24" xfId="7" applyFont="1" applyBorder="1" applyAlignment="1">
      <alignment horizontal="center" vertical="center" wrapText="1"/>
    </xf>
    <xf numFmtId="183" fontId="29" fillId="0" borderId="3" xfId="7" applyNumberFormat="1" applyFont="1" applyBorder="1" applyAlignment="1">
      <alignment horizontal="center" vertical="center"/>
    </xf>
    <xf numFmtId="183" fontId="29" fillId="0" borderId="4" xfId="7" applyNumberFormat="1" applyFont="1" applyBorder="1" applyAlignment="1">
      <alignment horizontal="center" vertical="center"/>
    </xf>
    <xf numFmtId="0" fontId="29" fillId="0" borderId="1" xfId="7" applyFont="1" applyBorder="1" applyAlignment="1">
      <alignment horizontal="left" wrapText="1"/>
    </xf>
    <xf numFmtId="0" fontId="29" fillId="0" borderId="1" xfId="7" applyFont="1" applyBorder="1" applyAlignment="1">
      <alignment horizontal="left" vertical="center" wrapText="1"/>
    </xf>
    <xf numFmtId="2" fontId="29" fillId="0" borderId="3" xfId="7" applyNumberFormat="1" applyFont="1" applyBorder="1" applyAlignment="1">
      <alignment horizontal="center" vertical="center"/>
    </xf>
    <xf numFmtId="2" fontId="29" fillId="0" borderId="4" xfId="7" applyNumberFormat="1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17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9" fontId="29" fillId="0" borderId="1" xfId="0" applyNumberFormat="1" applyFont="1" applyBorder="1" applyAlignment="1">
      <alignment horizontal="center"/>
    </xf>
    <xf numFmtId="175" fontId="29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75" fontId="24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 vertical="center"/>
    </xf>
    <xf numFmtId="0" fontId="26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9" fillId="0" borderId="3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9" fillId="0" borderId="1" xfId="0" applyNumberFormat="1" applyFont="1" applyBorder="1" applyAlignment="1">
      <alignment horizontal="center"/>
    </xf>
    <xf numFmtId="0" fontId="29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76" fontId="24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3" fillId="0" borderId="1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6" fillId="0" borderId="23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2" fontId="29" fillId="0" borderId="1" xfId="0" applyNumberFormat="1" applyFont="1" applyBorder="1" applyAlignment="1">
      <alignment horizontal="center"/>
    </xf>
    <xf numFmtId="43" fontId="29" fillId="0" borderId="3" xfId="1" applyFont="1" applyBorder="1" applyAlignment="1">
      <alignment horizontal="left" wrapText="1"/>
    </xf>
    <xf numFmtId="43" fontId="29" fillId="0" borderId="4" xfId="1" applyFont="1" applyBorder="1" applyAlignment="1">
      <alignment horizontal="left" wrapText="1"/>
    </xf>
    <xf numFmtId="43" fontId="29" fillId="0" borderId="1" xfId="1" applyFont="1" applyBorder="1" applyAlignment="1">
      <alignment horizontal="center"/>
    </xf>
  </cellXfs>
  <cellStyles count="18">
    <cellStyle name="Millares" xfId="1" builtinId="3"/>
    <cellStyle name="Millares 2" xfId="14"/>
    <cellStyle name="Millares 2 4" xfId="3"/>
    <cellStyle name="Millares_FORMULARIO 4 - M-OFERENTE PPTA ECONOMICA" xfId="6"/>
    <cellStyle name="Millares_PO BARBOSA PTO BERRIO 2" xfId="4"/>
    <cellStyle name="Millares_PPTO OFICIAL LP-SGT-SRN-001-2009" xfId="2"/>
    <cellStyle name="Moneda" xfId="17" builtinId="4"/>
    <cellStyle name="Moneda 2" xfId="12"/>
    <cellStyle name="Moneda 3_PO BARBOSA PTO BERRIO 2" xfId="5"/>
    <cellStyle name="Normal" xfId="0" builtinId="0"/>
    <cellStyle name="Normal 12 2 2" xfId="13"/>
    <cellStyle name="Normal 2" xfId="9"/>
    <cellStyle name="Normal 2 2" xfId="7"/>
    <cellStyle name="Normal 3" xfId="11"/>
    <cellStyle name="Normal 3 2" xfId="16"/>
    <cellStyle name="Normal 4 2" xfId="15"/>
    <cellStyle name="Porcentaje" xfId="8" builtinId="5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1</xdr:col>
      <xdr:colOff>457200</xdr:colOff>
      <xdr:row>5</xdr:row>
      <xdr:rowOff>76200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85725</xdr:rowOff>
    </xdr:from>
    <xdr:to>
      <xdr:col>7</xdr:col>
      <xdr:colOff>333375</xdr:colOff>
      <xdr:row>5</xdr:row>
      <xdr:rowOff>38100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85725"/>
          <a:ext cx="1057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76200</xdr:rowOff>
    </xdr:from>
    <xdr:to>
      <xdr:col>1</xdr:col>
      <xdr:colOff>361950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38101</xdr:colOff>
      <xdr:row>2</xdr:row>
      <xdr:rowOff>19050</xdr:rowOff>
    </xdr:from>
    <xdr:to>
      <xdr:col>7</xdr:col>
      <xdr:colOff>390526</xdr:colOff>
      <xdr:row>7</xdr:row>
      <xdr:rowOff>123380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352425"/>
          <a:ext cx="971550" cy="98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76200</xdr:rowOff>
    </xdr:from>
    <xdr:to>
      <xdr:col>1</xdr:col>
      <xdr:colOff>428625</xdr:colOff>
      <xdr:row>6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</xdr:row>
      <xdr:rowOff>28575</xdr:rowOff>
    </xdr:from>
    <xdr:to>
      <xdr:col>7</xdr:col>
      <xdr:colOff>457200</xdr:colOff>
      <xdr:row>7</xdr:row>
      <xdr:rowOff>28575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00025"/>
          <a:ext cx="1047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7</xdr:col>
      <xdr:colOff>571500</xdr:colOff>
      <xdr:row>5</xdr:row>
      <xdr:rowOff>133351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4600575" y="19050"/>
          <a:ext cx="1304925" cy="110490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381000</xdr:colOff>
      <xdr:row>0</xdr:row>
      <xdr:rowOff>57150</xdr:rowOff>
    </xdr:from>
    <xdr:to>
      <xdr:col>1</xdr:col>
      <xdr:colOff>533400</xdr:colOff>
      <xdr:row>5</xdr:row>
      <xdr:rowOff>85725</xdr:rowOff>
    </xdr:to>
    <xdr:pic>
      <xdr:nvPicPr>
        <xdr:cNvPr id="3" name="Imagen 5" descr="http://www.presidencia.gov.co/prensa_new/historia/escudo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9144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4" name="Imagen 7" descr="http://www.presidencia.gov.co/prensa_new/historia/escudo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9144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66675</xdr:rowOff>
    </xdr:from>
    <xdr:to>
      <xdr:col>1</xdr:col>
      <xdr:colOff>381000</xdr:colOff>
      <xdr:row>7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00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</xdr:row>
      <xdr:rowOff>28575</xdr:rowOff>
    </xdr:from>
    <xdr:to>
      <xdr:col>7</xdr:col>
      <xdr:colOff>361950</xdr:colOff>
      <xdr:row>7</xdr:row>
      <xdr:rowOff>121689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361950"/>
          <a:ext cx="942975" cy="96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428625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0957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38100</xdr:rowOff>
    </xdr:from>
    <xdr:to>
      <xdr:col>7</xdr:col>
      <xdr:colOff>400050</xdr:colOff>
      <xdr:row>7</xdr:row>
      <xdr:rowOff>134389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71475"/>
          <a:ext cx="990600" cy="97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66675</xdr:rowOff>
    </xdr:from>
    <xdr:to>
      <xdr:col>1</xdr:col>
      <xdr:colOff>352425</xdr:colOff>
      <xdr:row>7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0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2</xdr:row>
      <xdr:rowOff>28575</xdr:rowOff>
    </xdr:from>
    <xdr:to>
      <xdr:col>7</xdr:col>
      <xdr:colOff>342900</xdr:colOff>
      <xdr:row>7</xdr:row>
      <xdr:rowOff>79131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61950"/>
          <a:ext cx="876300" cy="926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428625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0957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2</xdr:row>
      <xdr:rowOff>57150</xdr:rowOff>
    </xdr:from>
    <xdr:to>
      <xdr:col>7</xdr:col>
      <xdr:colOff>457200</xdr:colOff>
      <xdr:row>7</xdr:row>
      <xdr:rowOff>133350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90525"/>
          <a:ext cx="10191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</xdr:col>
      <xdr:colOff>533400</xdr:colOff>
      <xdr:row>5</xdr:row>
      <xdr:rowOff>142875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0763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0</xdr:row>
      <xdr:rowOff>57150</xdr:rowOff>
    </xdr:from>
    <xdr:to>
      <xdr:col>7</xdr:col>
      <xdr:colOff>476250</xdr:colOff>
      <xdr:row>5</xdr:row>
      <xdr:rowOff>104775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57150"/>
          <a:ext cx="11620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1</xdr:col>
      <xdr:colOff>561975</xdr:colOff>
      <xdr:row>7</xdr:row>
      <xdr:rowOff>161925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71475"/>
          <a:ext cx="1085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2</xdr:row>
      <xdr:rowOff>38100</xdr:rowOff>
    </xdr:from>
    <xdr:to>
      <xdr:col>7</xdr:col>
      <xdr:colOff>466725</xdr:colOff>
      <xdr:row>7</xdr:row>
      <xdr:rowOff>123825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71475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57150</xdr:rowOff>
    </xdr:from>
    <xdr:to>
      <xdr:col>1</xdr:col>
      <xdr:colOff>600075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0525"/>
          <a:ext cx="1085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2</xdr:row>
      <xdr:rowOff>57150</xdr:rowOff>
    </xdr:from>
    <xdr:to>
      <xdr:col>7</xdr:col>
      <xdr:colOff>476250</xdr:colOff>
      <xdr:row>7</xdr:row>
      <xdr:rowOff>142875</xdr:rowOff>
    </xdr:to>
    <xdr:pic>
      <xdr:nvPicPr>
        <xdr:cNvPr id="4" name="2 Imagen" descr="LOGO ANI.JPG">
          <a:extLst>
            <a:ext uri="{FF2B5EF4-FFF2-40B4-BE49-F238E27FC236}">
              <a16:creationId xmlns:a16="http://schemas.microsoft.com/office/drawing/2014/main" id="{F8AD711D-F624-4A6A-B825-4DEB737E5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90525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438150</xdr:colOff>
      <xdr:row>5</xdr:row>
      <xdr:rowOff>114300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8858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85725</xdr:rowOff>
    </xdr:from>
    <xdr:to>
      <xdr:col>7</xdr:col>
      <xdr:colOff>352425</xdr:colOff>
      <xdr:row>5</xdr:row>
      <xdr:rowOff>38100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5725"/>
          <a:ext cx="1047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28575</xdr:rowOff>
    </xdr:from>
    <xdr:to>
      <xdr:col>1</xdr:col>
      <xdr:colOff>542925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"/>
          <a:ext cx="1085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2</xdr:row>
      <xdr:rowOff>28575</xdr:rowOff>
    </xdr:from>
    <xdr:to>
      <xdr:col>7</xdr:col>
      <xdr:colOff>438150</xdr:colOff>
      <xdr:row>7</xdr:row>
      <xdr:rowOff>152400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6195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9525</xdr:rowOff>
    </xdr:from>
    <xdr:to>
      <xdr:col>1</xdr:col>
      <xdr:colOff>590550</xdr:colOff>
      <xdr:row>7</xdr:row>
      <xdr:rowOff>152400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42900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</xdr:row>
      <xdr:rowOff>9525</xdr:rowOff>
    </xdr:from>
    <xdr:to>
      <xdr:col>7</xdr:col>
      <xdr:colOff>447675</xdr:colOff>
      <xdr:row>7</xdr:row>
      <xdr:rowOff>133350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4290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619125</xdr:colOff>
      <xdr:row>7</xdr:row>
      <xdr:rowOff>133350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42900"/>
          <a:ext cx="1085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</xdr:row>
      <xdr:rowOff>9525</xdr:rowOff>
    </xdr:from>
    <xdr:to>
      <xdr:col>7</xdr:col>
      <xdr:colOff>447675</xdr:colOff>
      <xdr:row>7</xdr:row>
      <xdr:rowOff>133350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4290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9525</xdr:rowOff>
    </xdr:from>
    <xdr:to>
      <xdr:col>1</xdr:col>
      <xdr:colOff>590550</xdr:colOff>
      <xdr:row>7</xdr:row>
      <xdr:rowOff>142875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42900"/>
          <a:ext cx="10858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2</xdr:row>
      <xdr:rowOff>9525</xdr:rowOff>
    </xdr:from>
    <xdr:to>
      <xdr:col>7</xdr:col>
      <xdr:colOff>428625</xdr:colOff>
      <xdr:row>7</xdr:row>
      <xdr:rowOff>133350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34290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</xdr:col>
      <xdr:colOff>571500</xdr:colOff>
      <xdr:row>7</xdr:row>
      <xdr:rowOff>133350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2900"/>
          <a:ext cx="1085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</xdr:row>
      <xdr:rowOff>28575</xdr:rowOff>
    </xdr:from>
    <xdr:to>
      <xdr:col>7</xdr:col>
      <xdr:colOff>457200</xdr:colOff>
      <xdr:row>7</xdr:row>
      <xdr:rowOff>152400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36195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38100</xdr:rowOff>
    </xdr:from>
    <xdr:to>
      <xdr:col>1</xdr:col>
      <xdr:colOff>447675</xdr:colOff>
      <xdr:row>5</xdr:row>
      <xdr:rowOff>66675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104775</xdr:rowOff>
    </xdr:from>
    <xdr:to>
      <xdr:col>7</xdr:col>
      <xdr:colOff>409575</xdr:colOff>
      <xdr:row>5</xdr:row>
      <xdr:rowOff>28575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04775"/>
          <a:ext cx="1057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514350</xdr:colOff>
      <xdr:row>5</xdr:row>
      <xdr:rowOff>133350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858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0</xdr:row>
      <xdr:rowOff>57150</xdr:rowOff>
    </xdr:from>
    <xdr:to>
      <xdr:col>7</xdr:col>
      <xdr:colOff>514350</xdr:colOff>
      <xdr:row>5</xdr:row>
      <xdr:rowOff>142875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5715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57150</xdr:rowOff>
    </xdr:from>
    <xdr:to>
      <xdr:col>1</xdr:col>
      <xdr:colOff>495300</xdr:colOff>
      <xdr:row>5</xdr:row>
      <xdr:rowOff>85725</xdr:rowOff>
    </xdr:to>
    <xdr:pic>
      <xdr:nvPicPr>
        <xdr:cNvPr id="2" name="Imagen 3" descr="http://www.presidencia.gov.co/prensa_new/historia/escudo.jp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0</xdr:row>
      <xdr:rowOff>76200</xdr:rowOff>
    </xdr:from>
    <xdr:to>
      <xdr:col>7</xdr:col>
      <xdr:colOff>419100</xdr:colOff>
      <xdr:row>5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76200"/>
          <a:ext cx="1057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47625</xdr:rowOff>
    </xdr:from>
    <xdr:to>
      <xdr:col>1</xdr:col>
      <xdr:colOff>409575</xdr:colOff>
      <xdr:row>5</xdr:row>
      <xdr:rowOff>76200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7</xdr:col>
      <xdr:colOff>542925</xdr:colOff>
      <xdr:row>5</xdr:row>
      <xdr:rowOff>28575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04775"/>
          <a:ext cx="1057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1</xdr:col>
      <xdr:colOff>533400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1085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38100</xdr:rowOff>
    </xdr:from>
    <xdr:to>
      <xdr:col>7</xdr:col>
      <xdr:colOff>304800</xdr:colOff>
      <xdr:row>5</xdr:row>
      <xdr:rowOff>123825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8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76200</xdr:rowOff>
    </xdr:from>
    <xdr:to>
      <xdr:col>1</xdr:col>
      <xdr:colOff>428625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23813</xdr:colOff>
      <xdr:row>0</xdr:row>
      <xdr:rowOff>50800</xdr:rowOff>
    </xdr:from>
    <xdr:to>
      <xdr:col>7</xdr:col>
      <xdr:colOff>423863</xdr:colOff>
      <xdr:row>5</xdr:row>
      <xdr:rowOff>34925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13" y="50800"/>
          <a:ext cx="116205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0</xdr:row>
      <xdr:rowOff>11430</xdr:rowOff>
    </xdr:from>
    <xdr:to>
      <xdr:col>7</xdr:col>
      <xdr:colOff>586625</xdr:colOff>
      <xdr:row>5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4314825" y="11430"/>
          <a:ext cx="1177175" cy="111252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5" name="Imagen 4" descr="http://www.presidencia.gov.co/prensa_new/historia/escudo.jpg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6" name="2 Imagen" descr="LOGO ANI.JPG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1</xdr:col>
      <xdr:colOff>438150</xdr:colOff>
      <xdr:row>7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71475"/>
          <a:ext cx="9048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</xdr:row>
      <xdr:rowOff>28575</xdr:rowOff>
    </xdr:from>
    <xdr:to>
      <xdr:col>7</xdr:col>
      <xdr:colOff>447675</xdr:colOff>
      <xdr:row>7</xdr:row>
      <xdr:rowOff>95250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10477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76200</xdr:rowOff>
    </xdr:from>
    <xdr:to>
      <xdr:col>1</xdr:col>
      <xdr:colOff>428625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9575"/>
          <a:ext cx="8858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2</xdr:row>
      <xdr:rowOff>57151</xdr:rowOff>
    </xdr:from>
    <xdr:to>
      <xdr:col>7</xdr:col>
      <xdr:colOff>419100</xdr:colOff>
      <xdr:row>7</xdr:row>
      <xdr:rowOff>120651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390526"/>
          <a:ext cx="9144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76200</xdr:rowOff>
    </xdr:from>
    <xdr:to>
      <xdr:col>1</xdr:col>
      <xdr:colOff>428625</xdr:colOff>
      <xdr:row>7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09575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161926</xdr:colOff>
      <xdr:row>2</xdr:row>
      <xdr:rowOff>31068</xdr:rowOff>
    </xdr:from>
    <xdr:to>
      <xdr:col>7</xdr:col>
      <xdr:colOff>495301</xdr:colOff>
      <xdr:row>7</xdr:row>
      <xdr:rowOff>142875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6" y="364443"/>
          <a:ext cx="952500" cy="988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1</xdr:col>
      <xdr:colOff>428625</xdr:colOff>
      <xdr:row>5</xdr:row>
      <xdr:rowOff>142875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876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0</xdr:row>
      <xdr:rowOff>28575</xdr:rowOff>
    </xdr:from>
    <xdr:to>
      <xdr:col>7</xdr:col>
      <xdr:colOff>219075</xdr:colOff>
      <xdr:row>5</xdr:row>
      <xdr:rowOff>95250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28575"/>
          <a:ext cx="990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</xdr:col>
      <xdr:colOff>409575</xdr:colOff>
      <xdr:row>5</xdr:row>
      <xdr:rowOff>142875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8953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0</xdr:row>
      <xdr:rowOff>47625</xdr:rowOff>
    </xdr:from>
    <xdr:to>
      <xdr:col>7</xdr:col>
      <xdr:colOff>371475</xdr:colOff>
      <xdr:row>5</xdr:row>
      <xdr:rowOff>114300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625"/>
          <a:ext cx="10572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9525</xdr:rowOff>
    </xdr:from>
    <xdr:to>
      <xdr:col>1</xdr:col>
      <xdr:colOff>466725</xdr:colOff>
      <xdr:row>6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14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</xdr:row>
      <xdr:rowOff>28575</xdr:rowOff>
    </xdr:from>
    <xdr:to>
      <xdr:col>7</xdr:col>
      <xdr:colOff>400050</xdr:colOff>
      <xdr:row>6</xdr:row>
      <xdr:rowOff>142875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00025"/>
          <a:ext cx="990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is%20documentos\OBRAS\BANADIA\INFORMES\BANADIACD\1erINFORM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is%20documentos\ADMON00\COSTOS\ESTRUCTURA%20DE%20COSTOS%20G&amp;J%20ING%20ASOCIADOS%20LTD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ol/PEDRO/P1137/SEGUIMIENTO%20A%20LOS%20CONTRATOS%20OBRA/ESCENARIOS%20GENERALES/INFORMACI&#211;N%20GENERAL%20ANI/UTFC/NO%20PREVISTOS/Users/Concol.M1022/Desktop/APU%20NP%20Aprobados%20CI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opez/Desktop/2013-04-10%20-%20DOCUMENTOS%20PARA%20PUBLICAR%20-%20LP%20F&#201;RREA/LICITACI&#211;N%20F&#201;RREA%202013%20(BOG%20-%20BEL%20y%20DOR%20-%20CHI)/PRESUPUESTO/PAVICOL/MSOFFICE/LICITAR/analisis%20del%20AIU/AI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ACTA DE MODIFICACION  (2)"/>
      <sheetName val="INDICMICROEMP"/>
      <sheetName val="items"/>
      <sheetName val="#¡REF"/>
      <sheetName val="\a  aaInformación GRUPO 4\A MIn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/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/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"/>
      <sheetName val="PU (2)"/>
      <sheetName val="RESUMEN"/>
      <sheetName val="PRECIOS"/>
      <sheetName val="fo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EQ"/>
      <sheetName val="MA"/>
      <sheetName val="TR"/>
      <sheetName val="MO"/>
      <sheetName val="PU"/>
      <sheetName val="PT"/>
      <sheetName val="admon99"/>
      <sheetName val="nelson"/>
      <sheetName val="Hoja3"/>
      <sheetName val="Hoja4"/>
      <sheetName val="CANTOBRA"/>
      <sheetName val="S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R 1"/>
      <sheetName val="PUNITARIOS PARA 241201 2S"/>
      <sheetName val="Hoja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quipos"/>
      <sheetName val="Materiales"/>
      <sheetName val="Soporte Tuberia"/>
      <sheetName val="NP-01"/>
      <sheetName val="NP-02  (DEF)"/>
      <sheetName val="NP-03 (DEF)"/>
      <sheetName val="NP-04"/>
      <sheetName val="NP-05"/>
      <sheetName val="NP-06"/>
      <sheetName val="NP-07"/>
      <sheetName val="NP-08"/>
      <sheetName val="NP-09"/>
      <sheetName val="NP-10"/>
      <sheetName val="NP-11"/>
      <sheetName val="NP-12"/>
      <sheetName val="NP-13"/>
      <sheetName val="NP-14"/>
      <sheetName val="NP-15"/>
      <sheetName val="NP-16"/>
      <sheetName val="NP-17"/>
      <sheetName val="NP-18"/>
      <sheetName val="NP-19"/>
      <sheetName val="NP-20"/>
      <sheetName val="NP-21"/>
      <sheetName val="NP-22"/>
      <sheetName val="NP-023"/>
      <sheetName val="NP-024"/>
      <sheetName val="NP-025"/>
      <sheetName val="NP-026"/>
      <sheetName val="NP-27"/>
      <sheetName val="NP-028"/>
      <sheetName val="NP-29"/>
      <sheetName val="NP-030"/>
      <sheetName val="NP-031"/>
    </sheetNames>
    <sheetDataSet>
      <sheetData sheetId="0" refreshError="1"/>
      <sheetData sheetId="1" refreshError="1">
        <row r="3">
          <cell r="B3">
            <v>1000000</v>
          </cell>
        </row>
        <row r="10">
          <cell r="B10">
            <v>30000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\a  aaInformación GRUPO 4\A MIn"/>
      <sheetName val="#¡REF"/>
      <sheetName val="Informacion"/>
      <sheetName val="INDICMICROEMP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>
        <row r="8">
          <cell r="G8">
            <v>32500000.417525001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Analisis%20de%20Precios%20Unita"/>
      <sheetName val="INDICMICROEMP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</sheetNames>
    <sheetDataSet>
      <sheetData sheetId="0" refreshError="1">
        <row r="52">
          <cell r="H52">
            <v>46548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R629"/>
  <sheetViews>
    <sheetView topLeftCell="A10" zoomScaleNormal="100" workbookViewId="0">
      <selection activeCell="B18" sqref="B18:B19"/>
    </sheetView>
  </sheetViews>
  <sheetFormatPr baseColWidth="10" defaultRowHeight="13.5" x14ac:dyDescent="0.25"/>
  <cols>
    <col min="1" max="1" width="4.28515625" style="20" customWidth="1"/>
    <col min="2" max="2" width="72.7109375" style="1" customWidth="1"/>
    <col min="3" max="3" width="15.7109375" style="21" customWidth="1"/>
    <col min="4" max="5" width="17.28515625" style="22" customWidth="1"/>
    <col min="6" max="6" width="24.85546875" style="1" bestFit="1" customWidth="1"/>
    <col min="7" max="7" width="17.42578125" style="23" customWidth="1"/>
    <col min="8" max="9" width="11.42578125" style="23" customWidth="1"/>
    <col min="10" max="198" width="11.42578125" style="23"/>
    <col min="199" max="241" width="11.42578125" style="1"/>
    <col min="242" max="242" width="4.28515625" style="1" customWidth="1"/>
    <col min="243" max="243" width="74.7109375" style="1" customWidth="1"/>
    <col min="244" max="244" width="8.7109375" style="1" customWidth="1"/>
    <col min="245" max="245" width="14.140625" style="1" customWidth="1"/>
    <col min="246" max="246" width="17.28515625" style="1" customWidth="1"/>
    <col min="247" max="247" width="24.85546875" style="1" bestFit="1" customWidth="1"/>
    <col min="248" max="248" width="19" style="1" bestFit="1" customWidth="1"/>
    <col min="249" max="497" width="11.42578125" style="1"/>
    <col min="498" max="498" width="4.28515625" style="1" customWidth="1"/>
    <col min="499" max="499" width="74.7109375" style="1" customWidth="1"/>
    <col min="500" max="500" width="8.7109375" style="1" customWidth="1"/>
    <col min="501" max="501" width="14.140625" style="1" customWidth="1"/>
    <col min="502" max="502" width="17.28515625" style="1" customWidth="1"/>
    <col min="503" max="503" width="24.85546875" style="1" bestFit="1" customWidth="1"/>
    <col min="504" max="504" width="19" style="1" bestFit="1" customWidth="1"/>
    <col min="505" max="753" width="11.42578125" style="1"/>
    <col min="754" max="754" width="4.28515625" style="1" customWidth="1"/>
    <col min="755" max="755" width="74.7109375" style="1" customWidth="1"/>
    <col min="756" max="756" width="8.7109375" style="1" customWidth="1"/>
    <col min="757" max="757" width="14.140625" style="1" customWidth="1"/>
    <col min="758" max="758" width="17.28515625" style="1" customWidth="1"/>
    <col min="759" max="759" width="24.85546875" style="1" bestFit="1" customWidth="1"/>
    <col min="760" max="760" width="19" style="1" bestFit="1" customWidth="1"/>
    <col min="761" max="1009" width="11.42578125" style="1"/>
    <col min="1010" max="1010" width="4.28515625" style="1" customWidth="1"/>
    <col min="1011" max="1011" width="74.7109375" style="1" customWidth="1"/>
    <col min="1012" max="1012" width="8.7109375" style="1" customWidth="1"/>
    <col min="1013" max="1013" width="14.140625" style="1" customWidth="1"/>
    <col min="1014" max="1014" width="17.28515625" style="1" customWidth="1"/>
    <col min="1015" max="1015" width="24.85546875" style="1" bestFit="1" customWidth="1"/>
    <col min="1016" max="1016" width="19" style="1" bestFit="1" customWidth="1"/>
    <col min="1017" max="1265" width="11.42578125" style="1"/>
    <col min="1266" max="1266" width="4.28515625" style="1" customWidth="1"/>
    <col min="1267" max="1267" width="74.7109375" style="1" customWidth="1"/>
    <col min="1268" max="1268" width="8.7109375" style="1" customWidth="1"/>
    <col min="1269" max="1269" width="14.140625" style="1" customWidth="1"/>
    <col min="1270" max="1270" width="17.28515625" style="1" customWidth="1"/>
    <col min="1271" max="1271" width="24.85546875" style="1" bestFit="1" customWidth="1"/>
    <col min="1272" max="1272" width="19" style="1" bestFit="1" customWidth="1"/>
    <col min="1273" max="1521" width="11.42578125" style="1"/>
    <col min="1522" max="1522" width="4.28515625" style="1" customWidth="1"/>
    <col min="1523" max="1523" width="74.7109375" style="1" customWidth="1"/>
    <col min="1524" max="1524" width="8.7109375" style="1" customWidth="1"/>
    <col min="1525" max="1525" width="14.140625" style="1" customWidth="1"/>
    <col min="1526" max="1526" width="17.28515625" style="1" customWidth="1"/>
    <col min="1527" max="1527" width="24.85546875" style="1" bestFit="1" customWidth="1"/>
    <col min="1528" max="1528" width="19" style="1" bestFit="1" customWidth="1"/>
    <col min="1529" max="1777" width="11.42578125" style="1"/>
    <col min="1778" max="1778" width="4.28515625" style="1" customWidth="1"/>
    <col min="1779" max="1779" width="74.7109375" style="1" customWidth="1"/>
    <col min="1780" max="1780" width="8.7109375" style="1" customWidth="1"/>
    <col min="1781" max="1781" width="14.140625" style="1" customWidth="1"/>
    <col min="1782" max="1782" width="17.28515625" style="1" customWidth="1"/>
    <col min="1783" max="1783" width="24.85546875" style="1" bestFit="1" customWidth="1"/>
    <col min="1784" max="1784" width="19" style="1" bestFit="1" customWidth="1"/>
    <col min="1785" max="2033" width="11.42578125" style="1"/>
    <col min="2034" max="2034" width="4.28515625" style="1" customWidth="1"/>
    <col min="2035" max="2035" width="74.7109375" style="1" customWidth="1"/>
    <col min="2036" max="2036" width="8.7109375" style="1" customWidth="1"/>
    <col min="2037" max="2037" width="14.140625" style="1" customWidth="1"/>
    <col min="2038" max="2038" width="17.28515625" style="1" customWidth="1"/>
    <col min="2039" max="2039" width="24.85546875" style="1" bestFit="1" customWidth="1"/>
    <col min="2040" max="2040" width="19" style="1" bestFit="1" customWidth="1"/>
    <col min="2041" max="2289" width="11.42578125" style="1"/>
    <col min="2290" max="2290" width="4.28515625" style="1" customWidth="1"/>
    <col min="2291" max="2291" width="74.7109375" style="1" customWidth="1"/>
    <col min="2292" max="2292" width="8.7109375" style="1" customWidth="1"/>
    <col min="2293" max="2293" width="14.140625" style="1" customWidth="1"/>
    <col min="2294" max="2294" width="17.28515625" style="1" customWidth="1"/>
    <col min="2295" max="2295" width="24.85546875" style="1" bestFit="1" customWidth="1"/>
    <col min="2296" max="2296" width="19" style="1" bestFit="1" customWidth="1"/>
    <col min="2297" max="2545" width="11.42578125" style="1"/>
    <col min="2546" max="2546" width="4.28515625" style="1" customWidth="1"/>
    <col min="2547" max="2547" width="74.7109375" style="1" customWidth="1"/>
    <col min="2548" max="2548" width="8.7109375" style="1" customWidth="1"/>
    <col min="2549" max="2549" width="14.140625" style="1" customWidth="1"/>
    <col min="2550" max="2550" width="17.28515625" style="1" customWidth="1"/>
    <col min="2551" max="2551" width="24.85546875" style="1" bestFit="1" customWidth="1"/>
    <col min="2552" max="2552" width="19" style="1" bestFit="1" customWidth="1"/>
    <col min="2553" max="2801" width="11.42578125" style="1"/>
    <col min="2802" max="2802" width="4.28515625" style="1" customWidth="1"/>
    <col min="2803" max="2803" width="74.7109375" style="1" customWidth="1"/>
    <col min="2804" max="2804" width="8.7109375" style="1" customWidth="1"/>
    <col min="2805" max="2805" width="14.140625" style="1" customWidth="1"/>
    <col min="2806" max="2806" width="17.28515625" style="1" customWidth="1"/>
    <col min="2807" max="2807" width="24.85546875" style="1" bestFit="1" customWidth="1"/>
    <col min="2808" max="2808" width="19" style="1" bestFit="1" customWidth="1"/>
    <col min="2809" max="3057" width="11.42578125" style="1"/>
    <col min="3058" max="3058" width="4.28515625" style="1" customWidth="1"/>
    <col min="3059" max="3059" width="74.7109375" style="1" customWidth="1"/>
    <col min="3060" max="3060" width="8.7109375" style="1" customWidth="1"/>
    <col min="3061" max="3061" width="14.140625" style="1" customWidth="1"/>
    <col min="3062" max="3062" width="17.28515625" style="1" customWidth="1"/>
    <col min="3063" max="3063" width="24.85546875" style="1" bestFit="1" customWidth="1"/>
    <col min="3064" max="3064" width="19" style="1" bestFit="1" customWidth="1"/>
    <col min="3065" max="3313" width="11.42578125" style="1"/>
    <col min="3314" max="3314" width="4.28515625" style="1" customWidth="1"/>
    <col min="3315" max="3315" width="74.7109375" style="1" customWidth="1"/>
    <col min="3316" max="3316" width="8.7109375" style="1" customWidth="1"/>
    <col min="3317" max="3317" width="14.140625" style="1" customWidth="1"/>
    <col min="3318" max="3318" width="17.28515625" style="1" customWidth="1"/>
    <col min="3319" max="3319" width="24.85546875" style="1" bestFit="1" customWidth="1"/>
    <col min="3320" max="3320" width="19" style="1" bestFit="1" customWidth="1"/>
    <col min="3321" max="3569" width="11.42578125" style="1"/>
    <col min="3570" max="3570" width="4.28515625" style="1" customWidth="1"/>
    <col min="3571" max="3571" width="74.7109375" style="1" customWidth="1"/>
    <col min="3572" max="3572" width="8.7109375" style="1" customWidth="1"/>
    <col min="3573" max="3573" width="14.140625" style="1" customWidth="1"/>
    <col min="3574" max="3574" width="17.28515625" style="1" customWidth="1"/>
    <col min="3575" max="3575" width="24.85546875" style="1" bestFit="1" customWidth="1"/>
    <col min="3576" max="3576" width="19" style="1" bestFit="1" customWidth="1"/>
    <col min="3577" max="3825" width="11.42578125" style="1"/>
    <col min="3826" max="3826" width="4.28515625" style="1" customWidth="1"/>
    <col min="3827" max="3827" width="74.7109375" style="1" customWidth="1"/>
    <col min="3828" max="3828" width="8.7109375" style="1" customWidth="1"/>
    <col min="3829" max="3829" width="14.140625" style="1" customWidth="1"/>
    <col min="3830" max="3830" width="17.28515625" style="1" customWidth="1"/>
    <col min="3831" max="3831" width="24.85546875" style="1" bestFit="1" customWidth="1"/>
    <col min="3832" max="3832" width="19" style="1" bestFit="1" customWidth="1"/>
    <col min="3833" max="4081" width="11.42578125" style="1"/>
    <col min="4082" max="4082" width="4.28515625" style="1" customWidth="1"/>
    <col min="4083" max="4083" width="74.7109375" style="1" customWidth="1"/>
    <col min="4084" max="4084" width="8.7109375" style="1" customWidth="1"/>
    <col min="4085" max="4085" width="14.140625" style="1" customWidth="1"/>
    <col min="4086" max="4086" width="17.28515625" style="1" customWidth="1"/>
    <col min="4087" max="4087" width="24.85546875" style="1" bestFit="1" customWidth="1"/>
    <col min="4088" max="4088" width="19" style="1" bestFit="1" customWidth="1"/>
    <col min="4089" max="4337" width="11.42578125" style="1"/>
    <col min="4338" max="4338" width="4.28515625" style="1" customWidth="1"/>
    <col min="4339" max="4339" width="74.7109375" style="1" customWidth="1"/>
    <col min="4340" max="4340" width="8.7109375" style="1" customWidth="1"/>
    <col min="4341" max="4341" width="14.140625" style="1" customWidth="1"/>
    <col min="4342" max="4342" width="17.28515625" style="1" customWidth="1"/>
    <col min="4343" max="4343" width="24.85546875" style="1" bestFit="1" customWidth="1"/>
    <col min="4344" max="4344" width="19" style="1" bestFit="1" customWidth="1"/>
    <col min="4345" max="4593" width="11.42578125" style="1"/>
    <col min="4594" max="4594" width="4.28515625" style="1" customWidth="1"/>
    <col min="4595" max="4595" width="74.7109375" style="1" customWidth="1"/>
    <col min="4596" max="4596" width="8.7109375" style="1" customWidth="1"/>
    <col min="4597" max="4597" width="14.140625" style="1" customWidth="1"/>
    <col min="4598" max="4598" width="17.28515625" style="1" customWidth="1"/>
    <col min="4599" max="4599" width="24.85546875" style="1" bestFit="1" customWidth="1"/>
    <col min="4600" max="4600" width="19" style="1" bestFit="1" customWidth="1"/>
    <col min="4601" max="4849" width="11.42578125" style="1"/>
    <col min="4850" max="4850" width="4.28515625" style="1" customWidth="1"/>
    <col min="4851" max="4851" width="74.7109375" style="1" customWidth="1"/>
    <col min="4852" max="4852" width="8.7109375" style="1" customWidth="1"/>
    <col min="4853" max="4853" width="14.140625" style="1" customWidth="1"/>
    <col min="4854" max="4854" width="17.28515625" style="1" customWidth="1"/>
    <col min="4855" max="4855" width="24.85546875" style="1" bestFit="1" customWidth="1"/>
    <col min="4856" max="4856" width="19" style="1" bestFit="1" customWidth="1"/>
    <col min="4857" max="5105" width="11.42578125" style="1"/>
    <col min="5106" max="5106" width="4.28515625" style="1" customWidth="1"/>
    <col min="5107" max="5107" width="74.7109375" style="1" customWidth="1"/>
    <col min="5108" max="5108" width="8.7109375" style="1" customWidth="1"/>
    <col min="5109" max="5109" width="14.140625" style="1" customWidth="1"/>
    <col min="5110" max="5110" width="17.28515625" style="1" customWidth="1"/>
    <col min="5111" max="5111" width="24.85546875" style="1" bestFit="1" customWidth="1"/>
    <col min="5112" max="5112" width="19" style="1" bestFit="1" customWidth="1"/>
    <col min="5113" max="5361" width="11.42578125" style="1"/>
    <col min="5362" max="5362" width="4.28515625" style="1" customWidth="1"/>
    <col min="5363" max="5363" width="74.7109375" style="1" customWidth="1"/>
    <col min="5364" max="5364" width="8.7109375" style="1" customWidth="1"/>
    <col min="5365" max="5365" width="14.140625" style="1" customWidth="1"/>
    <col min="5366" max="5366" width="17.28515625" style="1" customWidth="1"/>
    <col min="5367" max="5367" width="24.85546875" style="1" bestFit="1" customWidth="1"/>
    <col min="5368" max="5368" width="19" style="1" bestFit="1" customWidth="1"/>
    <col min="5369" max="5617" width="11.42578125" style="1"/>
    <col min="5618" max="5618" width="4.28515625" style="1" customWidth="1"/>
    <col min="5619" max="5619" width="74.7109375" style="1" customWidth="1"/>
    <col min="5620" max="5620" width="8.7109375" style="1" customWidth="1"/>
    <col min="5621" max="5621" width="14.140625" style="1" customWidth="1"/>
    <col min="5622" max="5622" width="17.28515625" style="1" customWidth="1"/>
    <col min="5623" max="5623" width="24.85546875" style="1" bestFit="1" customWidth="1"/>
    <col min="5624" max="5624" width="19" style="1" bestFit="1" customWidth="1"/>
    <col min="5625" max="5873" width="11.42578125" style="1"/>
    <col min="5874" max="5874" width="4.28515625" style="1" customWidth="1"/>
    <col min="5875" max="5875" width="74.7109375" style="1" customWidth="1"/>
    <col min="5876" max="5876" width="8.7109375" style="1" customWidth="1"/>
    <col min="5877" max="5877" width="14.140625" style="1" customWidth="1"/>
    <col min="5878" max="5878" width="17.28515625" style="1" customWidth="1"/>
    <col min="5879" max="5879" width="24.85546875" style="1" bestFit="1" customWidth="1"/>
    <col min="5880" max="5880" width="19" style="1" bestFit="1" customWidth="1"/>
    <col min="5881" max="6129" width="11.42578125" style="1"/>
    <col min="6130" max="6130" width="4.28515625" style="1" customWidth="1"/>
    <col min="6131" max="6131" width="74.7109375" style="1" customWidth="1"/>
    <col min="6132" max="6132" width="8.7109375" style="1" customWidth="1"/>
    <col min="6133" max="6133" width="14.140625" style="1" customWidth="1"/>
    <col min="6134" max="6134" width="17.28515625" style="1" customWidth="1"/>
    <col min="6135" max="6135" width="24.85546875" style="1" bestFit="1" customWidth="1"/>
    <col min="6136" max="6136" width="19" style="1" bestFit="1" customWidth="1"/>
    <col min="6137" max="6385" width="11.42578125" style="1"/>
    <col min="6386" max="6386" width="4.28515625" style="1" customWidth="1"/>
    <col min="6387" max="6387" width="74.7109375" style="1" customWidth="1"/>
    <col min="6388" max="6388" width="8.7109375" style="1" customWidth="1"/>
    <col min="6389" max="6389" width="14.140625" style="1" customWidth="1"/>
    <col min="6390" max="6390" width="17.28515625" style="1" customWidth="1"/>
    <col min="6391" max="6391" width="24.85546875" style="1" bestFit="1" customWidth="1"/>
    <col min="6392" max="6392" width="19" style="1" bestFit="1" customWidth="1"/>
    <col min="6393" max="6641" width="11.42578125" style="1"/>
    <col min="6642" max="6642" width="4.28515625" style="1" customWidth="1"/>
    <col min="6643" max="6643" width="74.7109375" style="1" customWidth="1"/>
    <col min="6644" max="6644" width="8.7109375" style="1" customWidth="1"/>
    <col min="6645" max="6645" width="14.140625" style="1" customWidth="1"/>
    <col min="6646" max="6646" width="17.28515625" style="1" customWidth="1"/>
    <col min="6647" max="6647" width="24.85546875" style="1" bestFit="1" customWidth="1"/>
    <col min="6648" max="6648" width="19" style="1" bestFit="1" customWidth="1"/>
    <col min="6649" max="6897" width="11.42578125" style="1"/>
    <col min="6898" max="6898" width="4.28515625" style="1" customWidth="1"/>
    <col min="6899" max="6899" width="74.7109375" style="1" customWidth="1"/>
    <col min="6900" max="6900" width="8.7109375" style="1" customWidth="1"/>
    <col min="6901" max="6901" width="14.140625" style="1" customWidth="1"/>
    <col min="6902" max="6902" width="17.28515625" style="1" customWidth="1"/>
    <col min="6903" max="6903" width="24.85546875" style="1" bestFit="1" customWidth="1"/>
    <col min="6904" max="6904" width="19" style="1" bestFit="1" customWidth="1"/>
    <col min="6905" max="7153" width="11.42578125" style="1"/>
    <col min="7154" max="7154" width="4.28515625" style="1" customWidth="1"/>
    <col min="7155" max="7155" width="74.7109375" style="1" customWidth="1"/>
    <col min="7156" max="7156" width="8.7109375" style="1" customWidth="1"/>
    <col min="7157" max="7157" width="14.140625" style="1" customWidth="1"/>
    <col min="7158" max="7158" width="17.28515625" style="1" customWidth="1"/>
    <col min="7159" max="7159" width="24.85546875" style="1" bestFit="1" customWidth="1"/>
    <col min="7160" max="7160" width="19" style="1" bestFit="1" customWidth="1"/>
    <col min="7161" max="7409" width="11.42578125" style="1"/>
    <col min="7410" max="7410" width="4.28515625" style="1" customWidth="1"/>
    <col min="7411" max="7411" width="74.7109375" style="1" customWidth="1"/>
    <col min="7412" max="7412" width="8.7109375" style="1" customWidth="1"/>
    <col min="7413" max="7413" width="14.140625" style="1" customWidth="1"/>
    <col min="7414" max="7414" width="17.28515625" style="1" customWidth="1"/>
    <col min="7415" max="7415" width="24.85546875" style="1" bestFit="1" customWidth="1"/>
    <col min="7416" max="7416" width="19" style="1" bestFit="1" customWidth="1"/>
    <col min="7417" max="7665" width="11.42578125" style="1"/>
    <col min="7666" max="7666" width="4.28515625" style="1" customWidth="1"/>
    <col min="7667" max="7667" width="74.7109375" style="1" customWidth="1"/>
    <col min="7668" max="7668" width="8.7109375" style="1" customWidth="1"/>
    <col min="7669" max="7669" width="14.140625" style="1" customWidth="1"/>
    <col min="7670" max="7670" width="17.28515625" style="1" customWidth="1"/>
    <col min="7671" max="7671" width="24.85546875" style="1" bestFit="1" customWidth="1"/>
    <col min="7672" max="7672" width="19" style="1" bestFit="1" customWidth="1"/>
    <col min="7673" max="7921" width="11.42578125" style="1"/>
    <col min="7922" max="7922" width="4.28515625" style="1" customWidth="1"/>
    <col min="7923" max="7923" width="74.7109375" style="1" customWidth="1"/>
    <col min="7924" max="7924" width="8.7109375" style="1" customWidth="1"/>
    <col min="7925" max="7925" width="14.140625" style="1" customWidth="1"/>
    <col min="7926" max="7926" width="17.28515625" style="1" customWidth="1"/>
    <col min="7927" max="7927" width="24.85546875" style="1" bestFit="1" customWidth="1"/>
    <col min="7928" max="7928" width="19" style="1" bestFit="1" customWidth="1"/>
    <col min="7929" max="8177" width="11.42578125" style="1"/>
    <col min="8178" max="8178" width="4.28515625" style="1" customWidth="1"/>
    <col min="8179" max="8179" width="74.7109375" style="1" customWidth="1"/>
    <col min="8180" max="8180" width="8.7109375" style="1" customWidth="1"/>
    <col min="8181" max="8181" width="14.140625" style="1" customWidth="1"/>
    <col min="8182" max="8182" width="17.28515625" style="1" customWidth="1"/>
    <col min="8183" max="8183" width="24.85546875" style="1" bestFit="1" customWidth="1"/>
    <col min="8184" max="8184" width="19" style="1" bestFit="1" customWidth="1"/>
    <col min="8185" max="8433" width="11.42578125" style="1"/>
    <col min="8434" max="8434" width="4.28515625" style="1" customWidth="1"/>
    <col min="8435" max="8435" width="74.7109375" style="1" customWidth="1"/>
    <col min="8436" max="8436" width="8.7109375" style="1" customWidth="1"/>
    <col min="8437" max="8437" width="14.140625" style="1" customWidth="1"/>
    <col min="8438" max="8438" width="17.28515625" style="1" customWidth="1"/>
    <col min="8439" max="8439" width="24.85546875" style="1" bestFit="1" customWidth="1"/>
    <col min="8440" max="8440" width="19" style="1" bestFit="1" customWidth="1"/>
    <col min="8441" max="8689" width="11.42578125" style="1"/>
    <col min="8690" max="8690" width="4.28515625" style="1" customWidth="1"/>
    <col min="8691" max="8691" width="74.7109375" style="1" customWidth="1"/>
    <col min="8692" max="8692" width="8.7109375" style="1" customWidth="1"/>
    <col min="8693" max="8693" width="14.140625" style="1" customWidth="1"/>
    <col min="8694" max="8694" width="17.28515625" style="1" customWidth="1"/>
    <col min="8695" max="8695" width="24.85546875" style="1" bestFit="1" customWidth="1"/>
    <col min="8696" max="8696" width="19" style="1" bestFit="1" customWidth="1"/>
    <col min="8697" max="8945" width="11.42578125" style="1"/>
    <col min="8946" max="8946" width="4.28515625" style="1" customWidth="1"/>
    <col min="8947" max="8947" width="74.7109375" style="1" customWidth="1"/>
    <col min="8948" max="8948" width="8.7109375" style="1" customWidth="1"/>
    <col min="8949" max="8949" width="14.140625" style="1" customWidth="1"/>
    <col min="8950" max="8950" width="17.28515625" style="1" customWidth="1"/>
    <col min="8951" max="8951" width="24.85546875" style="1" bestFit="1" customWidth="1"/>
    <col min="8952" max="8952" width="19" style="1" bestFit="1" customWidth="1"/>
    <col min="8953" max="9201" width="11.42578125" style="1"/>
    <col min="9202" max="9202" width="4.28515625" style="1" customWidth="1"/>
    <col min="9203" max="9203" width="74.7109375" style="1" customWidth="1"/>
    <col min="9204" max="9204" width="8.7109375" style="1" customWidth="1"/>
    <col min="9205" max="9205" width="14.140625" style="1" customWidth="1"/>
    <col min="9206" max="9206" width="17.28515625" style="1" customWidth="1"/>
    <col min="9207" max="9207" width="24.85546875" style="1" bestFit="1" customWidth="1"/>
    <col min="9208" max="9208" width="19" style="1" bestFit="1" customWidth="1"/>
    <col min="9209" max="9457" width="11.42578125" style="1"/>
    <col min="9458" max="9458" width="4.28515625" style="1" customWidth="1"/>
    <col min="9459" max="9459" width="74.7109375" style="1" customWidth="1"/>
    <col min="9460" max="9460" width="8.7109375" style="1" customWidth="1"/>
    <col min="9461" max="9461" width="14.140625" style="1" customWidth="1"/>
    <col min="9462" max="9462" width="17.28515625" style="1" customWidth="1"/>
    <col min="9463" max="9463" width="24.85546875" style="1" bestFit="1" customWidth="1"/>
    <col min="9464" max="9464" width="19" style="1" bestFit="1" customWidth="1"/>
    <col min="9465" max="9713" width="11.42578125" style="1"/>
    <col min="9714" max="9714" width="4.28515625" style="1" customWidth="1"/>
    <col min="9715" max="9715" width="74.7109375" style="1" customWidth="1"/>
    <col min="9716" max="9716" width="8.7109375" style="1" customWidth="1"/>
    <col min="9717" max="9717" width="14.140625" style="1" customWidth="1"/>
    <col min="9718" max="9718" width="17.28515625" style="1" customWidth="1"/>
    <col min="9719" max="9719" width="24.85546875" style="1" bestFit="1" customWidth="1"/>
    <col min="9720" max="9720" width="19" style="1" bestFit="1" customWidth="1"/>
    <col min="9721" max="9969" width="11.42578125" style="1"/>
    <col min="9970" max="9970" width="4.28515625" style="1" customWidth="1"/>
    <col min="9971" max="9971" width="74.7109375" style="1" customWidth="1"/>
    <col min="9972" max="9972" width="8.7109375" style="1" customWidth="1"/>
    <col min="9973" max="9973" width="14.140625" style="1" customWidth="1"/>
    <col min="9974" max="9974" width="17.28515625" style="1" customWidth="1"/>
    <col min="9975" max="9975" width="24.85546875" style="1" bestFit="1" customWidth="1"/>
    <col min="9976" max="9976" width="19" style="1" bestFit="1" customWidth="1"/>
    <col min="9977" max="10225" width="11.42578125" style="1"/>
    <col min="10226" max="10226" width="4.28515625" style="1" customWidth="1"/>
    <col min="10227" max="10227" width="74.7109375" style="1" customWidth="1"/>
    <col min="10228" max="10228" width="8.7109375" style="1" customWidth="1"/>
    <col min="10229" max="10229" width="14.140625" style="1" customWidth="1"/>
    <col min="10230" max="10230" width="17.28515625" style="1" customWidth="1"/>
    <col min="10231" max="10231" width="24.85546875" style="1" bestFit="1" customWidth="1"/>
    <col min="10232" max="10232" width="19" style="1" bestFit="1" customWidth="1"/>
    <col min="10233" max="10481" width="11.42578125" style="1"/>
    <col min="10482" max="10482" width="4.28515625" style="1" customWidth="1"/>
    <col min="10483" max="10483" width="74.7109375" style="1" customWidth="1"/>
    <col min="10484" max="10484" width="8.7109375" style="1" customWidth="1"/>
    <col min="10485" max="10485" width="14.140625" style="1" customWidth="1"/>
    <col min="10486" max="10486" width="17.28515625" style="1" customWidth="1"/>
    <col min="10487" max="10487" width="24.85546875" style="1" bestFit="1" customWidth="1"/>
    <col min="10488" max="10488" width="19" style="1" bestFit="1" customWidth="1"/>
    <col min="10489" max="10737" width="11.42578125" style="1"/>
    <col min="10738" max="10738" width="4.28515625" style="1" customWidth="1"/>
    <col min="10739" max="10739" width="74.7109375" style="1" customWidth="1"/>
    <col min="10740" max="10740" width="8.7109375" style="1" customWidth="1"/>
    <col min="10741" max="10741" width="14.140625" style="1" customWidth="1"/>
    <col min="10742" max="10742" width="17.28515625" style="1" customWidth="1"/>
    <col min="10743" max="10743" width="24.85546875" style="1" bestFit="1" customWidth="1"/>
    <col min="10744" max="10744" width="19" style="1" bestFit="1" customWidth="1"/>
    <col min="10745" max="10993" width="11.42578125" style="1"/>
    <col min="10994" max="10994" width="4.28515625" style="1" customWidth="1"/>
    <col min="10995" max="10995" width="74.7109375" style="1" customWidth="1"/>
    <col min="10996" max="10996" width="8.7109375" style="1" customWidth="1"/>
    <col min="10997" max="10997" width="14.140625" style="1" customWidth="1"/>
    <col min="10998" max="10998" width="17.28515625" style="1" customWidth="1"/>
    <col min="10999" max="10999" width="24.85546875" style="1" bestFit="1" customWidth="1"/>
    <col min="11000" max="11000" width="19" style="1" bestFit="1" customWidth="1"/>
    <col min="11001" max="11249" width="11.42578125" style="1"/>
    <col min="11250" max="11250" width="4.28515625" style="1" customWidth="1"/>
    <col min="11251" max="11251" width="74.7109375" style="1" customWidth="1"/>
    <col min="11252" max="11252" width="8.7109375" style="1" customWidth="1"/>
    <col min="11253" max="11253" width="14.140625" style="1" customWidth="1"/>
    <col min="11254" max="11254" width="17.28515625" style="1" customWidth="1"/>
    <col min="11255" max="11255" width="24.85546875" style="1" bestFit="1" customWidth="1"/>
    <col min="11256" max="11256" width="19" style="1" bestFit="1" customWidth="1"/>
    <col min="11257" max="11505" width="11.42578125" style="1"/>
    <col min="11506" max="11506" width="4.28515625" style="1" customWidth="1"/>
    <col min="11507" max="11507" width="74.7109375" style="1" customWidth="1"/>
    <col min="11508" max="11508" width="8.7109375" style="1" customWidth="1"/>
    <col min="11509" max="11509" width="14.140625" style="1" customWidth="1"/>
    <col min="11510" max="11510" width="17.28515625" style="1" customWidth="1"/>
    <col min="11511" max="11511" width="24.85546875" style="1" bestFit="1" customWidth="1"/>
    <col min="11512" max="11512" width="19" style="1" bestFit="1" customWidth="1"/>
    <col min="11513" max="11761" width="11.42578125" style="1"/>
    <col min="11762" max="11762" width="4.28515625" style="1" customWidth="1"/>
    <col min="11763" max="11763" width="74.7109375" style="1" customWidth="1"/>
    <col min="11764" max="11764" width="8.7109375" style="1" customWidth="1"/>
    <col min="11765" max="11765" width="14.140625" style="1" customWidth="1"/>
    <col min="11766" max="11766" width="17.28515625" style="1" customWidth="1"/>
    <col min="11767" max="11767" width="24.85546875" style="1" bestFit="1" customWidth="1"/>
    <col min="11768" max="11768" width="19" style="1" bestFit="1" customWidth="1"/>
    <col min="11769" max="12017" width="11.42578125" style="1"/>
    <col min="12018" max="12018" width="4.28515625" style="1" customWidth="1"/>
    <col min="12019" max="12019" width="74.7109375" style="1" customWidth="1"/>
    <col min="12020" max="12020" width="8.7109375" style="1" customWidth="1"/>
    <col min="12021" max="12021" width="14.140625" style="1" customWidth="1"/>
    <col min="12022" max="12022" width="17.28515625" style="1" customWidth="1"/>
    <col min="12023" max="12023" width="24.85546875" style="1" bestFit="1" customWidth="1"/>
    <col min="12024" max="12024" width="19" style="1" bestFit="1" customWidth="1"/>
    <col min="12025" max="12273" width="11.42578125" style="1"/>
    <col min="12274" max="12274" width="4.28515625" style="1" customWidth="1"/>
    <col min="12275" max="12275" width="74.7109375" style="1" customWidth="1"/>
    <col min="12276" max="12276" width="8.7109375" style="1" customWidth="1"/>
    <col min="12277" max="12277" width="14.140625" style="1" customWidth="1"/>
    <col min="12278" max="12278" width="17.28515625" style="1" customWidth="1"/>
    <col min="12279" max="12279" width="24.85546875" style="1" bestFit="1" customWidth="1"/>
    <col min="12280" max="12280" width="19" style="1" bestFit="1" customWidth="1"/>
    <col min="12281" max="12529" width="11.42578125" style="1"/>
    <col min="12530" max="12530" width="4.28515625" style="1" customWidth="1"/>
    <col min="12531" max="12531" width="74.7109375" style="1" customWidth="1"/>
    <col min="12532" max="12532" width="8.7109375" style="1" customWidth="1"/>
    <col min="12533" max="12533" width="14.140625" style="1" customWidth="1"/>
    <col min="12534" max="12534" width="17.28515625" style="1" customWidth="1"/>
    <col min="12535" max="12535" width="24.85546875" style="1" bestFit="1" customWidth="1"/>
    <col min="12536" max="12536" width="19" style="1" bestFit="1" customWidth="1"/>
    <col min="12537" max="12785" width="11.42578125" style="1"/>
    <col min="12786" max="12786" width="4.28515625" style="1" customWidth="1"/>
    <col min="12787" max="12787" width="74.7109375" style="1" customWidth="1"/>
    <col min="12788" max="12788" width="8.7109375" style="1" customWidth="1"/>
    <col min="12789" max="12789" width="14.140625" style="1" customWidth="1"/>
    <col min="12790" max="12790" width="17.28515625" style="1" customWidth="1"/>
    <col min="12791" max="12791" width="24.85546875" style="1" bestFit="1" customWidth="1"/>
    <col min="12792" max="12792" width="19" style="1" bestFit="1" customWidth="1"/>
    <col min="12793" max="13041" width="11.42578125" style="1"/>
    <col min="13042" max="13042" width="4.28515625" style="1" customWidth="1"/>
    <col min="13043" max="13043" width="74.7109375" style="1" customWidth="1"/>
    <col min="13044" max="13044" width="8.7109375" style="1" customWidth="1"/>
    <col min="13045" max="13045" width="14.140625" style="1" customWidth="1"/>
    <col min="13046" max="13046" width="17.28515625" style="1" customWidth="1"/>
    <col min="13047" max="13047" width="24.85546875" style="1" bestFit="1" customWidth="1"/>
    <col min="13048" max="13048" width="19" style="1" bestFit="1" customWidth="1"/>
    <col min="13049" max="13297" width="11.42578125" style="1"/>
    <col min="13298" max="13298" width="4.28515625" style="1" customWidth="1"/>
    <col min="13299" max="13299" width="74.7109375" style="1" customWidth="1"/>
    <col min="13300" max="13300" width="8.7109375" style="1" customWidth="1"/>
    <col min="13301" max="13301" width="14.140625" style="1" customWidth="1"/>
    <col min="13302" max="13302" width="17.28515625" style="1" customWidth="1"/>
    <col min="13303" max="13303" width="24.85546875" style="1" bestFit="1" customWidth="1"/>
    <col min="13304" max="13304" width="19" style="1" bestFit="1" customWidth="1"/>
    <col min="13305" max="13553" width="11.42578125" style="1"/>
    <col min="13554" max="13554" width="4.28515625" style="1" customWidth="1"/>
    <col min="13555" max="13555" width="74.7109375" style="1" customWidth="1"/>
    <col min="13556" max="13556" width="8.7109375" style="1" customWidth="1"/>
    <col min="13557" max="13557" width="14.140625" style="1" customWidth="1"/>
    <col min="13558" max="13558" width="17.28515625" style="1" customWidth="1"/>
    <col min="13559" max="13559" width="24.85546875" style="1" bestFit="1" customWidth="1"/>
    <col min="13560" max="13560" width="19" style="1" bestFit="1" customWidth="1"/>
    <col min="13561" max="13809" width="11.42578125" style="1"/>
    <col min="13810" max="13810" width="4.28515625" style="1" customWidth="1"/>
    <col min="13811" max="13811" width="74.7109375" style="1" customWidth="1"/>
    <col min="13812" max="13812" width="8.7109375" style="1" customWidth="1"/>
    <col min="13813" max="13813" width="14.140625" style="1" customWidth="1"/>
    <col min="13814" max="13814" width="17.28515625" style="1" customWidth="1"/>
    <col min="13815" max="13815" width="24.85546875" style="1" bestFit="1" customWidth="1"/>
    <col min="13816" max="13816" width="19" style="1" bestFit="1" customWidth="1"/>
    <col min="13817" max="14065" width="11.42578125" style="1"/>
    <col min="14066" max="14066" width="4.28515625" style="1" customWidth="1"/>
    <col min="14067" max="14067" width="74.7109375" style="1" customWidth="1"/>
    <col min="14068" max="14068" width="8.7109375" style="1" customWidth="1"/>
    <col min="14069" max="14069" width="14.140625" style="1" customWidth="1"/>
    <col min="14070" max="14070" width="17.28515625" style="1" customWidth="1"/>
    <col min="14071" max="14071" width="24.85546875" style="1" bestFit="1" customWidth="1"/>
    <col min="14072" max="14072" width="19" style="1" bestFit="1" customWidth="1"/>
    <col min="14073" max="14321" width="11.42578125" style="1"/>
    <col min="14322" max="14322" width="4.28515625" style="1" customWidth="1"/>
    <col min="14323" max="14323" width="74.7109375" style="1" customWidth="1"/>
    <col min="14324" max="14324" width="8.7109375" style="1" customWidth="1"/>
    <col min="14325" max="14325" width="14.140625" style="1" customWidth="1"/>
    <col min="14326" max="14326" width="17.28515625" style="1" customWidth="1"/>
    <col min="14327" max="14327" width="24.85546875" style="1" bestFit="1" customWidth="1"/>
    <col min="14328" max="14328" width="19" style="1" bestFit="1" customWidth="1"/>
    <col min="14329" max="14577" width="11.42578125" style="1"/>
    <col min="14578" max="14578" width="4.28515625" style="1" customWidth="1"/>
    <col min="14579" max="14579" width="74.7109375" style="1" customWidth="1"/>
    <col min="14580" max="14580" width="8.7109375" style="1" customWidth="1"/>
    <col min="14581" max="14581" width="14.140625" style="1" customWidth="1"/>
    <col min="14582" max="14582" width="17.28515625" style="1" customWidth="1"/>
    <col min="14583" max="14583" width="24.85546875" style="1" bestFit="1" customWidth="1"/>
    <col min="14584" max="14584" width="19" style="1" bestFit="1" customWidth="1"/>
    <col min="14585" max="14833" width="11.42578125" style="1"/>
    <col min="14834" max="14834" width="4.28515625" style="1" customWidth="1"/>
    <col min="14835" max="14835" width="74.7109375" style="1" customWidth="1"/>
    <col min="14836" max="14836" width="8.7109375" style="1" customWidth="1"/>
    <col min="14837" max="14837" width="14.140625" style="1" customWidth="1"/>
    <col min="14838" max="14838" width="17.28515625" style="1" customWidth="1"/>
    <col min="14839" max="14839" width="24.85546875" style="1" bestFit="1" customWidth="1"/>
    <col min="14840" max="14840" width="19" style="1" bestFit="1" customWidth="1"/>
    <col min="14841" max="15089" width="11.42578125" style="1"/>
    <col min="15090" max="15090" width="4.28515625" style="1" customWidth="1"/>
    <col min="15091" max="15091" width="74.7109375" style="1" customWidth="1"/>
    <col min="15092" max="15092" width="8.7109375" style="1" customWidth="1"/>
    <col min="15093" max="15093" width="14.140625" style="1" customWidth="1"/>
    <col min="15094" max="15094" width="17.28515625" style="1" customWidth="1"/>
    <col min="15095" max="15095" width="24.85546875" style="1" bestFit="1" customWidth="1"/>
    <col min="15096" max="15096" width="19" style="1" bestFit="1" customWidth="1"/>
    <col min="15097" max="15345" width="11.42578125" style="1"/>
    <col min="15346" max="15346" width="4.28515625" style="1" customWidth="1"/>
    <col min="15347" max="15347" width="74.7109375" style="1" customWidth="1"/>
    <col min="15348" max="15348" width="8.7109375" style="1" customWidth="1"/>
    <col min="15349" max="15349" width="14.140625" style="1" customWidth="1"/>
    <col min="15350" max="15350" width="17.28515625" style="1" customWidth="1"/>
    <col min="15351" max="15351" width="24.85546875" style="1" bestFit="1" customWidth="1"/>
    <col min="15352" max="15352" width="19" style="1" bestFit="1" customWidth="1"/>
    <col min="15353" max="15601" width="11.42578125" style="1"/>
    <col min="15602" max="15602" width="4.28515625" style="1" customWidth="1"/>
    <col min="15603" max="15603" width="74.7109375" style="1" customWidth="1"/>
    <col min="15604" max="15604" width="8.7109375" style="1" customWidth="1"/>
    <col min="15605" max="15605" width="14.140625" style="1" customWidth="1"/>
    <col min="15606" max="15606" width="17.28515625" style="1" customWidth="1"/>
    <col min="15607" max="15607" width="24.85546875" style="1" bestFit="1" customWidth="1"/>
    <col min="15608" max="15608" width="19" style="1" bestFit="1" customWidth="1"/>
    <col min="15609" max="15857" width="11.42578125" style="1"/>
    <col min="15858" max="15858" width="4.28515625" style="1" customWidth="1"/>
    <col min="15859" max="15859" width="74.7109375" style="1" customWidth="1"/>
    <col min="15860" max="15860" width="8.7109375" style="1" customWidth="1"/>
    <col min="15861" max="15861" width="14.140625" style="1" customWidth="1"/>
    <col min="15862" max="15862" width="17.28515625" style="1" customWidth="1"/>
    <col min="15863" max="15863" width="24.85546875" style="1" bestFit="1" customWidth="1"/>
    <col min="15864" max="15864" width="19" style="1" bestFit="1" customWidth="1"/>
    <col min="15865" max="16113" width="11.42578125" style="1"/>
    <col min="16114" max="16114" width="4.28515625" style="1" customWidth="1"/>
    <col min="16115" max="16115" width="74.7109375" style="1" customWidth="1"/>
    <col min="16116" max="16116" width="8.7109375" style="1" customWidth="1"/>
    <col min="16117" max="16117" width="14.140625" style="1" customWidth="1"/>
    <col min="16118" max="16118" width="17.28515625" style="1" customWidth="1"/>
    <col min="16119" max="16119" width="24.85546875" style="1" bestFit="1" customWidth="1"/>
    <col min="16120" max="16120" width="19" style="1" bestFit="1" customWidth="1"/>
    <col min="16121" max="16384" width="11.42578125" style="1"/>
  </cols>
  <sheetData>
    <row r="1" spans="1:200" ht="20.25" x14ac:dyDescent="0.25">
      <c r="A1" s="351" t="s">
        <v>98</v>
      </c>
      <c r="B1" s="351"/>
      <c r="C1" s="351"/>
      <c r="D1" s="351"/>
      <c r="E1" s="351"/>
      <c r="F1" s="351"/>
      <c r="G1" s="45"/>
      <c r="GQ1" s="23"/>
      <c r="GR1" s="23"/>
    </row>
    <row r="2" spans="1:200" ht="20.25" x14ac:dyDescent="0.25">
      <c r="A2" s="352" t="s">
        <v>99</v>
      </c>
      <c r="B2" s="352"/>
      <c r="C2" s="352"/>
      <c r="D2" s="352"/>
      <c r="E2" s="352"/>
      <c r="F2" s="352"/>
      <c r="G2" s="46"/>
      <c r="GQ2" s="23"/>
      <c r="GR2" s="23"/>
    </row>
    <row r="3" spans="1:200" ht="18" x14ac:dyDescent="0.25">
      <c r="A3" s="48"/>
      <c r="B3" s="41"/>
      <c r="C3" s="41"/>
      <c r="D3" s="41"/>
      <c r="E3" s="41"/>
      <c r="F3" s="41"/>
      <c r="G3" s="41"/>
      <c r="GQ3" s="23"/>
      <c r="GR3" s="23"/>
    </row>
    <row r="4" spans="1:200" ht="18" x14ac:dyDescent="0.25">
      <c r="A4" s="353" t="s">
        <v>119</v>
      </c>
      <c r="B4" s="353"/>
      <c r="C4" s="353"/>
      <c r="D4" s="353"/>
      <c r="E4" s="353"/>
      <c r="F4" s="353"/>
      <c r="G4" s="47"/>
      <c r="GQ4" s="23"/>
      <c r="GR4" s="23"/>
    </row>
    <row r="5" spans="1:200" ht="15.75" x14ac:dyDescent="0.25">
      <c r="A5" s="42"/>
      <c r="B5" s="43"/>
      <c r="C5" s="43"/>
      <c r="D5" s="43"/>
      <c r="E5" s="43"/>
      <c r="F5" s="43"/>
      <c r="G5" s="43"/>
      <c r="GQ5" s="23"/>
      <c r="GR5" s="23"/>
    </row>
    <row r="6" spans="1:200" ht="90" customHeight="1" x14ac:dyDescent="0.25">
      <c r="A6" s="354" t="s">
        <v>101</v>
      </c>
      <c r="B6" s="354"/>
      <c r="C6" s="354"/>
      <c r="D6" s="354"/>
      <c r="E6" s="354"/>
      <c r="F6" s="354"/>
      <c r="GQ6" s="23"/>
      <c r="GR6" s="23"/>
    </row>
    <row r="7" spans="1:200" ht="18" x14ac:dyDescent="0.25">
      <c r="A7" s="44"/>
      <c r="B7" s="41"/>
      <c r="C7" s="41"/>
      <c r="D7" s="41"/>
      <c r="E7" s="41"/>
      <c r="F7" s="41"/>
      <c r="G7" s="41"/>
      <c r="GQ7" s="23"/>
      <c r="GR7" s="23"/>
    </row>
    <row r="8" spans="1:200" ht="18" x14ac:dyDescent="0.25">
      <c r="A8" s="355" t="s">
        <v>100</v>
      </c>
      <c r="B8" s="355"/>
      <c r="C8" s="355"/>
      <c r="D8" s="355"/>
      <c r="E8" s="355"/>
      <c r="F8" s="355"/>
      <c r="G8" s="44"/>
      <c r="GQ8" s="23"/>
      <c r="GR8" s="23"/>
    </row>
    <row r="9" spans="1:200" ht="18" x14ac:dyDescent="0.25">
      <c r="A9" s="48"/>
      <c r="B9" s="48"/>
      <c r="C9" s="48"/>
      <c r="D9" s="48"/>
      <c r="E9" s="48"/>
      <c r="F9" s="48"/>
      <c r="G9" s="44"/>
      <c r="GQ9" s="23"/>
      <c r="GR9" s="23"/>
    </row>
    <row r="10" spans="1:200" ht="27" customHeight="1" x14ac:dyDescent="0.25">
      <c r="A10" s="347" t="s">
        <v>107</v>
      </c>
      <c r="B10" s="347"/>
      <c r="C10" s="347"/>
      <c r="D10" s="347"/>
      <c r="E10" s="347"/>
      <c r="F10" s="347"/>
      <c r="GQ10" s="23"/>
      <c r="GR10" s="23"/>
    </row>
    <row r="11" spans="1:200" ht="12.75" x14ac:dyDescent="0.25">
      <c r="A11" s="356"/>
      <c r="B11" s="356"/>
      <c r="C11" s="356"/>
      <c r="D11" s="356"/>
      <c r="E11" s="356"/>
      <c r="F11" s="356"/>
      <c r="GQ11" s="23"/>
      <c r="GR11" s="23"/>
    </row>
    <row r="12" spans="1:200" ht="13.5" customHeight="1" x14ac:dyDescent="0.25">
      <c r="A12" s="357" t="s">
        <v>0</v>
      </c>
      <c r="B12" s="348" t="s">
        <v>1</v>
      </c>
      <c r="C12" s="359" t="s">
        <v>2</v>
      </c>
      <c r="D12" s="360" t="s">
        <v>3</v>
      </c>
      <c r="E12" s="359" t="s">
        <v>110</v>
      </c>
      <c r="F12" s="360" t="s">
        <v>4</v>
      </c>
      <c r="GQ12" s="23"/>
      <c r="GR12" s="23"/>
    </row>
    <row r="13" spans="1:200" ht="12.75" x14ac:dyDescent="0.25">
      <c r="A13" s="358"/>
      <c r="B13" s="349"/>
      <c r="C13" s="359"/>
      <c r="D13" s="360" t="s">
        <v>3</v>
      </c>
      <c r="E13" s="361"/>
      <c r="F13" s="360"/>
      <c r="GQ13" s="23"/>
      <c r="GR13" s="23"/>
    </row>
    <row r="14" spans="1:200" ht="12.75" x14ac:dyDescent="0.25">
      <c r="A14" s="358"/>
      <c r="B14" s="350"/>
      <c r="C14" s="359"/>
      <c r="D14" s="360"/>
      <c r="E14" s="361"/>
      <c r="F14" s="360"/>
      <c r="GQ14" s="23"/>
      <c r="GR14" s="23"/>
    </row>
    <row r="15" spans="1:200" ht="12.75" x14ac:dyDescent="0.25">
      <c r="A15" s="339" t="s">
        <v>108</v>
      </c>
      <c r="B15" s="340"/>
      <c r="C15" s="340"/>
      <c r="D15" s="340"/>
      <c r="E15" s="340"/>
      <c r="F15" s="341"/>
    </row>
    <row r="16" spans="1:200" ht="12.75" x14ac:dyDescent="0.25">
      <c r="A16" s="25">
        <v>1</v>
      </c>
      <c r="B16" s="56" t="s">
        <v>111</v>
      </c>
      <c r="C16" s="3" t="s">
        <v>109</v>
      </c>
      <c r="D16" s="4">
        <v>1</v>
      </c>
      <c r="E16" s="5">
        <v>200000000</v>
      </c>
      <c r="F16" s="5">
        <f t="shared" ref="F16:F27" si="0">ROUND(D16*E16,0)</f>
        <v>200000000</v>
      </c>
      <c r="G16" s="50" t="s">
        <v>112</v>
      </c>
    </row>
    <row r="17" spans="1:7" ht="12.75" x14ac:dyDescent="0.25">
      <c r="A17" s="49">
        <v>2</v>
      </c>
      <c r="B17" s="56" t="s">
        <v>118</v>
      </c>
      <c r="C17" s="3" t="s">
        <v>149</v>
      </c>
      <c r="D17" s="4">
        <v>30000</v>
      </c>
      <c r="E17" s="5">
        <v>73651</v>
      </c>
      <c r="F17" s="5">
        <f t="shared" si="0"/>
        <v>2209530000</v>
      </c>
      <c r="G17" s="50"/>
    </row>
    <row r="18" spans="1:7" ht="12.75" x14ac:dyDescent="0.25">
      <c r="A18" s="25">
        <v>3</v>
      </c>
      <c r="B18" s="56" t="s">
        <v>6</v>
      </c>
      <c r="C18" s="3" t="s">
        <v>109</v>
      </c>
      <c r="D18" s="4">
        <v>1</v>
      </c>
      <c r="E18" s="5">
        <v>20000000</v>
      </c>
      <c r="F18" s="5">
        <f t="shared" si="0"/>
        <v>20000000</v>
      </c>
      <c r="G18" s="50" t="s">
        <v>112</v>
      </c>
    </row>
    <row r="19" spans="1:7" ht="12.75" x14ac:dyDescent="0.25">
      <c r="A19" s="49">
        <v>4</v>
      </c>
      <c r="B19" s="56" t="s">
        <v>7</v>
      </c>
      <c r="C19" s="3" t="s">
        <v>109</v>
      </c>
      <c r="D19" s="4">
        <v>1</v>
      </c>
      <c r="E19" s="5">
        <v>1900000</v>
      </c>
      <c r="F19" s="5">
        <f t="shared" si="0"/>
        <v>1900000</v>
      </c>
      <c r="G19" s="50"/>
    </row>
    <row r="20" spans="1:7" ht="25.5" x14ac:dyDescent="0.25">
      <c r="A20" s="49">
        <v>5</v>
      </c>
      <c r="B20" s="56" t="s">
        <v>150</v>
      </c>
      <c r="C20" s="3" t="s">
        <v>149</v>
      </c>
      <c r="D20" s="4">
        <v>20000</v>
      </c>
      <c r="E20" s="5">
        <v>165000</v>
      </c>
      <c r="F20" s="5">
        <f t="shared" si="0"/>
        <v>3300000000</v>
      </c>
      <c r="G20" s="50"/>
    </row>
    <row r="21" spans="1:7" ht="12.75" x14ac:dyDescent="0.25">
      <c r="A21" s="49">
        <v>6</v>
      </c>
      <c r="B21" s="56" t="s">
        <v>113</v>
      </c>
      <c r="C21" s="6" t="s">
        <v>114</v>
      </c>
      <c r="D21" s="24">
        <v>60000</v>
      </c>
      <c r="E21" s="5">
        <v>328284</v>
      </c>
      <c r="F21" s="5">
        <f t="shared" si="0"/>
        <v>19697040000</v>
      </c>
      <c r="G21" s="50"/>
    </row>
    <row r="22" spans="1:7" ht="12.75" x14ac:dyDescent="0.25">
      <c r="A22" s="49">
        <v>7</v>
      </c>
      <c r="B22" s="56" t="s">
        <v>115</v>
      </c>
      <c r="C22" s="6" t="s">
        <v>116</v>
      </c>
      <c r="D22" s="24">
        <v>45000</v>
      </c>
      <c r="E22" s="5">
        <v>162362.75</v>
      </c>
      <c r="F22" s="5">
        <f t="shared" si="0"/>
        <v>7306323750</v>
      </c>
      <c r="G22" s="50"/>
    </row>
    <row r="23" spans="1:7" ht="12.75" x14ac:dyDescent="0.25">
      <c r="A23" s="49">
        <v>8</v>
      </c>
      <c r="B23" s="56" t="s">
        <v>117</v>
      </c>
      <c r="C23" s="6" t="s">
        <v>114</v>
      </c>
      <c r="D23" s="24">
        <v>50000</v>
      </c>
      <c r="E23" s="5">
        <v>8500</v>
      </c>
      <c r="F23" s="5">
        <f t="shared" si="0"/>
        <v>425000000</v>
      </c>
      <c r="G23" s="50"/>
    </row>
    <row r="24" spans="1:7" ht="12.75" x14ac:dyDescent="0.25">
      <c r="A24" s="49">
        <v>9</v>
      </c>
      <c r="B24" s="56" t="s">
        <v>11</v>
      </c>
      <c r="C24" s="6" t="s">
        <v>114</v>
      </c>
      <c r="D24" s="24">
        <f>500*19</f>
        <v>9500</v>
      </c>
      <c r="E24" s="5">
        <v>4600</v>
      </c>
      <c r="F24" s="5">
        <f t="shared" si="0"/>
        <v>43700000</v>
      </c>
      <c r="G24" s="50"/>
    </row>
    <row r="25" spans="1:7" ht="12.75" x14ac:dyDescent="0.25">
      <c r="A25" s="49">
        <v>10</v>
      </c>
      <c r="B25" s="56" t="s">
        <v>88</v>
      </c>
      <c r="C25" s="6" t="s">
        <v>114</v>
      </c>
      <c r="D25" s="24">
        <v>500</v>
      </c>
      <c r="E25" s="5">
        <v>85000</v>
      </c>
      <c r="F25" s="5">
        <f t="shared" si="0"/>
        <v>42500000</v>
      </c>
      <c r="G25" s="50"/>
    </row>
    <row r="26" spans="1:7" ht="12.75" x14ac:dyDescent="0.25">
      <c r="A26" s="49">
        <v>11</v>
      </c>
      <c r="B26" s="56" t="s">
        <v>87</v>
      </c>
      <c r="C26" s="6" t="s">
        <v>114</v>
      </c>
      <c r="D26" s="24">
        <v>1000</v>
      </c>
      <c r="E26" s="5">
        <v>318354</v>
      </c>
      <c r="F26" s="5">
        <f t="shared" si="0"/>
        <v>318354000</v>
      </c>
      <c r="G26" s="50"/>
    </row>
    <row r="27" spans="1:7" ht="12.75" x14ac:dyDescent="0.25">
      <c r="A27" s="49">
        <v>12</v>
      </c>
      <c r="B27" s="56" t="s">
        <v>130</v>
      </c>
      <c r="C27" s="6" t="s">
        <v>109</v>
      </c>
      <c r="D27" s="24">
        <v>1</v>
      </c>
      <c r="E27" s="5">
        <v>50000000</v>
      </c>
      <c r="F27" s="5">
        <f t="shared" si="0"/>
        <v>50000000</v>
      </c>
      <c r="G27" s="50"/>
    </row>
    <row r="28" spans="1:7" ht="12.75" x14ac:dyDescent="0.25">
      <c r="A28" s="342" t="s">
        <v>9</v>
      </c>
      <c r="B28" s="343"/>
      <c r="C28" s="343"/>
      <c r="D28" s="343"/>
      <c r="E28" s="344"/>
      <c r="F28" s="5">
        <f>SUM(F16:F27)</f>
        <v>33614347750</v>
      </c>
      <c r="G28" s="50"/>
    </row>
    <row r="29" spans="1:7" ht="25.5" customHeight="1" x14ac:dyDescent="0.25">
      <c r="A29" s="339" t="s">
        <v>82</v>
      </c>
      <c r="B29" s="340"/>
      <c r="C29" s="340"/>
      <c r="D29" s="340"/>
      <c r="E29" s="340"/>
      <c r="F29" s="341"/>
      <c r="G29" s="50" t="s">
        <v>112</v>
      </c>
    </row>
    <row r="30" spans="1:7" ht="29.25" customHeight="1" x14ac:dyDescent="0.25">
      <c r="A30" s="25">
        <v>13</v>
      </c>
      <c r="B30" s="57" t="s">
        <v>120</v>
      </c>
      <c r="C30" s="6" t="s">
        <v>109</v>
      </c>
      <c r="D30" s="4">
        <v>1</v>
      </c>
      <c r="E30" s="5">
        <v>1000000000</v>
      </c>
      <c r="F30" s="5">
        <f>ROUND(D30*E30,0)</f>
        <v>1000000000</v>
      </c>
      <c r="G30" s="50"/>
    </row>
    <row r="31" spans="1:7" ht="12.75" x14ac:dyDescent="0.25">
      <c r="A31" s="342" t="s">
        <v>72</v>
      </c>
      <c r="B31" s="343"/>
      <c r="C31" s="343"/>
      <c r="D31" s="343"/>
      <c r="E31" s="344"/>
      <c r="F31" s="5">
        <f>+SUM(F30:F30)</f>
        <v>1000000000</v>
      </c>
      <c r="G31" s="50"/>
    </row>
    <row r="32" spans="1:7" ht="12.75" x14ac:dyDescent="0.25">
      <c r="A32" s="339" t="s">
        <v>105</v>
      </c>
      <c r="B32" s="340"/>
      <c r="C32" s="340"/>
      <c r="D32" s="340"/>
      <c r="E32" s="340"/>
      <c r="F32" s="341"/>
      <c r="G32" s="50" t="s">
        <v>112</v>
      </c>
    </row>
    <row r="33" spans="1:7" ht="12.75" x14ac:dyDescent="0.25">
      <c r="A33" s="52">
        <v>14</v>
      </c>
      <c r="B33" s="58" t="s">
        <v>106</v>
      </c>
      <c r="C33" s="51" t="s">
        <v>109</v>
      </c>
      <c r="D33" s="24">
        <v>1</v>
      </c>
      <c r="E33" s="5">
        <v>20400000000</v>
      </c>
      <c r="F33" s="5">
        <f>ROUND(D33*E33,0)</f>
        <v>20400000000</v>
      </c>
      <c r="G33" s="50" t="s">
        <v>151</v>
      </c>
    </row>
    <row r="34" spans="1:7" ht="12.75" x14ac:dyDescent="0.25">
      <c r="A34" s="342" t="s">
        <v>121</v>
      </c>
      <c r="B34" s="343"/>
      <c r="C34" s="343"/>
      <c r="D34" s="343"/>
      <c r="E34" s="344"/>
      <c r="F34" s="5">
        <f>+F33</f>
        <v>20400000000</v>
      </c>
      <c r="G34" s="50"/>
    </row>
    <row r="35" spans="1:7" ht="16.5" customHeight="1" x14ac:dyDescent="0.25">
      <c r="A35" s="339" t="s">
        <v>131</v>
      </c>
      <c r="B35" s="340"/>
      <c r="C35" s="340"/>
      <c r="D35" s="340"/>
      <c r="E35" s="340"/>
      <c r="F35" s="341"/>
      <c r="G35" s="50"/>
    </row>
    <row r="36" spans="1:7" ht="12.75" x14ac:dyDescent="0.25">
      <c r="A36" s="52">
        <v>15</v>
      </c>
      <c r="B36" s="57" t="s">
        <v>133</v>
      </c>
      <c r="C36" s="49" t="s">
        <v>114</v>
      </c>
      <c r="D36" s="24">
        <v>1000</v>
      </c>
      <c r="E36" s="24">
        <v>80000</v>
      </c>
      <c r="F36" s="5">
        <f t="shared" ref="F36:F37" si="1">ROUND(D36*E36,0)</f>
        <v>80000000</v>
      </c>
      <c r="G36" s="50"/>
    </row>
    <row r="37" spans="1:7" ht="12.75" x14ac:dyDescent="0.25">
      <c r="A37" s="52">
        <v>16</v>
      </c>
      <c r="B37" s="57" t="s">
        <v>134</v>
      </c>
      <c r="C37" s="49" t="s">
        <v>114</v>
      </c>
      <c r="D37" s="24">
        <v>200</v>
      </c>
      <c r="E37" s="24">
        <v>300000</v>
      </c>
      <c r="F37" s="5">
        <f t="shared" si="1"/>
        <v>60000000</v>
      </c>
      <c r="G37" s="50"/>
    </row>
    <row r="38" spans="1:7" ht="12.75" x14ac:dyDescent="0.25">
      <c r="A38" s="342" t="s">
        <v>132</v>
      </c>
      <c r="B38" s="343"/>
      <c r="C38" s="343"/>
      <c r="D38" s="343"/>
      <c r="E38" s="344"/>
      <c r="F38" s="5">
        <f>+SUM(F36:F37)</f>
        <v>140000000</v>
      </c>
      <c r="G38" s="50"/>
    </row>
    <row r="39" spans="1:7" ht="31.5" customHeight="1" x14ac:dyDescent="0.25">
      <c r="A39" s="332" t="s">
        <v>135</v>
      </c>
      <c r="B39" s="333"/>
      <c r="C39" s="333"/>
      <c r="D39" s="333"/>
      <c r="E39" s="334"/>
      <c r="F39" s="9">
        <f>+F28+F31+F34+F38</f>
        <v>55154347750</v>
      </c>
      <c r="G39" s="50"/>
    </row>
    <row r="40" spans="1:7" ht="16.5" x14ac:dyDescent="0.25">
      <c r="A40" s="332" t="s">
        <v>12</v>
      </c>
      <c r="B40" s="333"/>
      <c r="C40" s="333"/>
      <c r="D40" s="333"/>
      <c r="E40" s="334"/>
      <c r="F40" s="9">
        <f>+F39</f>
        <v>55154347750</v>
      </c>
      <c r="G40" s="50"/>
    </row>
    <row r="41" spans="1:7" ht="33" customHeight="1" x14ac:dyDescent="0.25">
      <c r="A41" s="332" t="s">
        <v>13</v>
      </c>
      <c r="B41" s="333"/>
      <c r="C41" s="333"/>
      <c r="D41" s="333"/>
      <c r="E41" s="334"/>
      <c r="F41" s="9">
        <f>+F40*0.16*$D$47</f>
        <v>441234782</v>
      </c>
      <c r="G41" s="50"/>
    </row>
    <row r="42" spans="1:7" ht="16.5" x14ac:dyDescent="0.25">
      <c r="A42" s="332" t="s">
        <v>14</v>
      </c>
      <c r="B42" s="333"/>
      <c r="C42" s="333"/>
      <c r="D42" s="333"/>
      <c r="E42" s="334"/>
      <c r="F42" s="9">
        <f>+F40+F41</f>
        <v>55595582532</v>
      </c>
      <c r="G42" s="50"/>
    </row>
    <row r="43" spans="1:7" ht="16.5" customHeight="1" x14ac:dyDescent="0.25">
      <c r="A43" s="335" t="s">
        <v>15</v>
      </c>
      <c r="B43" s="335"/>
      <c r="C43" s="335"/>
      <c r="D43" s="335"/>
      <c r="E43" s="27"/>
      <c r="F43" s="10">
        <f>+F42+E48</f>
        <v>69384169469.5</v>
      </c>
      <c r="G43" s="50"/>
    </row>
    <row r="44" spans="1:7" ht="12.75" x14ac:dyDescent="0.25">
      <c r="A44" s="346" t="s">
        <v>1</v>
      </c>
      <c r="B44" s="346"/>
      <c r="C44" s="346"/>
      <c r="D44" s="11" t="s">
        <v>16</v>
      </c>
      <c r="E44" s="11"/>
      <c r="F44" s="11" t="s">
        <v>17</v>
      </c>
      <c r="G44" s="50"/>
    </row>
    <row r="45" spans="1:7" ht="16.5" x14ac:dyDescent="0.25">
      <c r="A45" s="336" t="s">
        <v>18</v>
      </c>
      <c r="B45" s="336"/>
      <c r="C45" s="12" t="s">
        <v>19</v>
      </c>
      <c r="D45" s="13">
        <v>0.15</v>
      </c>
      <c r="E45" s="337">
        <f>+$F$40*D45</f>
        <v>8273152162.5</v>
      </c>
      <c r="F45" s="338"/>
      <c r="G45" s="50"/>
    </row>
    <row r="46" spans="1:7" ht="16.5" x14ac:dyDescent="0.25">
      <c r="A46" s="336" t="s">
        <v>20</v>
      </c>
      <c r="B46" s="336"/>
      <c r="C46" s="12" t="s">
        <v>21</v>
      </c>
      <c r="D46" s="13">
        <v>0.05</v>
      </c>
      <c r="E46" s="337">
        <f>+$F$40*D46</f>
        <v>2757717387.5</v>
      </c>
      <c r="F46" s="338"/>
      <c r="G46" s="50"/>
    </row>
    <row r="47" spans="1:7" ht="15" customHeight="1" x14ac:dyDescent="0.25">
      <c r="A47" s="336" t="s">
        <v>22</v>
      </c>
      <c r="B47" s="336"/>
      <c r="C47" s="12" t="s">
        <v>23</v>
      </c>
      <c r="D47" s="13">
        <v>0.05</v>
      </c>
      <c r="E47" s="337">
        <f>+$F$40*D47</f>
        <v>2757717387.5</v>
      </c>
      <c r="F47" s="338"/>
      <c r="G47" s="50"/>
    </row>
    <row r="48" spans="1:7" ht="15" customHeight="1" x14ac:dyDescent="0.25">
      <c r="A48" s="336" t="s">
        <v>24</v>
      </c>
      <c r="B48" s="336"/>
      <c r="C48" s="12" t="s">
        <v>25</v>
      </c>
      <c r="D48" s="13">
        <f>SUM(D45:D47)</f>
        <v>0.25</v>
      </c>
      <c r="E48" s="337">
        <f>SUM(E45:F47)</f>
        <v>13788586937.5</v>
      </c>
      <c r="F48" s="338"/>
      <c r="G48" s="50"/>
    </row>
    <row r="49" spans="1:200" ht="15" customHeight="1" x14ac:dyDescent="0.25">
      <c r="A49" s="339" t="s">
        <v>26</v>
      </c>
      <c r="B49" s="340"/>
      <c r="C49" s="340"/>
      <c r="D49" s="340"/>
      <c r="E49" s="340"/>
      <c r="F49" s="341"/>
      <c r="G49" s="50"/>
    </row>
    <row r="50" spans="1:200" ht="15" customHeight="1" x14ac:dyDescent="0.25">
      <c r="A50" s="28" t="s">
        <v>5</v>
      </c>
      <c r="B50" s="14" t="s">
        <v>27</v>
      </c>
      <c r="C50" s="15" t="s">
        <v>74</v>
      </c>
      <c r="D50" s="16" t="s">
        <v>3</v>
      </c>
      <c r="E50" s="29" t="s">
        <v>80</v>
      </c>
      <c r="F50" s="17" t="s">
        <v>4</v>
      </c>
      <c r="G50" s="50"/>
    </row>
    <row r="51" spans="1:200" ht="15" customHeight="1" x14ac:dyDescent="0.25">
      <c r="A51" s="25">
        <v>17</v>
      </c>
      <c r="B51" s="2" t="s">
        <v>104</v>
      </c>
      <c r="C51" s="49" t="s">
        <v>8</v>
      </c>
      <c r="D51" s="55">
        <v>1</v>
      </c>
      <c r="E51" s="5">
        <v>11145472</v>
      </c>
      <c r="F51" s="5">
        <f t="shared" ref="F51:F59" si="2">ROUND(D51*E51,0)</f>
        <v>11145472</v>
      </c>
      <c r="G51" s="50"/>
    </row>
    <row r="52" spans="1:200" ht="12.75" x14ac:dyDescent="0.25">
      <c r="A52" s="25">
        <v>18</v>
      </c>
      <c r="B52" s="2" t="s">
        <v>122</v>
      </c>
      <c r="C52" s="49" t="s">
        <v>8</v>
      </c>
      <c r="D52" s="55">
        <v>2</v>
      </c>
      <c r="E52" s="5">
        <v>7244557</v>
      </c>
      <c r="F52" s="5">
        <f t="shared" si="2"/>
        <v>14489114</v>
      </c>
      <c r="G52" s="50"/>
    </row>
    <row r="53" spans="1:200" ht="12.75" x14ac:dyDescent="0.25">
      <c r="A53" s="49">
        <v>19</v>
      </c>
      <c r="B53" s="2" t="s">
        <v>123</v>
      </c>
      <c r="C53" s="49" t="s">
        <v>8</v>
      </c>
      <c r="D53" s="55">
        <v>2</v>
      </c>
      <c r="E53" s="5">
        <v>1913017.5</v>
      </c>
      <c r="F53" s="5">
        <f t="shared" si="2"/>
        <v>3826035</v>
      </c>
      <c r="G53" s="50"/>
    </row>
    <row r="54" spans="1:200" ht="12.75" x14ac:dyDescent="0.25">
      <c r="A54" s="49">
        <v>20</v>
      </c>
      <c r="B54" s="2" t="s">
        <v>97</v>
      </c>
      <c r="C54" s="49" t="s">
        <v>8</v>
      </c>
      <c r="D54" s="55">
        <v>4</v>
      </c>
      <c r="E54" s="5">
        <v>1337457</v>
      </c>
      <c r="F54" s="5">
        <f t="shared" si="2"/>
        <v>5349828</v>
      </c>
      <c r="G54" s="50"/>
    </row>
    <row r="55" spans="1:200" ht="12.75" x14ac:dyDescent="0.25">
      <c r="A55" s="49">
        <v>21</v>
      </c>
      <c r="B55" s="2" t="s">
        <v>75</v>
      </c>
      <c r="C55" s="49" t="s">
        <v>8</v>
      </c>
      <c r="D55" s="55">
        <v>12</v>
      </c>
      <c r="E55" s="5">
        <v>1958400</v>
      </c>
      <c r="F55" s="5">
        <f t="shared" si="2"/>
        <v>23500800</v>
      </c>
      <c r="G55" s="50"/>
    </row>
    <row r="56" spans="1:200" ht="12.75" x14ac:dyDescent="0.25">
      <c r="A56" s="49">
        <v>22</v>
      </c>
      <c r="B56" s="2" t="s">
        <v>124</v>
      </c>
      <c r="C56" s="6" t="s">
        <v>8</v>
      </c>
      <c r="D56" s="55">
        <v>120</v>
      </c>
      <c r="E56" s="5">
        <v>892160</v>
      </c>
      <c r="F56" s="5">
        <f t="shared" si="2"/>
        <v>107059200</v>
      </c>
      <c r="G56" s="50"/>
    </row>
    <row r="57" spans="1:200" ht="12.75" x14ac:dyDescent="0.25">
      <c r="A57" s="49">
        <v>23</v>
      </c>
      <c r="B57" s="2" t="s">
        <v>125</v>
      </c>
      <c r="C57" s="6" t="s">
        <v>8</v>
      </c>
      <c r="D57" s="55">
        <v>3</v>
      </c>
      <c r="E57" s="5">
        <v>1114547</v>
      </c>
      <c r="F57" s="5">
        <f t="shared" si="2"/>
        <v>3343641</v>
      </c>
      <c r="G57" s="50"/>
    </row>
    <row r="58" spans="1:200" ht="12.75" x14ac:dyDescent="0.25">
      <c r="A58" s="49">
        <v>24</v>
      </c>
      <c r="B58" s="2" t="s">
        <v>126</v>
      </c>
      <c r="C58" s="6" t="s">
        <v>8</v>
      </c>
      <c r="D58" s="55">
        <v>1</v>
      </c>
      <c r="E58" s="5">
        <v>2229095</v>
      </c>
      <c r="F58" s="5">
        <f t="shared" si="2"/>
        <v>2229095</v>
      </c>
      <c r="G58" s="50"/>
    </row>
    <row r="59" spans="1:200" ht="12.75" x14ac:dyDescent="0.25">
      <c r="A59" s="49">
        <v>25</v>
      </c>
      <c r="B59" s="2" t="s">
        <v>127</v>
      </c>
      <c r="C59" s="49" t="s">
        <v>8</v>
      </c>
      <c r="D59" s="55">
        <v>2</v>
      </c>
      <c r="E59" s="5">
        <v>1114547</v>
      </c>
      <c r="F59" s="5">
        <f t="shared" si="2"/>
        <v>2229094</v>
      </c>
      <c r="G59" s="50"/>
    </row>
    <row r="60" spans="1:200" ht="12.75" x14ac:dyDescent="0.25">
      <c r="A60" s="28" t="s">
        <v>10</v>
      </c>
      <c r="B60" s="14" t="s">
        <v>28</v>
      </c>
      <c r="C60" s="18"/>
      <c r="D60" s="53"/>
      <c r="E60" s="17"/>
      <c r="F60" s="17"/>
      <c r="G60" s="50"/>
    </row>
    <row r="61" spans="1:200" s="23" customFormat="1" ht="12.75" x14ac:dyDescent="0.25">
      <c r="A61" s="25">
        <v>26</v>
      </c>
      <c r="B61" s="2" t="s">
        <v>76</v>
      </c>
      <c r="C61" s="49" t="s">
        <v>8</v>
      </c>
      <c r="D61" s="55">
        <v>4</v>
      </c>
      <c r="E61" s="5">
        <v>4352000</v>
      </c>
      <c r="F61" s="5">
        <f>ROUND(D61*E61,0)</f>
        <v>17408000</v>
      </c>
      <c r="G61" s="50"/>
      <c r="GQ61" s="1"/>
      <c r="GR61" s="1"/>
    </row>
    <row r="62" spans="1:200" s="23" customFormat="1" ht="12.75" x14ac:dyDescent="0.25">
      <c r="A62" s="25">
        <v>27</v>
      </c>
      <c r="B62" s="2" t="s">
        <v>77</v>
      </c>
      <c r="C62" s="49" t="s">
        <v>8</v>
      </c>
      <c r="D62" s="55">
        <v>4</v>
      </c>
      <c r="E62" s="5">
        <v>1632000</v>
      </c>
      <c r="F62" s="5">
        <f>ROUND(D62*E62,0)</f>
        <v>6528000</v>
      </c>
      <c r="G62" s="50"/>
      <c r="GQ62" s="1"/>
      <c r="GR62" s="1"/>
    </row>
    <row r="63" spans="1:200" s="23" customFormat="1" ht="12.75" x14ac:dyDescent="0.25">
      <c r="A63" s="28" t="s">
        <v>29</v>
      </c>
      <c r="B63" s="14" t="s">
        <v>85</v>
      </c>
      <c r="C63" s="18"/>
      <c r="D63" s="53"/>
      <c r="E63" s="17"/>
      <c r="F63" s="17"/>
      <c r="G63" s="50"/>
      <c r="GQ63" s="1"/>
      <c r="GR63" s="1"/>
    </row>
    <row r="64" spans="1:200" ht="12.75" x14ac:dyDescent="0.25">
      <c r="A64" s="25">
        <v>28</v>
      </c>
      <c r="B64" s="2" t="s">
        <v>30</v>
      </c>
      <c r="C64" s="49" t="s">
        <v>8</v>
      </c>
      <c r="D64" s="55">
        <v>1</v>
      </c>
      <c r="E64" s="5">
        <v>7244557</v>
      </c>
      <c r="F64" s="5">
        <f>ROUND(D64*E64,0)</f>
        <v>7244557</v>
      </c>
      <c r="G64" s="50"/>
    </row>
    <row r="65" spans="1:200" ht="12.75" x14ac:dyDescent="0.25">
      <c r="A65" s="25">
        <v>29</v>
      </c>
      <c r="B65" s="2" t="s">
        <v>128</v>
      </c>
      <c r="C65" s="49" t="s">
        <v>8</v>
      </c>
      <c r="D65" s="55">
        <v>1</v>
      </c>
      <c r="E65" s="5">
        <v>3264000</v>
      </c>
      <c r="F65" s="5">
        <f>ROUND(D65*E65,0)</f>
        <v>3264000</v>
      </c>
      <c r="G65" s="50"/>
    </row>
    <row r="66" spans="1:200" ht="12.75" x14ac:dyDescent="0.25">
      <c r="A66" s="49">
        <v>30</v>
      </c>
      <c r="B66" s="2" t="s">
        <v>129</v>
      </c>
      <c r="C66" s="49" t="s">
        <v>8</v>
      </c>
      <c r="D66" s="55">
        <v>4</v>
      </c>
      <c r="E66" s="5">
        <v>2720000</v>
      </c>
      <c r="F66" s="5">
        <f>ROUND(D66*E66,0)</f>
        <v>10880000</v>
      </c>
      <c r="G66" s="50"/>
    </row>
    <row r="67" spans="1:200" ht="12.75" x14ac:dyDescent="0.25">
      <c r="A67" s="49">
        <v>31</v>
      </c>
      <c r="B67" s="2" t="s">
        <v>77</v>
      </c>
      <c r="C67" s="49" t="s">
        <v>8</v>
      </c>
      <c r="D67" s="55">
        <v>2</v>
      </c>
      <c r="E67" s="5">
        <v>1632000</v>
      </c>
      <c r="F67" s="5">
        <f>ROUND(D67*E67,0)</f>
        <v>3264000</v>
      </c>
      <c r="G67" s="50"/>
    </row>
    <row r="68" spans="1:200" ht="12.75" x14ac:dyDescent="0.25">
      <c r="A68" s="49">
        <v>32</v>
      </c>
      <c r="B68" s="2" t="s">
        <v>78</v>
      </c>
      <c r="C68" s="49" t="s">
        <v>8</v>
      </c>
      <c r="D68" s="55">
        <v>2</v>
      </c>
      <c r="E68" s="5">
        <v>3264000</v>
      </c>
      <c r="F68" s="5">
        <f>ROUND(D68*E68,0)</f>
        <v>6528000</v>
      </c>
      <c r="G68" s="50"/>
    </row>
    <row r="69" spans="1:200" s="23" customFormat="1" ht="12.75" x14ac:dyDescent="0.25">
      <c r="A69" s="28" t="s">
        <v>31</v>
      </c>
      <c r="B69" s="14" t="s">
        <v>32</v>
      </c>
      <c r="C69" s="18"/>
      <c r="D69" s="53"/>
      <c r="E69" s="17"/>
      <c r="F69" s="17"/>
      <c r="G69" s="50"/>
      <c r="GQ69" s="1"/>
      <c r="GR69" s="1"/>
    </row>
    <row r="70" spans="1:200" s="23" customFormat="1" ht="12.75" x14ac:dyDescent="0.25">
      <c r="A70" s="25">
        <v>33</v>
      </c>
      <c r="B70" s="2" t="s">
        <v>136</v>
      </c>
      <c r="C70" s="6" t="s">
        <v>8</v>
      </c>
      <c r="D70" s="55">
        <v>3</v>
      </c>
      <c r="E70" s="5">
        <v>4729536</v>
      </c>
      <c r="F70" s="5">
        <f>ROUND(D70*E70,0)</f>
        <v>14188608</v>
      </c>
      <c r="G70" s="50"/>
      <c r="GQ70" s="1"/>
      <c r="GR70" s="1"/>
    </row>
    <row r="71" spans="1:200" s="23" customFormat="1" ht="12.75" x14ac:dyDescent="0.25">
      <c r="A71" s="28" t="s">
        <v>33</v>
      </c>
      <c r="B71" s="14" t="s">
        <v>139</v>
      </c>
      <c r="C71" s="18"/>
      <c r="D71" s="53"/>
      <c r="E71" s="17"/>
      <c r="F71" s="17"/>
      <c r="G71" s="50"/>
      <c r="GQ71" s="1"/>
      <c r="GR71" s="1"/>
    </row>
    <row r="72" spans="1:200" s="23" customFormat="1" ht="12.75" x14ac:dyDescent="0.25">
      <c r="A72" s="25">
        <v>34</v>
      </c>
      <c r="B72" s="2" t="s">
        <v>138</v>
      </c>
      <c r="C72" s="6" t="s">
        <v>109</v>
      </c>
      <c r="D72" s="55">
        <v>1</v>
      </c>
      <c r="E72" s="5">
        <f>30000000*19</f>
        <v>570000000</v>
      </c>
      <c r="F72" s="5">
        <f>ROUND(D72*E72,0)</f>
        <v>570000000</v>
      </c>
      <c r="G72" s="50"/>
      <c r="GQ72" s="1"/>
      <c r="GR72" s="1"/>
    </row>
    <row r="73" spans="1:200" s="23" customFormat="1" ht="12.75" x14ac:dyDescent="0.25">
      <c r="A73" s="25">
        <v>35</v>
      </c>
      <c r="B73" s="2" t="s">
        <v>140</v>
      </c>
      <c r="C73" s="6" t="s">
        <v>109</v>
      </c>
      <c r="D73" s="55">
        <v>1</v>
      </c>
      <c r="E73" s="5">
        <v>70000000</v>
      </c>
      <c r="F73" s="5">
        <f>ROUND(D73*E73,0)</f>
        <v>70000000</v>
      </c>
      <c r="G73" s="50"/>
      <c r="GQ73" s="1"/>
      <c r="GR73" s="1"/>
    </row>
    <row r="74" spans="1:200" s="23" customFormat="1" ht="12.75" x14ac:dyDescent="0.25">
      <c r="A74" s="28" t="s">
        <v>34</v>
      </c>
      <c r="B74" s="14" t="s">
        <v>35</v>
      </c>
      <c r="C74" s="18"/>
      <c r="D74" s="53"/>
      <c r="E74" s="17"/>
      <c r="F74" s="17"/>
      <c r="G74" s="50"/>
      <c r="GQ74" s="1"/>
      <c r="GR74" s="1"/>
    </row>
    <row r="75" spans="1:200" s="23" customFormat="1" ht="12.75" x14ac:dyDescent="0.25">
      <c r="A75" s="25">
        <v>36</v>
      </c>
      <c r="B75" s="2" t="s">
        <v>36</v>
      </c>
      <c r="C75" s="6" t="s">
        <v>8</v>
      </c>
      <c r="D75" s="55">
        <v>1</v>
      </c>
      <c r="E75" s="5">
        <v>6000000</v>
      </c>
      <c r="F75" s="5">
        <f>ROUND(D75*E75,0)</f>
        <v>6000000</v>
      </c>
      <c r="G75" s="50"/>
      <c r="GQ75" s="1"/>
      <c r="GR75" s="1"/>
    </row>
    <row r="76" spans="1:200" s="23" customFormat="1" ht="12.75" x14ac:dyDescent="0.25">
      <c r="A76" s="25">
        <v>37</v>
      </c>
      <c r="B76" s="2" t="s">
        <v>137</v>
      </c>
      <c r="C76" s="6" t="s">
        <v>8</v>
      </c>
      <c r="D76" s="55">
        <v>2</v>
      </c>
      <c r="E76" s="5">
        <v>557274</v>
      </c>
      <c r="F76" s="5">
        <f>ROUND(D76*E76,0)</f>
        <v>1114548</v>
      </c>
      <c r="G76" s="50"/>
      <c r="GQ76" s="1"/>
      <c r="GR76" s="1"/>
    </row>
    <row r="77" spans="1:200" s="23" customFormat="1" ht="12.75" x14ac:dyDescent="0.25">
      <c r="A77" s="25">
        <v>38</v>
      </c>
      <c r="B77" s="2" t="s">
        <v>37</v>
      </c>
      <c r="C77" s="6" t="s">
        <v>8</v>
      </c>
      <c r="D77" s="55">
        <v>1</v>
      </c>
      <c r="E77" s="5">
        <v>2775223</v>
      </c>
      <c r="F77" s="5">
        <f>ROUND(D77*E77,0)</f>
        <v>2775223</v>
      </c>
      <c r="G77" s="50"/>
      <c r="GQ77" s="1"/>
      <c r="GR77" s="1"/>
    </row>
    <row r="78" spans="1:200" s="23" customFormat="1" ht="12.75" x14ac:dyDescent="0.25">
      <c r="A78" s="342" t="s">
        <v>38</v>
      </c>
      <c r="B78" s="343"/>
      <c r="C78" s="343"/>
      <c r="D78" s="343"/>
      <c r="E78" s="344"/>
      <c r="F78" s="5">
        <f>+SUM(F51:F68)</f>
        <v>228288836</v>
      </c>
      <c r="G78" s="50"/>
      <c r="GQ78" s="1"/>
      <c r="GR78" s="1"/>
    </row>
    <row r="79" spans="1:200" s="23" customFormat="1" ht="12.75" x14ac:dyDescent="0.25">
      <c r="A79" s="342" t="s">
        <v>141</v>
      </c>
      <c r="B79" s="343"/>
      <c r="C79" s="343"/>
      <c r="D79" s="343"/>
      <c r="E79" s="344"/>
      <c r="F79" s="5">
        <f>+SUM(F70:F70)+SUM(F75:F77)</f>
        <v>24078379</v>
      </c>
      <c r="G79" s="50"/>
      <c r="GQ79" s="1"/>
      <c r="GR79" s="1"/>
    </row>
    <row r="80" spans="1:200" s="23" customFormat="1" ht="12.75" x14ac:dyDescent="0.25">
      <c r="A80" s="342" t="s">
        <v>142</v>
      </c>
      <c r="B80" s="343"/>
      <c r="C80" s="343"/>
      <c r="D80" s="343"/>
      <c r="E80" s="344"/>
      <c r="F80" s="5">
        <f>+SUM(F72:F73)</f>
        <v>640000000</v>
      </c>
      <c r="G80" s="50"/>
      <c r="GQ80" s="1"/>
      <c r="GR80" s="1"/>
    </row>
    <row r="81" spans="1:200" s="23" customFormat="1" ht="12.75" x14ac:dyDescent="0.25">
      <c r="A81" s="342" t="s">
        <v>39</v>
      </c>
      <c r="B81" s="343"/>
      <c r="C81" s="343"/>
      <c r="D81" s="343"/>
      <c r="E81" s="344"/>
      <c r="F81" s="5">
        <f>+F78+F79</f>
        <v>252367215</v>
      </c>
      <c r="G81" s="50"/>
      <c r="GQ81" s="1"/>
      <c r="GR81" s="1"/>
    </row>
    <row r="82" spans="1:200" s="23" customFormat="1" ht="12.75" x14ac:dyDescent="0.25">
      <c r="A82" s="339" t="s">
        <v>40</v>
      </c>
      <c r="B82" s="340"/>
      <c r="C82" s="340"/>
      <c r="D82" s="340"/>
      <c r="E82" s="340"/>
      <c r="F82" s="341"/>
      <c r="G82" s="50"/>
      <c r="GQ82" s="1"/>
      <c r="GR82" s="1"/>
    </row>
    <row r="83" spans="1:200" s="23" customFormat="1" ht="12.75" x14ac:dyDescent="0.25">
      <c r="A83" s="28" t="s">
        <v>5</v>
      </c>
      <c r="B83" s="59" t="s">
        <v>41</v>
      </c>
      <c r="C83" s="16"/>
      <c r="D83" s="17"/>
      <c r="E83" s="17"/>
      <c r="F83" s="17"/>
      <c r="G83" s="50"/>
      <c r="GQ83" s="1"/>
      <c r="GR83" s="1"/>
    </row>
    <row r="84" spans="1:200" s="23" customFormat="1" ht="12.75" x14ac:dyDescent="0.25">
      <c r="A84" s="25">
        <v>39</v>
      </c>
      <c r="B84" s="2" t="s">
        <v>143</v>
      </c>
      <c r="C84" s="6" t="s">
        <v>8</v>
      </c>
      <c r="D84" s="54">
        <v>1</v>
      </c>
      <c r="E84" s="5">
        <v>5015462</v>
      </c>
      <c r="F84" s="5">
        <f>ROUND(D84*E84,0)</f>
        <v>5015462</v>
      </c>
      <c r="G84" s="50"/>
      <c r="GQ84" s="1"/>
      <c r="GR84" s="1"/>
    </row>
    <row r="85" spans="1:200" s="23" customFormat="1" ht="12.75" x14ac:dyDescent="0.25">
      <c r="A85" s="49">
        <v>40</v>
      </c>
      <c r="B85" s="2" t="s">
        <v>144</v>
      </c>
      <c r="C85" s="6" t="s">
        <v>8</v>
      </c>
      <c r="D85" s="54">
        <v>1</v>
      </c>
      <c r="E85" s="5">
        <v>2003956</v>
      </c>
      <c r="F85" s="5"/>
      <c r="G85" s="50"/>
      <c r="GQ85" s="1"/>
      <c r="GR85" s="1"/>
    </row>
    <row r="86" spans="1:200" s="23" customFormat="1" ht="12.75" x14ac:dyDescent="0.25">
      <c r="A86" s="61">
        <v>41</v>
      </c>
      <c r="B86" s="2" t="s">
        <v>145</v>
      </c>
      <c r="C86" s="6" t="s">
        <v>8</v>
      </c>
      <c r="D86" s="54">
        <v>4</v>
      </c>
      <c r="E86" s="5">
        <v>5572736</v>
      </c>
      <c r="F86" s="5">
        <f>ROUND(D86*E86,0)</f>
        <v>22290944</v>
      </c>
      <c r="G86" s="50"/>
      <c r="GQ86" s="1"/>
      <c r="GR86" s="1"/>
    </row>
    <row r="87" spans="1:200" s="23" customFormat="1" ht="12.75" x14ac:dyDescent="0.25">
      <c r="A87" s="61">
        <v>42</v>
      </c>
      <c r="B87" s="2" t="s">
        <v>79</v>
      </c>
      <c r="C87" s="6" t="s">
        <v>8</v>
      </c>
      <c r="D87" s="54">
        <v>4</v>
      </c>
      <c r="E87" s="5">
        <v>2786368</v>
      </c>
      <c r="F87" s="5">
        <f>ROUND(D87*E87,0)</f>
        <v>11145472</v>
      </c>
      <c r="G87" s="50"/>
      <c r="GQ87" s="1"/>
      <c r="GR87" s="1"/>
    </row>
    <row r="88" spans="1:200" s="23" customFormat="1" ht="12.75" x14ac:dyDescent="0.25">
      <c r="A88" s="61">
        <v>43</v>
      </c>
      <c r="B88" s="2" t="s">
        <v>146</v>
      </c>
      <c r="C88" s="6" t="s">
        <v>8</v>
      </c>
      <c r="D88" s="54">
        <v>120</v>
      </c>
      <c r="E88" s="5">
        <v>1448912</v>
      </c>
      <c r="F88" s="5">
        <f>ROUND(D88*E88,0)</f>
        <v>173869440</v>
      </c>
      <c r="G88" s="50"/>
      <c r="GQ88" s="1"/>
      <c r="GR88" s="1"/>
    </row>
    <row r="89" spans="1:200" s="23" customFormat="1" ht="12.75" x14ac:dyDescent="0.25">
      <c r="A89" s="345" t="s">
        <v>42</v>
      </c>
      <c r="B89" s="345"/>
      <c r="C89" s="345"/>
      <c r="D89" s="345"/>
      <c r="E89" s="26"/>
      <c r="F89" s="5">
        <f>SUM(F84:F88)</f>
        <v>212321318</v>
      </c>
      <c r="G89" s="50"/>
      <c r="GQ89" s="1"/>
      <c r="GR89" s="1"/>
    </row>
    <row r="90" spans="1:200" s="23" customFormat="1" ht="12.75" x14ac:dyDescent="0.2">
      <c r="A90" s="28" t="s">
        <v>10</v>
      </c>
      <c r="B90" s="59" t="s">
        <v>43</v>
      </c>
      <c r="C90" s="7"/>
      <c r="D90" s="8"/>
      <c r="E90" s="8"/>
      <c r="F90" s="8"/>
      <c r="G90" s="50"/>
      <c r="GQ90" s="1"/>
      <c r="GR90" s="1"/>
    </row>
    <row r="91" spans="1:200" s="23" customFormat="1" ht="12.75" x14ac:dyDescent="0.25">
      <c r="A91" s="25">
        <v>44</v>
      </c>
      <c r="B91" s="2" t="s">
        <v>44</v>
      </c>
      <c r="C91" s="6" t="s">
        <v>8</v>
      </c>
      <c r="D91" s="54">
        <v>54</v>
      </c>
      <c r="E91" s="5">
        <v>560320</v>
      </c>
      <c r="F91" s="5">
        <f>ROUND(D91*E91,0)</f>
        <v>30257280</v>
      </c>
      <c r="G91" s="50"/>
      <c r="GQ91" s="1"/>
      <c r="GR91" s="1"/>
    </row>
    <row r="92" spans="1:200" s="23" customFormat="1" ht="12.75" x14ac:dyDescent="0.25">
      <c r="A92" s="345" t="s">
        <v>45</v>
      </c>
      <c r="B92" s="345"/>
      <c r="C92" s="345"/>
      <c r="D92" s="345"/>
      <c r="E92" s="26"/>
      <c r="F92" s="5">
        <f>SUM(F91:F91)</f>
        <v>30257280</v>
      </c>
      <c r="G92" s="50"/>
      <c r="GQ92" s="1"/>
      <c r="GR92" s="1"/>
    </row>
    <row r="93" spans="1:200" s="23" customFormat="1" ht="12.75" x14ac:dyDescent="0.25">
      <c r="A93" s="339" t="s">
        <v>46</v>
      </c>
      <c r="B93" s="340"/>
      <c r="C93" s="340"/>
      <c r="D93" s="340"/>
      <c r="E93" s="340"/>
      <c r="F93" s="341"/>
      <c r="G93" s="50"/>
      <c r="GQ93" s="1"/>
      <c r="GR93" s="1"/>
    </row>
    <row r="94" spans="1:200" s="23" customFormat="1" ht="12.75" x14ac:dyDescent="0.25">
      <c r="A94" s="25">
        <v>45</v>
      </c>
      <c r="B94" s="2" t="s">
        <v>47</v>
      </c>
      <c r="C94" s="6" t="s">
        <v>8</v>
      </c>
      <c r="D94" s="54">
        <v>1</v>
      </c>
      <c r="E94" s="5">
        <v>6241464</v>
      </c>
      <c r="F94" s="5">
        <f t="shared" ref="F94:F111" si="3">ROUND(D94*E94,0)</f>
        <v>6241464</v>
      </c>
      <c r="G94" s="50"/>
      <c r="GQ94" s="1"/>
      <c r="GR94" s="1"/>
    </row>
    <row r="95" spans="1:200" s="23" customFormat="1" ht="12.75" x14ac:dyDescent="0.25">
      <c r="A95" s="25">
        <v>46</v>
      </c>
      <c r="B95" s="2" t="s">
        <v>48</v>
      </c>
      <c r="C95" s="6" t="s">
        <v>8</v>
      </c>
      <c r="D95" s="54">
        <v>1</v>
      </c>
      <c r="E95" s="5">
        <v>6130010</v>
      </c>
      <c r="F95" s="5">
        <f t="shared" si="3"/>
        <v>6130010</v>
      </c>
      <c r="G95" s="50"/>
      <c r="GQ95" s="1"/>
      <c r="GR95" s="1"/>
    </row>
    <row r="96" spans="1:200" s="23" customFormat="1" ht="12.75" x14ac:dyDescent="0.25">
      <c r="A96" s="61">
        <v>47</v>
      </c>
      <c r="B96" s="2" t="s">
        <v>49</v>
      </c>
      <c r="C96" s="6" t="s">
        <v>8</v>
      </c>
      <c r="D96" s="54">
        <v>1</v>
      </c>
      <c r="E96" s="5">
        <v>5572736</v>
      </c>
      <c r="F96" s="5">
        <f t="shared" si="3"/>
        <v>5572736</v>
      </c>
      <c r="G96" s="50"/>
      <c r="GQ96" s="1"/>
      <c r="GR96" s="1"/>
    </row>
    <row r="97" spans="1:200" s="23" customFormat="1" ht="12.75" x14ac:dyDescent="0.25">
      <c r="A97" s="61">
        <v>48</v>
      </c>
      <c r="B97" s="2" t="s">
        <v>50</v>
      </c>
      <c r="C97" s="6" t="s">
        <v>8</v>
      </c>
      <c r="D97" s="54">
        <v>1</v>
      </c>
      <c r="E97" s="5">
        <v>5572736</v>
      </c>
      <c r="F97" s="5">
        <f t="shared" si="3"/>
        <v>5572736</v>
      </c>
      <c r="G97" s="50"/>
      <c r="GQ97" s="1"/>
      <c r="GR97" s="1"/>
    </row>
    <row r="98" spans="1:200" s="23" customFormat="1" ht="12.75" x14ac:dyDescent="0.25">
      <c r="A98" s="61">
        <v>49</v>
      </c>
      <c r="B98" s="2" t="s">
        <v>51</v>
      </c>
      <c r="C98" s="6" t="s">
        <v>8</v>
      </c>
      <c r="D98" s="54">
        <v>1</v>
      </c>
      <c r="E98" s="5">
        <v>5572736</v>
      </c>
      <c r="F98" s="5">
        <f t="shared" si="3"/>
        <v>5572736</v>
      </c>
      <c r="G98" s="50"/>
      <c r="GQ98" s="1"/>
      <c r="GR98" s="1"/>
    </row>
    <row r="99" spans="1:200" s="23" customFormat="1" ht="12.75" x14ac:dyDescent="0.25">
      <c r="A99" s="61">
        <v>50</v>
      </c>
      <c r="B99" s="2" t="s">
        <v>52</v>
      </c>
      <c r="C99" s="6" t="s">
        <v>8</v>
      </c>
      <c r="D99" s="54">
        <v>1</v>
      </c>
      <c r="E99" s="5">
        <v>5572736</v>
      </c>
      <c r="F99" s="5">
        <f t="shared" si="3"/>
        <v>5572736</v>
      </c>
      <c r="G99" s="50"/>
      <c r="GQ99" s="1"/>
      <c r="GR99" s="1"/>
    </row>
    <row r="100" spans="1:200" s="23" customFormat="1" ht="12.75" x14ac:dyDescent="0.25">
      <c r="A100" s="61">
        <v>51</v>
      </c>
      <c r="B100" s="2" t="s">
        <v>53</v>
      </c>
      <c r="C100" s="6" t="s">
        <v>8</v>
      </c>
      <c r="D100" s="54">
        <v>1</v>
      </c>
      <c r="E100" s="5">
        <v>5572736</v>
      </c>
      <c r="F100" s="5">
        <f t="shared" si="3"/>
        <v>5572736</v>
      </c>
      <c r="G100" s="50"/>
      <c r="GQ100" s="1"/>
      <c r="GR100" s="1"/>
    </row>
    <row r="101" spans="1:200" s="23" customFormat="1" ht="12.75" x14ac:dyDescent="0.25">
      <c r="A101" s="61">
        <v>52</v>
      </c>
      <c r="B101" s="2" t="s">
        <v>54</v>
      </c>
      <c r="C101" s="6" t="s">
        <v>8</v>
      </c>
      <c r="D101" s="54">
        <v>1</v>
      </c>
      <c r="E101" s="5">
        <v>5572736</v>
      </c>
      <c r="F101" s="5">
        <f t="shared" si="3"/>
        <v>5572736</v>
      </c>
      <c r="G101" s="50"/>
      <c r="GQ101" s="1"/>
      <c r="GR101" s="1"/>
    </row>
    <row r="102" spans="1:200" s="23" customFormat="1" ht="12.75" x14ac:dyDescent="0.25">
      <c r="A102" s="61">
        <v>53</v>
      </c>
      <c r="B102" s="2" t="s">
        <v>55</v>
      </c>
      <c r="C102" s="6" t="s">
        <v>8</v>
      </c>
      <c r="D102" s="54">
        <v>1</v>
      </c>
      <c r="E102" s="5">
        <v>5572736</v>
      </c>
      <c r="F102" s="5">
        <f t="shared" si="3"/>
        <v>5572736</v>
      </c>
      <c r="G102" s="50"/>
      <c r="GQ102" s="1"/>
      <c r="GR102" s="1"/>
    </row>
    <row r="103" spans="1:200" s="23" customFormat="1" ht="12.75" x14ac:dyDescent="0.25">
      <c r="A103" s="61">
        <v>54</v>
      </c>
      <c r="B103" s="2" t="s">
        <v>56</v>
      </c>
      <c r="C103" s="6" t="s">
        <v>8</v>
      </c>
      <c r="D103" s="54">
        <v>1</v>
      </c>
      <c r="E103" s="5">
        <v>5572736</v>
      </c>
      <c r="F103" s="5">
        <f t="shared" si="3"/>
        <v>5572736</v>
      </c>
      <c r="G103" s="50"/>
      <c r="GQ103" s="1"/>
      <c r="GR103" s="1"/>
    </row>
    <row r="104" spans="1:200" s="23" customFormat="1" ht="12.75" x14ac:dyDescent="0.25">
      <c r="A104" s="61">
        <v>55</v>
      </c>
      <c r="B104" s="2" t="s">
        <v>57</v>
      </c>
      <c r="C104" s="6" t="s">
        <v>8</v>
      </c>
      <c r="D104" s="54">
        <v>1</v>
      </c>
      <c r="E104" s="5">
        <v>5572736</v>
      </c>
      <c r="F104" s="5">
        <f t="shared" si="3"/>
        <v>5572736</v>
      </c>
      <c r="G104" s="50"/>
      <c r="GQ104" s="1"/>
      <c r="GR104" s="1"/>
    </row>
    <row r="105" spans="1:200" s="23" customFormat="1" ht="12.75" x14ac:dyDescent="0.25">
      <c r="A105" s="61">
        <v>56</v>
      </c>
      <c r="B105" s="2" t="s">
        <v>58</v>
      </c>
      <c r="C105" s="6" t="s">
        <v>8</v>
      </c>
      <c r="D105" s="54">
        <v>1</v>
      </c>
      <c r="E105" s="5">
        <v>5572736</v>
      </c>
      <c r="F105" s="5">
        <f t="shared" si="3"/>
        <v>5572736</v>
      </c>
      <c r="G105" s="50"/>
      <c r="GQ105" s="1"/>
      <c r="GR105" s="1"/>
    </row>
    <row r="106" spans="1:200" s="23" customFormat="1" ht="12.75" x14ac:dyDescent="0.25">
      <c r="A106" s="61">
        <v>57</v>
      </c>
      <c r="B106" s="2" t="s">
        <v>59</v>
      </c>
      <c r="C106" s="6" t="s">
        <v>8</v>
      </c>
      <c r="D106" s="54">
        <v>1</v>
      </c>
      <c r="E106" s="5">
        <v>5572736</v>
      </c>
      <c r="F106" s="5">
        <f t="shared" si="3"/>
        <v>5572736</v>
      </c>
      <c r="G106" s="50"/>
      <c r="GQ106" s="1"/>
      <c r="GR106" s="1"/>
    </row>
    <row r="107" spans="1:200" s="23" customFormat="1" ht="12.75" x14ac:dyDescent="0.25">
      <c r="A107" s="61">
        <v>58</v>
      </c>
      <c r="B107" s="2" t="s">
        <v>60</v>
      </c>
      <c r="C107" s="6" t="s">
        <v>8</v>
      </c>
      <c r="D107" s="54">
        <v>1</v>
      </c>
      <c r="E107" s="5">
        <v>5572736</v>
      </c>
      <c r="F107" s="5">
        <f t="shared" si="3"/>
        <v>5572736</v>
      </c>
      <c r="G107" s="50"/>
      <c r="GQ107" s="1"/>
      <c r="GR107" s="1"/>
    </row>
    <row r="108" spans="1:200" s="23" customFormat="1" ht="12.75" x14ac:dyDescent="0.25">
      <c r="A108" s="61">
        <v>59</v>
      </c>
      <c r="B108" s="2" t="s">
        <v>61</v>
      </c>
      <c r="C108" s="6" t="s">
        <v>8</v>
      </c>
      <c r="D108" s="54">
        <v>3</v>
      </c>
      <c r="E108" s="5">
        <v>5572736</v>
      </c>
      <c r="F108" s="5">
        <f t="shared" si="3"/>
        <v>16718208</v>
      </c>
      <c r="G108" s="50"/>
      <c r="GQ108" s="1"/>
      <c r="GR108" s="1"/>
    </row>
    <row r="109" spans="1:200" s="23" customFormat="1" ht="12.75" x14ac:dyDescent="0.25">
      <c r="A109" s="61">
        <v>60</v>
      </c>
      <c r="B109" s="2" t="s">
        <v>62</v>
      </c>
      <c r="C109" s="6" t="s">
        <v>8</v>
      </c>
      <c r="D109" s="54">
        <v>3</v>
      </c>
      <c r="E109" s="5">
        <v>5572736</v>
      </c>
      <c r="F109" s="5">
        <f t="shared" si="3"/>
        <v>16718208</v>
      </c>
      <c r="G109" s="50"/>
      <c r="GQ109" s="1"/>
      <c r="GR109" s="1"/>
    </row>
    <row r="110" spans="1:200" s="23" customFormat="1" ht="12.75" x14ac:dyDescent="0.25">
      <c r="A110" s="61">
        <v>61</v>
      </c>
      <c r="B110" s="2" t="s">
        <v>63</v>
      </c>
      <c r="C110" s="6" t="s">
        <v>8</v>
      </c>
      <c r="D110" s="54">
        <v>1</v>
      </c>
      <c r="E110" s="5">
        <v>5572736</v>
      </c>
      <c r="F110" s="5">
        <f t="shared" si="3"/>
        <v>5572736</v>
      </c>
      <c r="G110" s="50"/>
      <c r="GQ110" s="1"/>
      <c r="GR110" s="1"/>
    </row>
    <row r="111" spans="1:200" s="23" customFormat="1" ht="12.75" x14ac:dyDescent="0.25">
      <c r="A111" s="61">
        <v>62</v>
      </c>
      <c r="B111" s="2" t="s">
        <v>64</v>
      </c>
      <c r="C111" s="6" t="s">
        <v>8</v>
      </c>
      <c r="D111" s="54">
        <v>1</v>
      </c>
      <c r="E111" s="5">
        <v>5572736</v>
      </c>
      <c r="F111" s="5">
        <f t="shared" si="3"/>
        <v>5572736</v>
      </c>
      <c r="G111" s="50"/>
      <c r="GQ111" s="1"/>
      <c r="GR111" s="1"/>
    </row>
    <row r="112" spans="1:200" s="23" customFormat="1" ht="12.75" x14ac:dyDescent="0.25">
      <c r="A112" s="342" t="s">
        <v>65</v>
      </c>
      <c r="B112" s="343"/>
      <c r="C112" s="343"/>
      <c r="D112" s="343"/>
      <c r="E112" s="344"/>
      <c r="F112" s="5">
        <f>SUM(F94:F111)</f>
        <v>123826194</v>
      </c>
      <c r="G112" s="50"/>
      <c r="GQ112" s="1"/>
      <c r="GR112" s="1"/>
    </row>
    <row r="113" spans="1:200" s="23" customFormat="1" ht="12.75" x14ac:dyDescent="0.25">
      <c r="A113" s="36" t="s">
        <v>89</v>
      </c>
      <c r="B113" s="37"/>
      <c r="C113" s="37"/>
      <c r="D113" s="38"/>
      <c r="E113" s="38"/>
      <c r="F113" s="39"/>
      <c r="G113" s="50"/>
      <c r="GQ113" s="1"/>
      <c r="GR113" s="1"/>
    </row>
    <row r="114" spans="1:200" s="30" customFormat="1" ht="12.75" x14ac:dyDescent="0.25">
      <c r="A114" s="28" t="s">
        <v>5</v>
      </c>
      <c r="B114" s="59" t="s">
        <v>90</v>
      </c>
      <c r="C114" s="16"/>
      <c r="D114" s="17"/>
      <c r="E114" s="17"/>
      <c r="F114" s="17"/>
      <c r="G114" s="50"/>
      <c r="GQ114" s="31"/>
      <c r="GR114" s="31"/>
    </row>
    <row r="115" spans="1:200" s="23" customFormat="1" ht="12.75" x14ac:dyDescent="0.25">
      <c r="A115" s="35">
        <v>63</v>
      </c>
      <c r="B115" s="2" t="s">
        <v>81</v>
      </c>
      <c r="C115" s="6" t="s">
        <v>8</v>
      </c>
      <c r="D115" s="54">
        <v>2</v>
      </c>
      <c r="E115" s="5">
        <v>5015463</v>
      </c>
      <c r="F115" s="5">
        <f>ROUND(D115*E115,0)</f>
        <v>10030926</v>
      </c>
      <c r="G115" s="50"/>
      <c r="GQ115" s="1"/>
      <c r="GR115" s="1"/>
    </row>
    <row r="116" spans="1:200" s="23" customFormat="1" ht="12.75" x14ac:dyDescent="0.25">
      <c r="A116" s="35">
        <v>64</v>
      </c>
      <c r="B116" s="2" t="s">
        <v>86</v>
      </c>
      <c r="C116" s="6" t="s">
        <v>8</v>
      </c>
      <c r="D116" s="54">
        <v>2</v>
      </c>
      <c r="E116" s="5">
        <v>5015463</v>
      </c>
      <c r="F116" s="5">
        <f>ROUND(D116*E116,0)</f>
        <v>10030926</v>
      </c>
      <c r="G116" s="50"/>
      <c r="GQ116" s="1"/>
      <c r="GR116" s="1"/>
    </row>
    <row r="117" spans="1:200" s="23" customFormat="1" ht="12.75" x14ac:dyDescent="0.25">
      <c r="A117" s="35">
        <v>65</v>
      </c>
      <c r="B117" s="2" t="s">
        <v>147</v>
      </c>
      <c r="C117" s="6" t="s">
        <v>8</v>
      </c>
      <c r="D117" s="54">
        <v>2</v>
      </c>
      <c r="E117" s="5">
        <v>5015463</v>
      </c>
      <c r="F117" s="5">
        <f>ROUND(D117*E117,0)</f>
        <v>10030926</v>
      </c>
      <c r="G117" s="50"/>
      <c r="GQ117" s="1"/>
      <c r="GR117" s="1"/>
    </row>
    <row r="118" spans="1:200" s="23" customFormat="1" ht="12.75" x14ac:dyDescent="0.25">
      <c r="A118" s="342" t="s">
        <v>94</v>
      </c>
      <c r="B118" s="343"/>
      <c r="C118" s="343"/>
      <c r="D118" s="343"/>
      <c r="E118" s="344"/>
      <c r="F118" s="5">
        <f>SUM(F115:F117)</f>
        <v>30092778</v>
      </c>
      <c r="G118" s="50"/>
      <c r="GQ118" s="1"/>
      <c r="GR118" s="1"/>
    </row>
    <row r="119" spans="1:200" s="23" customFormat="1" ht="12.75" x14ac:dyDescent="0.25">
      <c r="A119" s="28" t="s">
        <v>10</v>
      </c>
      <c r="B119" s="59" t="s">
        <v>32</v>
      </c>
      <c r="C119" s="16"/>
      <c r="D119" s="17"/>
      <c r="E119" s="17"/>
      <c r="F119" s="17"/>
      <c r="G119" s="50"/>
      <c r="GQ119" s="1"/>
      <c r="GR119" s="1"/>
    </row>
    <row r="120" spans="1:200" s="23" customFormat="1" ht="12.75" x14ac:dyDescent="0.25">
      <c r="A120" s="35">
        <v>66</v>
      </c>
      <c r="B120" s="2" t="s">
        <v>91</v>
      </c>
      <c r="C120" s="6" t="s">
        <v>8</v>
      </c>
      <c r="D120" s="54">
        <v>1</v>
      </c>
      <c r="E120" s="5">
        <v>4729536</v>
      </c>
      <c r="F120" s="5">
        <f>ROUND(D120*E120,0)</f>
        <v>4729536</v>
      </c>
      <c r="G120" s="50"/>
      <c r="GQ120" s="1"/>
      <c r="GR120" s="1"/>
    </row>
    <row r="121" spans="1:200" s="23" customFormat="1" ht="12.75" x14ac:dyDescent="0.25">
      <c r="A121" s="342" t="s">
        <v>94</v>
      </c>
      <c r="B121" s="343"/>
      <c r="C121" s="343"/>
      <c r="D121" s="343"/>
      <c r="E121" s="344"/>
      <c r="F121" s="5">
        <f>+F120</f>
        <v>4729536</v>
      </c>
      <c r="G121" s="50"/>
      <c r="GQ121" s="1"/>
      <c r="GR121" s="1"/>
    </row>
    <row r="122" spans="1:200" s="23" customFormat="1" ht="12.75" x14ac:dyDescent="0.25">
      <c r="A122" s="28" t="s">
        <v>29</v>
      </c>
      <c r="B122" s="59" t="s">
        <v>92</v>
      </c>
      <c r="C122" s="16"/>
      <c r="D122" s="17"/>
      <c r="E122" s="17"/>
      <c r="F122" s="17"/>
      <c r="G122" s="50"/>
      <c r="GQ122" s="1"/>
      <c r="GR122" s="1"/>
    </row>
    <row r="123" spans="1:200" s="23" customFormat="1" ht="31.5" customHeight="1" x14ac:dyDescent="0.25">
      <c r="A123" s="35">
        <v>67</v>
      </c>
      <c r="B123" s="2" t="s">
        <v>93</v>
      </c>
      <c r="C123" s="6" t="s">
        <v>109</v>
      </c>
      <c r="D123" s="54">
        <v>1</v>
      </c>
      <c r="E123" s="5">
        <v>149461370.3450636</v>
      </c>
      <c r="F123" s="5">
        <f>ROUND(D123*E123,0)</f>
        <v>149461370</v>
      </c>
      <c r="G123" s="50"/>
      <c r="GQ123" s="1"/>
      <c r="GR123" s="1"/>
    </row>
    <row r="124" spans="1:200" s="23" customFormat="1" ht="12.75" x14ac:dyDescent="0.25">
      <c r="A124" s="342" t="s">
        <v>94</v>
      </c>
      <c r="B124" s="343"/>
      <c r="C124" s="343"/>
      <c r="D124" s="343"/>
      <c r="E124" s="344"/>
      <c r="F124" s="5">
        <f>+F123</f>
        <v>149461370</v>
      </c>
      <c r="G124" s="50"/>
      <c r="GQ124" s="1"/>
      <c r="GR124" s="1"/>
    </row>
    <row r="125" spans="1:200" s="23" customFormat="1" ht="16.5" x14ac:dyDescent="0.25">
      <c r="A125" s="332" t="s">
        <v>84</v>
      </c>
      <c r="B125" s="333"/>
      <c r="C125" s="333"/>
      <c r="D125" s="333"/>
      <c r="E125" s="334"/>
      <c r="F125" s="9">
        <f>+F89+F78+F118</f>
        <v>470702932</v>
      </c>
      <c r="G125" s="50"/>
      <c r="GQ125" s="1"/>
      <c r="GR125" s="1"/>
    </row>
    <row r="126" spans="1:200" s="23" customFormat="1" ht="16.5" x14ac:dyDescent="0.25">
      <c r="A126" s="332" t="s">
        <v>148</v>
      </c>
      <c r="B126" s="333"/>
      <c r="C126" s="333"/>
      <c r="D126" s="333"/>
      <c r="E126" s="334"/>
      <c r="F126" s="9">
        <f>+F125*19</f>
        <v>8943355708</v>
      </c>
      <c r="G126" s="50"/>
      <c r="GQ126" s="1"/>
      <c r="GR126" s="1"/>
    </row>
    <row r="127" spans="1:200" s="23" customFormat="1" ht="16.5" x14ac:dyDescent="0.25">
      <c r="A127" s="332" t="s">
        <v>66</v>
      </c>
      <c r="B127" s="333"/>
      <c r="C127" s="333"/>
      <c r="D127" s="333"/>
      <c r="E127" s="334"/>
      <c r="F127" s="19">
        <v>2</v>
      </c>
      <c r="G127" s="50"/>
      <c r="GQ127" s="1"/>
      <c r="GR127" s="1"/>
    </row>
    <row r="128" spans="1:200" s="23" customFormat="1" ht="16.5" x14ac:dyDescent="0.25">
      <c r="A128" s="332" t="s">
        <v>67</v>
      </c>
      <c r="B128" s="333"/>
      <c r="C128" s="333"/>
      <c r="D128" s="333"/>
      <c r="E128" s="334"/>
      <c r="F128" s="9">
        <f>+F126*F127</f>
        <v>17886711416</v>
      </c>
      <c r="G128" s="50"/>
      <c r="GQ128" s="1"/>
      <c r="GR128" s="1"/>
    </row>
    <row r="129" spans="1:200" s="23" customFormat="1" ht="42" customHeight="1" x14ac:dyDescent="0.25">
      <c r="A129" s="332" t="s">
        <v>95</v>
      </c>
      <c r="B129" s="333"/>
      <c r="C129" s="333"/>
      <c r="D129" s="333"/>
      <c r="E129" s="334"/>
      <c r="F129" s="9">
        <f>+F112+F92+F79+F121</f>
        <v>182891389</v>
      </c>
      <c r="G129" s="50"/>
      <c r="GQ129" s="1"/>
      <c r="GR129" s="1"/>
    </row>
    <row r="130" spans="1:200" s="23" customFormat="1" ht="16.5" x14ac:dyDescent="0.25">
      <c r="A130" s="332" t="s">
        <v>148</v>
      </c>
      <c r="B130" s="333"/>
      <c r="C130" s="333"/>
      <c r="D130" s="333"/>
      <c r="E130" s="334"/>
      <c r="F130" s="9">
        <f>+F129*19</f>
        <v>3474936391</v>
      </c>
      <c r="G130" s="50"/>
      <c r="GQ130" s="1"/>
      <c r="GR130" s="1"/>
    </row>
    <row r="131" spans="1:200" s="23" customFormat="1" ht="16.5" x14ac:dyDescent="0.25">
      <c r="A131" s="332" t="s">
        <v>96</v>
      </c>
      <c r="B131" s="333"/>
      <c r="C131" s="333"/>
      <c r="D131" s="333"/>
      <c r="E131" s="334"/>
      <c r="F131" s="9">
        <f>+F123</f>
        <v>149461370</v>
      </c>
      <c r="G131" s="50"/>
      <c r="GQ131" s="1"/>
      <c r="GR131" s="1"/>
    </row>
    <row r="132" spans="1:200" s="23" customFormat="1" ht="16.5" x14ac:dyDescent="0.25">
      <c r="A132" s="332" t="s">
        <v>157</v>
      </c>
      <c r="B132" s="333"/>
      <c r="C132" s="333"/>
      <c r="D132" s="333"/>
      <c r="E132" s="334"/>
      <c r="F132" s="9">
        <f>F80</f>
        <v>640000000</v>
      </c>
      <c r="G132" s="50"/>
      <c r="GQ132" s="1"/>
      <c r="GR132" s="1"/>
    </row>
    <row r="133" spans="1:200" s="23" customFormat="1" ht="16.5" x14ac:dyDescent="0.25">
      <c r="A133" s="332" t="s">
        <v>83</v>
      </c>
      <c r="B133" s="333"/>
      <c r="C133" s="333"/>
      <c r="D133" s="333"/>
      <c r="E133" s="334"/>
      <c r="F133" s="9">
        <v>3000000000</v>
      </c>
      <c r="G133" s="50"/>
      <c r="GQ133" s="1"/>
      <c r="GR133" s="1"/>
    </row>
    <row r="134" spans="1:200" s="23" customFormat="1" ht="16.5" x14ac:dyDescent="0.25">
      <c r="A134" s="332" t="s">
        <v>68</v>
      </c>
      <c r="B134" s="333"/>
      <c r="C134" s="333"/>
      <c r="D134" s="333"/>
      <c r="E134" s="334"/>
      <c r="F134" s="9">
        <f>+(F128+F130+F133)*0.16</f>
        <v>3897863649.1199999</v>
      </c>
      <c r="G134" s="50"/>
      <c r="GQ134" s="1"/>
      <c r="GR134" s="1"/>
    </row>
    <row r="135" spans="1:200" s="23" customFormat="1" ht="16.5" x14ac:dyDescent="0.25">
      <c r="A135" s="332" t="s">
        <v>69</v>
      </c>
      <c r="B135" s="333"/>
      <c r="C135" s="333"/>
      <c r="D135" s="333"/>
      <c r="E135" s="334"/>
      <c r="F135" s="9">
        <f>+F128+F130+F133+F134+F131+F132</f>
        <v>29048972826.119999</v>
      </c>
      <c r="G135" s="50"/>
      <c r="GQ135" s="1"/>
      <c r="GR135" s="1"/>
    </row>
    <row r="136" spans="1:200" s="40" customFormat="1" ht="18" x14ac:dyDescent="0.25">
      <c r="A136" s="335" t="s">
        <v>70</v>
      </c>
      <c r="B136" s="335"/>
      <c r="C136" s="335"/>
      <c r="D136" s="335"/>
      <c r="E136" s="27"/>
      <c r="F136" s="10">
        <f>+F135+F43</f>
        <v>98433142295.619995</v>
      </c>
      <c r="G136" s="60">
        <v>98433142296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</row>
    <row r="137" spans="1:200" s="23" customFormat="1" x14ac:dyDescent="0.25">
      <c r="A137" s="32"/>
      <c r="C137" s="33"/>
      <c r="D137" s="34"/>
      <c r="E137" s="34"/>
      <c r="G137" s="50"/>
      <c r="GQ137" s="1"/>
      <c r="GR137" s="1"/>
    </row>
    <row r="138" spans="1:200" s="23" customFormat="1" x14ac:dyDescent="0.25">
      <c r="A138" s="32"/>
      <c r="C138" s="33"/>
      <c r="D138" s="34"/>
      <c r="E138" s="34"/>
      <c r="G138" s="50"/>
      <c r="GQ138" s="1"/>
      <c r="GR138" s="1"/>
    </row>
    <row r="139" spans="1:200" s="23" customFormat="1" x14ac:dyDescent="0.25">
      <c r="A139" s="32"/>
      <c r="C139" s="33"/>
      <c r="D139" s="34"/>
      <c r="E139" s="34"/>
      <c r="G139" s="50"/>
      <c r="GQ139" s="1"/>
      <c r="GR139" s="1"/>
    </row>
    <row r="140" spans="1:200" s="23" customFormat="1" x14ac:dyDescent="0.25">
      <c r="A140" s="32"/>
      <c r="C140" s="33"/>
      <c r="D140" s="34"/>
      <c r="E140" s="34"/>
      <c r="G140" s="50"/>
      <c r="GQ140" s="1"/>
      <c r="GR140" s="1"/>
    </row>
    <row r="141" spans="1:200" s="23" customFormat="1" x14ac:dyDescent="0.25">
      <c r="A141" s="32"/>
      <c r="C141" s="33"/>
      <c r="D141" s="34"/>
      <c r="E141" s="34"/>
      <c r="GQ141" s="1"/>
      <c r="GR141" s="1"/>
    </row>
    <row r="142" spans="1:200" s="23" customFormat="1" x14ac:dyDescent="0.25">
      <c r="A142" s="32"/>
      <c r="C142" s="33"/>
      <c r="D142" s="34"/>
      <c r="E142" s="34"/>
      <c r="GQ142" s="1"/>
      <c r="GR142" s="1"/>
    </row>
    <row r="143" spans="1:200" s="23" customFormat="1" x14ac:dyDescent="0.25">
      <c r="A143" s="32"/>
      <c r="C143" s="33"/>
      <c r="D143" s="34"/>
      <c r="E143" s="34"/>
      <c r="GQ143" s="1"/>
      <c r="GR143" s="1"/>
    </row>
    <row r="144" spans="1:200" s="23" customFormat="1" x14ac:dyDescent="0.25">
      <c r="A144" s="32"/>
      <c r="C144" s="33"/>
      <c r="D144" s="34"/>
      <c r="E144" s="34"/>
      <c r="GQ144" s="1"/>
      <c r="GR144" s="1"/>
    </row>
    <row r="145" spans="1:200" s="23" customFormat="1" x14ac:dyDescent="0.25">
      <c r="A145" s="32"/>
      <c r="C145" s="33"/>
      <c r="D145" s="34"/>
      <c r="E145" s="34"/>
      <c r="GQ145" s="1"/>
      <c r="GR145" s="1"/>
    </row>
    <row r="146" spans="1:200" s="23" customFormat="1" x14ac:dyDescent="0.25">
      <c r="A146" s="32"/>
      <c r="C146" s="33"/>
      <c r="D146" s="34"/>
      <c r="E146" s="34"/>
      <c r="GQ146" s="1"/>
      <c r="GR146" s="1"/>
    </row>
    <row r="147" spans="1:200" s="23" customFormat="1" x14ac:dyDescent="0.25">
      <c r="A147" s="32"/>
      <c r="C147" s="33"/>
      <c r="D147" s="34"/>
      <c r="E147" s="34"/>
      <c r="GQ147" s="1"/>
      <c r="GR147" s="1"/>
    </row>
    <row r="148" spans="1:200" s="23" customFormat="1" x14ac:dyDescent="0.25">
      <c r="A148" s="32"/>
      <c r="C148" s="33"/>
      <c r="D148" s="34"/>
      <c r="E148" s="34"/>
      <c r="GQ148" s="1"/>
      <c r="GR148" s="1"/>
    </row>
    <row r="149" spans="1:200" s="23" customFormat="1" x14ac:dyDescent="0.25">
      <c r="A149" s="32"/>
      <c r="C149" s="33"/>
      <c r="D149" s="34"/>
      <c r="E149" s="34"/>
      <c r="GQ149" s="1"/>
      <c r="GR149" s="1"/>
    </row>
    <row r="150" spans="1:200" s="23" customFormat="1" x14ac:dyDescent="0.25">
      <c r="A150" s="32"/>
      <c r="C150" s="33"/>
      <c r="D150" s="34"/>
      <c r="E150" s="34"/>
      <c r="GQ150" s="1"/>
      <c r="GR150" s="1"/>
    </row>
    <row r="151" spans="1:200" s="23" customFormat="1" x14ac:dyDescent="0.25">
      <c r="A151" s="32"/>
      <c r="C151" s="33"/>
      <c r="D151" s="34"/>
      <c r="E151" s="34"/>
      <c r="GQ151" s="1"/>
      <c r="GR151" s="1"/>
    </row>
    <row r="152" spans="1:200" s="23" customFormat="1" ht="38.25" customHeight="1" x14ac:dyDescent="0.25">
      <c r="A152" s="32"/>
      <c r="C152" s="33"/>
      <c r="D152" s="34"/>
      <c r="E152" s="34"/>
      <c r="GQ152" s="1"/>
      <c r="GR152" s="1"/>
    </row>
    <row r="153" spans="1:200" x14ac:dyDescent="0.25">
      <c r="A153" s="32"/>
      <c r="B153" s="23"/>
      <c r="C153" s="33"/>
      <c r="D153" s="34"/>
      <c r="E153" s="34"/>
      <c r="F153" s="23"/>
      <c r="GQ153" s="23"/>
    </row>
    <row r="154" spans="1:200" x14ac:dyDescent="0.25">
      <c r="A154" s="32"/>
      <c r="B154" s="23"/>
      <c r="C154" s="33"/>
      <c r="D154" s="34"/>
      <c r="E154" s="34"/>
      <c r="F154" s="23"/>
      <c r="GQ154" s="23"/>
    </row>
    <row r="155" spans="1:200" s="23" customFormat="1" x14ac:dyDescent="0.25">
      <c r="A155" s="32"/>
      <c r="C155" s="33"/>
      <c r="D155" s="34"/>
      <c r="E155" s="34"/>
      <c r="GQ155" s="1"/>
      <c r="GR155" s="1"/>
    </row>
    <row r="156" spans="1:200" s="23" customFormat="1" x14ac:dyDescent="0.25">
      <c r="A156" s="32"/>
      <c r="C156" s="33"/>
      <c r="D156" s="34"/>
      <c r="E156" s="34"/>
      <c r="GQ156" s="1"/>
      <c r="GR156" s="1"/>
    </row>
    <row r="157" spans="1:200" s="23" customFormat="1" x14ac:dyDescent="0.25">
      <c r="A157" s="32"/>
      <c r="C157" s="33"/>
      <c r="D157" s="34"/>
      <c r="E157" s="34"/>
      <c r="GQ157" s="1"/>
      <c r="GR157" s="1"/>
    </row>
    <row r="158" spans="1:200" s="23" customFormat="1" x14ac:dyDescent="0.25">
      <c r="A158" s="32"/>
      <c r="C158" s="33"/>
      <c r="D158" s="34"/>
      <c r="E158" s="34"/>
    </row>
    <row r="159" spans="1:200" s="23" customFormat="1" x14ac:dyDescent="0.25">
      <c r="A159" s="32"/>
      <c r="C159" s="33"/>
      <c r="D159" s="34"/>
      <c r="E159" s="34"/>
    </row>
    <row r="160" spans="1:200" s="23" customFormat="1" x14ac:dyDescent="0.25">
      <c r="A160" s="32"/>
      <c r="C160" s="33"/>
      <c r="D160" s="34"/>
      <c r="E160" s="34"/>
      <c r="G160" s="50"/>
    </row>
    <row r="161" spans="1:7" s="23" customFormat="1" x14ac:dyDescent="0.25">
      <c r="A161" s="32"/>
      <c r="C161" s="33"/>
      <c r="D161" s="34"/>
      <c r="E161" s="34"/>
      <c r="G161" s="50"/>
    </row>
    <row r="162" spans="1:7" s="23" customFormat="1" x14ac:dyDescent="0.25">
      <c r="A162" s="32"/>
      <c r="C162" s="33"/>
      <c r="D162" s="34"/>
      <c r="E162" s="34"/>
      <c r="G162" s="50"/>
    </row>
    <row r="163" spans="1:7" s="23" customFormat="1" x14ac:dyDescent="0.25">
      <c r="A163" s="32"/>
      <c r="C163" s="33"/>
      <c r="D163" s="34"/>
      <c r="E163" s="34"/>
      <c r="G163" s="50"/>
    </row>
    <row r="164" spans="1:7" s="23" customFormat="1" x14ac:dyDescent="0.25">
      <c r="A164" s="32"/>
      <c r="C164" s="33"/>
      <c r="D164" s="34"/>
      <c r="E164" s="34"/>
      <c r="G164" s="50"/>
    </row>
    <row r="165" spans="1:7" s="23" customFormat="1" x14ac:dyDescent="0.25">
      <c r="A165" s="32"/>
      <c r="C165" s="33"/>
      <c r="D165" s="34"/>
      <c r="E165" s="34"/>
      <c r="G165" s="50"/>
    </row>
    <row r="166" spans="1:7" s="23" customFormat="1" x14ac:dyDescent="0.25">
      <c r="A166" s="32"/>
      <c r="C166" s="33"/>
      <c r="D166" s="34"/>
      <c r="E166" s="34"/>
      <c r="G166" s="50"/>
    </row>
    <row r="167" spans="1:7" s="23" customFormat="1" x14ac:dyDescent="0.25">
      <c r="A167" s="32"/>
      <c r="C167" s="33"/>
      <c r="D167" s="34"/>
      <c r="E167" s="34"/>
      <c r="G167" s="50"/>
    </row>
    <row r="168" spans="1:7" s="23" customFormat="1" x14ac:dyDescent="0.25">
      <c r="A168" s="32"/>
      <c r="C168" s="33"/>
      <c r="D168" s="34"/>
      <c r="E168" s="34"/>
      <c r="G168" s="50"/>
    </row>
    <row r="169" spans="1:7" s="23" customFormat="1" x14ac:dyDescent="0.25">
      <c r="A169" s="32"/>
      <c r="C169" s="33"/>
      <c r="D169" s="34"/>
      <c r="E169" s="34"/>
      <c r="G169" s="50"/>
    </row>
    <row r="170" spans="1:7" s="23" customFormat="1" x14ac:dyDescent="0.25">
      <c r="A170" s="32"/>
      <c r="C170" s="33"/>
      <c r="D170" s="34"/>
      <c r="E170" s="34"/>
      <c r="G170" s="50"/>
    </row>
    <row r="171" spans="1:7" s="23" customFormat="1" x14ac:dyDescent="0.25">
      <c r="A171" s="32"/>
      <c r="C171" s="33"/>
      <c r="D171" s="34"/>
      <c r="E171" s="34"/>
      <c r="G171" s="50"/>
    </row>
    <row r="172" spans="1:7" s="23" customFormat="1" x14ac:dyDescent="0.25">
      <c r="A172" s="32"/>
      <c r="C172" s="33"/>
      <c r="D172" s="34"/>
      <c r="E172" s="34"/>
      <c r="G172" s="50"/>
    </row>
    <row r="173" spans="1:7" s="23" customFormat="1" x14ac:dyDescent="0.25">
      <c r="A173" s="32"/>
      <c r="C173" s="33"/>
      <c r="D173" s="34"/>
      <c r="E173" s="34"/>
      <c r="G173" s="50"/>
    </row>
    <row r="174" spans="1:7" s="23" customFormat="1" x14ac:dyDescent="0.25">
      <c r="A174" s="32"/>
      <c r="C174" s="33"/>
      <c r="D174" s="34"/>
      <c r="E174" s="34"/>
      <c r="G174" s="50"/>
    </row>
    <row r="175" spans="1:7" s="23" customFormat="1" x14ac:dyDescent="0.25">
      <c r="A175" s="32"/>
      <c r="C175" s="33"/>
      <c r="D175" s="34"/>
      <c r="E175" s="34"/>
      <c r="G175" s="50"/>
    </row>
    <row r="176" spans="1:7" s="23" customFormat="1" x14ac:dyDescent="0.25">
      <c r="A176" s="32"/>
      <c r="C176" s="33"/>
      <c r="D176" s="34"/>
      <c r="E176" s="34"/>
      <c r="G176" s="50"/>
    </row>
    <row r="177" spans="1:7" s="23" customFormat="1" x14ac:dyDescent="0.25">
      <c r="A177" s="32"/>
      <c r="C177" s="33"/>
      <c r="D177" s="34"/>
      <c r="E177" s="34"/>
      <c r="G177" s="50"/>
    </row>
    <row r="178" spans="1:7" s="23" customFormat="1" x14ac:dyDescent="0.25">
      <c r="A178" s="32"/>
      <c r="C178" s="33"/>
      <c r="D178" s="34"/>
      <c r="E178" s="34"/>
      <c r="G178" s="50"/>
    </row>
    <row r="179" spans="1:7" s="23" customFormat="1" x14ac:dyDescent="0.25">
      <c r="A179" s="32"/>
      <c r="C179" s="33"/>
      <c r="D179" s="34"/>
      <c r="E179" s="34"/>
      <c r="G179" s="50"/>
    </row>
    <row r="180" spans="1:7" s="23" customFormat="1" x14ac:dyDescent="0.25">
      <c r="A180" s="32"/>
      <c r="C180" s="33"/>
      <c r="D180" s="34"/>
      <c r="E180" s="34"/>
      <c r="G180" s="50"/>
    </row>
    <row r="181" spans="1:7" s="23" customFormat="1" x14ac:dyDescent="0.25">
      <c r="A181" s="32"/>
      <c r="C181" s="33"/>
      <c r="D181" s="34"/>
      <c r="E181" s="34"/>
      <c r="G181" s="50"/>
    </row>
    <row r="182" spans="1:7" s="23" customFormat="1" x14ac:dyDescent="0.25">
      <c r="A182" s="32"/>
      <c r="C182" s="33"/>
      <c r="D182" s="34"/>
      <c r="E182" s="34"/>
      <c r="G182" s="50"/>
    </row>
    <row r="183" spans="1:7" s="23" customFormat="1" x14ac:dyDescent="0.25">
      <c r="A183" s="32"/>
      <c r="C183" s="33"/>
      <c r="D183" s="34"/>
      <c r="E183" s="34"/>
      <c r="G183" s="50"/>
    </row>
    <row r="184" spans="1:7" s="23" customFormat="1" x14ac:dyDescent="0.25">
      <c r="A184" s="32"/>
      <c r="C184" s="33"/>
      <c r="D184" s="34"/>
      <c r="E184" s="34"/>
      <c r="G184" s="50"/>
    </row>
    <row r="185" spans="1:7" s="23" customFormat="1" x14ac:dyDescent="0.25">
      <c r="A185" s="32"/>
      <c r="C185" s="33"/>
      <c r="D185" s="34"/>
      <c r="E185" s="34"/>
      <c r="G185" s="50"/>
    </row>
    <row r="186" spans="1:7" s="23" customFormat="1" x14ac:dyDescent="0.25">
      <c r="A186" s="32"/>
      <c r="C186" s="33"/>
      <c r="D186" s="34"/>
      <c r="E186" s="34"/>
      <c r="G186" s="50"/>
    </row>
    <row r="187" spans="1:7" s="23" customFormat="1" x14ac:dyDescent="0.25">
      <c r="A187" s="32"/>
      <c r="C187" s="33"/>
      <c r="D187" s="34"/>
      <c r="E187" s="34"/>
      <c r="G187" s="50"/>
    </row>
    <row r="188" spans="1:7" s="23" customFormat="1" x14ac:dyDescent="0.25">
      <c r="A188" s="32"/>
      <c r="C188" s="33"/>
      <c r="D188" s="34"/>
      <c r="E188" s="34"/>
      <c r="G188" s="50"/>
    </row>
    <row r="189" spans="1:7" s="23" customFormat="1" x14ac:dyDescent="0.25">
      <c r="A189" s="32"/>
      <c r="C189" s="33"/>
      <c r="D189" s="34"/>
      <c r="E189" s="34"/>
      <c r="G189" s="50"/>
    </row>
    <row r="190" spans="1:7" s="23" customFormat="1" x14ac:dyDescent="0.25">
      <c r="A190" s="32"/>
      <c r="C190" s="33"/>
      <c r="D190" s="34"/>
      <c r="E190" s="34"/>
      <c r="G190" s="50"/>
    </row>
    <row r="191" spans="1:7" s="23" customFormat="1" x14ac:dyDescent="0.25">
      <c r="A191" s="32"/>
      <c r="C191" s="33"/>
      <c r="D191" s="34"/>
      <c r="E191" s="34"/>
      <c r="G191" s="50"/>
    </row>
    <row r="192" spans="1:7" s="23" customFormat="1" x14ac:dyDescent="0.25">
      <c r="A192" s="32"/>
      <c r="C192" s="33"/>
      <c r="D192" s="34"/>
      <c r="E192" s="34"/>
      <c r="G192" s="50"/>
    </row>
    <row r="193" spans="1:7" s="23" customFormat="1" x14ac:dyDescent="0.25">
      <c r="A193" s="32"/>
      <c r="C193" s="33"/>
      <c r="D193" s="34"/>
      <c r="E193" s="34"/>
      <c r="G193" s="50"/>
    </row>
    <row r="194" spans="1:7" s="23" customFormat="1" x14ac:dyDescent="0.25">
      <c r="A194" s="32"/>
      <c r="C194" s="33"/>
      <c r="D194" s="34"/>
      <c r="E194" s="34"/>
      <c r="G194" s="50"/>
    </row>
    <row r="195" spans="1:7" s="23" customFormat="1" x14ac:dyDescent="0.25">
      <c r="A195" s="32"/>
      <c r="C195" s="33"/>
      <c r="D195" s="34"/>
      <c r="E195" s="34"/>
      <c r="G195" s="50"/>
    </row>
    <row r="196" spans="1:7" s="23" customFormat="1" x14ac:dyDescent="0.25">
      <c r="A196" s="32"/>
      <c r="C196" s="33"/>
      <c r="D196" s="34"/>
      <c r="E196" s="34"/>
      <c r="G196" s="50"/>
    </row>
    <row r="197" spans="1:7" s="23" customFormat="1" x14ac:dyDescent="0.25">
      <c r="A197" s="32"/>
      <c r="C197" s="33"/>
      <c r="D197" s="34"/>
      <c r="E197" s="34"/>
      <c r="G197" s="50"/>
    </row>
    <row r="198" spans="1:7" s="23" customFormat="1" x14ac:dyDescent="0.25">
      <c r="A198" s="32"/>
      <c r="C198" s="33"/>
      <c r="D198" s="34"/>
      <c r="E198" s="34"/>
      <c r="G198" s="50"/>
    </row>
    <row r="199" spans="1:7" s="23" customFormat="1" x14ac:dyDescent="0.25">
      <c r="A199" s="32"/>
      <c r="C199" s="33"/>
      <c r="D199" s="34"/>
      <c r="E199" s="34"/>
      <c r="G199" s="50"/>
    </row>
    <row r="200" spans="1:7" s="23" customFormat="1" x14ac:dyDescent="0.25">
      <c r="A200" s="32"/>
      <c r="C200" s="33"/>
      <c r="D200" s="34"/>
      <c r="E200" s="34"/>
      <c r="G200" s="50"/>
    </row>
    <row r="201" spans="1:7" s="23" customFormat="1" x14ac:dyDescent="0.25">
      <c r="A201" s="32"/>
      <c r="C201" s="33"/>
      <c r="D201" s="34"/>
      <c r="E201" s="34"/>
      <c r="G201" s="50"/>
    </row>
    <row r="202" spans="1:7" s="23" customFormat="1" x14ac:dyDescent="0.25">
      <c r="A202" s="32"/>
      <c r="C202" s="33"/>
      <c r="D202" s="34"/>
      <c r="E202" s="34"/>
      <c r="G202" s="50"/>
    </row>
    <row r="203" spans="1:7" s="23" customFormat="1" x14ac:dyDescent="0.25">
      <c r="A203" s="32"/>
      <c r="C203" s="33"/>
      <c r="D203" s="34"/>
      <c r="E203" s="34"/>
      <c r="G203" s="50"/>
    </row>
    <row r="204" spans="1:7" s="23" customFormat="1" x14ac:dyDescent="0.25">
      <c r="A204" s="32"/>
      <c r="C204" s="33"/>
      <c r="D204" s="34"/>
      <c r="E204" s="34"/>
      <c r="G204" s="50"/>
    </row>
    <row r="205" spans="1:7" s="23" customFormat="1" x14ac:dyDescent="0.25">
      <c r="A205" s="32"/>
      <c r="C205" s="33"/>
      <c r="D205" s="34"/>
      <c r="E205" s="34"/>
      <c r="G205" s="50"/>
    </row>
    <row r="206" spans="1:7" s="23" customFormat="1" x14ac:dyDescent="0.25">
      <c r="A206" s="32"/>
      <c r="C206" s="33"/>
      <c r="D206" s="34"/>
      <c r="E206" s="34"/>
      <c r="G206" s="50"/>
    </row>
    <row r="207" spans="1:7" s="23" customFormat="1" x14ac:dyDescent="0.25">
      <c r="A207" s="32"/>
      <c r="C207" s="33"/>
      <c r="D207" s="34"/>
      <c r="E207" s="34"/>
      <c r="G207" s="50"/>
    </row>
    <row r="208" spans="1:7" s="23" customFormat="1" x14ac:dyDescent="0.25">
      <c r="A208" s="32"/>
      <c r="C208" s="33"/>
      <c r="D208" s="34"/>
      <c r="E208" s="34"/>
      <c r="G208" s="50"/>
    </row>
    <row r="209" spans="1:7" s="23" customFormat="1" x14ac:dyDescent="0.25">
      <c r="A209" s="32"/>
      <c r="C209" s="33"/>
      <c r="D209" s="34"/>
      <c r="E209" s="34"/>
      <c r="G209" s="50"/>
    </row>
    <row r="210" spans="1:7" s="23" customFormat="1" x14ac:dyDescent="0.25">
      <c r="A210" s="32"/>
      <c r="C210" s="33"/>
      <c r="D210" s="34"/>
      <c r="E210" s="34"/>
      <c r="G210" s="50"/>
    </row>
    <row r="211" spans="1:7" s="23" customFormat="1" x14ac:dyDescent="0.25">
      <c r="A211" s="32"/>
      <c r="C211" s="33"/>
      <c r="D211" s="34"/>
      <c r="E211" s="34"/>
      <c r="G211" s="50"/>
    </row>
    <row r="212" spans="1:7" s="23" customFormat="1" x14ac:dyDescent="0.25">
      <c r="A212" s="32"/>
      <c r="C212" s="33"/>
      <c r="D212" s="34"/>
      <c r="E212" s="34"/>
      <c r="G212" s="50"/>
    </row>
    <row r="213" spans="1:7" s="23" customFormat="1" x14ac:dyDescent="0.25">
      <c r="A213" s="32"/>
      <c r="C213" s="33"/>
      <c r="D213" s="34"/>
      <c r="E213" s="34"/>
      <c r="G213" s="50"/>
    </row>
    <row r="214" spans="1:7" s="23" customFormat="1" x14ac:dyDescent="0.25">
      <c r="A214" s="32"/>
      <c r="C214" s="33"/>
      <c r="D214" s="34"/>
      <c r="E214" s="34"/>
      <c r="G214" s="50"/>
    </row>
    <row r="215" spans="1:7" s="23" customFormat="1" x14ac:dyDescent="0.25">
      <c r="A215" s="32"/>
      <c r="C215" s="33"/>
      <c r="D215" s="34"/>
      <c r="E215" s="34"/>
      <c r="G215" s="50"/>
    </row>
    <row r="216" spans="1:7" s="23" customFormat="1" x14ac:dyDescent="0.25">
      <c r="A216" s="32"/>
      <c r="C216" s="33"/>
      <c r="D216" s="34"/>
      <c r="E216" s="34"/>
      <c r="G216" s="50"/>
    </row>
    <row r="217" spans="1:7" s="23" customFormat="1" x14ac:dyDescent="0.25">
      <c r="A217" s="32"/>
      <c r="C217" s="33"/>
      <c r="D217" s="34"/>
      <c r="E217" s="34"/>
      <c r="G217" s="50"/>
    </row>
    <row r="218" spans="1:7" s="23" customFormat="1" x14ac:dyDescent="0.25">
      <c r="A218" s="32"/>
      <c r="C218" s="33"/>
      <c r="D218" s="34"/>
      <c r="E218" s="34"/>
      <c r="G218" s="50"/>
    </row>
    <row r="219" spans="1:7" s="23" customFormat="1" x14ac:dyDescent="0.25">
      <c r="A219" s="32"/>
      <c r="C219" s="33"/>
      <c r="D219" s="34"/>
      <c r="E219" s="34"/>
      <c r="G219" s="50"/>
    </row>
    <row r="220" spans="1:7" s="23" customFormat="1" x14ac:dyDescent="0.25">
      <c r="A220" s="32"/>
      <c r="C220" s="33"/>
      <c r="D220" s="34"/>
      <c r="E220" s="34"/>
      <c r="G220" s="50"/>
    </row>
    <row r="221" spans="1:7" s="23" customFormat="1" x14ac:dyDescent="0.25">
      <c r="A221" s="32"/>
      <c r="C221" s="33"/>
      <c r="D221" s="34"/>
      <c r="E221" s="34"/>
      <c r="G221" s="50"/>
    </row>
    <row r="222" spans="1:7" s="23" customFormat="1" x14ac:dyDescent="0.25">
      <c r="A222" s="32"/>
      <c r="C222" s="33"/>
      <c r="D222" s="34"/>
      <c r="E222" s="34"/>
      <c r="G222" s="50"/>
    </row>
    <row r="223" spans="1:7" s="23" customFormat="1" x14ac:dyDescent="0.25">
      <c r="A223" s="32"/>
      <c r="C223" s="33"/>
      <c r="D223" s="34"/>
      <c r="E223" s="34"/>
      <c r="G223" s="50"/>
    </row>
    <row r="224" spans="1:7" s="23" customFormat="1" x14ac:dyDescent="0.25">
      <c r="A224" s="32"/>
      <c r="C224" s="33"/>
      <c r="D224" s="34"/>
      <c r="E224" s="34"/>
      <c r="G224" s="50"/>
    </row>
    <row r="225" spans="1:7" s="23" customFormat="1" x14ac:dyDescent="0.25">
      <c r="A225" s="32"/>
      <c r="C225" s="33"/>
      <c r="D225" s="34"/>
      <c r="E225" s="34"/>
      <c r="G225" s="50"/>
    </row>
    <row r="226" spans="1:7" s="23" customFormat="1" x14ac:dyDescent="0.25">
      <c r="A226" s="32"/>
      <c r="C226" s="33"/>
      <c r="D226" s="34"/>
      <c r="E226" s="34"/>
      <c r="G226" s="50"/>
    </row>
    <row r="227" spans="1:7" s="23" customFormat="1" x14ac:dyDescent="0.25">
      <c r="A227" s="32"/>
      <c r="C227" s="33"/>
      <c r="D227" s="34"/>
      <c r="E227" s="34"/>
      <c r="G227" s="50"/>
    </row>
    <row r="228" spans="1:7" s="23" customFormat="1" x14ac:dyDescent="0.25">
      <c r="A228" s="32"/>
      <c r="C228" s="33"/>
      <c r="D228" s="34"/>
      <c r="E228" s="34"/>
      <c r="G228" s="50"/>
    </row>
    <row r="229" spans="1:7" s="23" customFormat="1" x14ac:dyDescent="0.25">
      <c r="A229" s="32"/>
      <c r="C229" s="33"/>
      <c r="D229" s="34"/>
      <c r="E229" s="34"/>
      <c r="G229" s="50"/>
    </row>
    <row r="230" spans="1:7" s="23" customFormat="1" x14ac:dyDescent="0.25">
      <c r="A230" s="32"/>
      <c r="C230" s="33"/>
      <c r="D230" s="34"/>
      <c r="E230" s="34"/>
      <c r="G230" s="50"/>
    </row>
    <row r="231" spans="1:7" s="23" customFormat="1" x14ac:dyDescent="0.25">
      <c r="A231" s="32"/>
      <c r="C231" s="33"/>
      <c r="D231" s="34"/>
      <c r="E231" s="34"/>
      <c r="G231" s="50"/>
    </row>
    <row r="232" spans="1:7" s="23" customFormat="1" x14ac:dyDescent="0.25">
      <c r="A232" s="32"/>
      <c r="C232" s="33"/>
      <c r="D232" s="34"/>
      <c r="E232" s="34"/>
      <c r="G232" s="50"/>
    </row>
    <row r="233" spans="1:7" s="23" customFormat="1" x14ac:dyDescent="0.25">
      <c r="A233" s="32"/>
      <c r="C233" s="33"/>
      <c r="D233" s="34"/>
      <c r="E233" s="34"/>
      <c r="G233" s="50"/>
    </row>
    <row r="234" spans="1:7" s="23" customFormat="1" x14ac:dyDescent="0.25">
      <c r="A234" s="32"/>
      <c r="C234" s="33"/>
      <c r="D234" s="34"/>
      <c r="E234" s="34"/>
      <c r="G234" s="50"/>
    </row>
    <row r="235" spans="1:7" s="23" customFormat="1" x14ac:dyDescent="0.25">
      <c r="A235" s="32"/>
      <c r="C235" s="33"/>
      <c r="D235" s="34"/>
      <c r="E235" s="34"/>
      <c r="G235" s="50"/>
    </row>
    <row r="236" spans="1:7" s="23" customFormat="1" x14ac:dyDescent="0.25">
      <c r="A236" s="32"/>
      <c r="C236" s="33"/>
      <c r="D236" s="34"/>
      <c r="E236" s="34"/>
      <c r="G236" s="50"/>
    </row>
    <row r="237" spans="1:7" s="23" customFormat="1" x14ac:dyDescent="0.25">
      <c r="A237" s="32"/>
      <c r="C237" s="33"/>
      <c r="D237" s="34"/>
      <c r="E237" s="34"/>
      <c r="G237" s="50"/>
    </row>
    <row r="238" spans="1:7" s="23" customFormat="1" x14ac:dyDescent="0.25">
      <c r="A238" s="32"/>
      <c r="C238" s="33"/>
      <c r="D238" s="34"/>
      <c r="E238" s="34"/>
      <c r="G238" s="50"/>
    </row>
    <row r="239" spans="1:7" s="23" customFormat="1" x14ac:dyDescent="0.25">
      <c r="A239" s="32"/>
      <c r="C239" s="33"/>
      <c r="D239" s="34"/>
      <c r="E239" s="34"/>
      <c r="G239" s="50"/>
    </row>
    <row r="240" spans="1:7" s="23" customFormat="1" x14ac:dyDescent="0.25">
      <c r="A240" s="32"/>
      <c r="C240" s="33"/>
      <c r="D240" s="34"/>
      <c r="E240" s="34"/>
      <c r="G240" s="50"/>
    </row>
    <row r="241" spans="1:7" s="23" customFormat="1" x14ac:dyDescent="0.25">
      <c r="A241" s="32"/>
      <c r="C241" s="33"/>
      <c r="D241" s="34"/>
      <c r="E241" s="34"/>
      <c r="G241" s="50"/>
    </row>
    <row r="242" spans="1:7" s="23" customFormat="1" x14ac:dyDescent="0.25">
      <c r="A242" s="32"/>
      <c r="C242" s="33"/>
      <c r="D242" s="34"/>
      <c r="E242" s="34"/>
      <c r="G242" s="50"/>
    </row>
    <row r="243" spans="1:7" s="23" customFormat="1" x14ac:dyDescent="0.25">
      <c r="A243" s="32"/>
      <c r="C243" s="33"/>
      <c r="D243" s="34"/>
      <c r="E243" s="34"/>
      <c r="G243" s="50"/>
    </row>
    <row r="244" spans="1:7" s="23" customFormat="1" x14ac:dyDescent="0.25">
      <c r="A244" s="32"/>
      <c r="C244" s="33"/>
      <c r="D244" s="34"/>
      <c r="E244" s="34"/>
      <c r="G244" s="50"/>
    </row>
    <row r="245" spans="1:7" s="23" customFormat="1" x14ac:dyDescent="0.25">
      <c r="A245" s="32"/>
      <c r="C245" s="33"/>
      <c r="D245" s="34"/>
      <c r="E245" s="34"/>
      <c r="G245" s="50"/>
    </row>
    <row r="246" spans="1:7" s="23" customFormat="1" x14ac:dyDescent="0.25">
      <c r="A246" s="32"/>
      <c r="C246" s="33"/>
      <c r="D246" s="34"/>
      <c r="E246" s="34"/>
      <c r="G246" s="50"/>
    </row>
    <row r="247" spans="1:7" s="23" customFormat="1" x14ac:dyDescent="0.25">
      <c r="A247" s="32"/>
      <c r="C247" s="33"/>
      <c r="D247" s="34"/>
      <c r="E247" s="34"/>
      <c r="G247" s="50"/>
    </row>
    <row r="248" spans="1:7" s="23" customFormat="1" x14ac:dyDescent="0.25">
      <c r="A248" s="32"/>
      <c r="C248" s="33"/>
      <c r="D248" s="34"/>
      <c r="E248" s="34"/>
      <c r="G248" s="50"/>
    </row>
    <row r="249" spans="1:7" s="23" customFormat="1" x14ac:dyDescent="0.25">
      <c r="A249" s="32"/>
      <c r="C249" s="33"/>
      <c r="D249" s="34"/>
      <c r="E249" s="34"/>
      <c r="G249" s="50"/>
    </row>
    <row r="250" spans="1:7" s="23" customFormat="1" x14ac:dyDescent="0.25">
      <c r="A250" s="32"/>
      <c r="C250" s="33"/>
      <c r="D250" s="34"/>
      <c r="E250" s="34"/>
      <c r="G250" s="50"/>
    </row>
    <row r="251" spans="1:7" s="23" customFormat="1" x14ac:dyDescent="0.25">
      <c r="A251" s="32"/>
      <c r="C251" s="33"/>
      <c r="D251" s="34"/>
      <c r="E251" s="34"/>
      <c r="G251" s="50"/>
    </row>
    <row r="252" spans="1:7" s="23" customFormat="1" x14ac:dyDescent="0.25">
      <c r="A252" s="32"/>
      <c r="C252" s="33"/>
      <c r="D252" s="34"/>
      <c r="E252" s="34"/>
      <c r="G252" s="50"/>
    </row>
    <row r="253" spans="1:7" s="23" customFormat="1" x14ac:dyDescent="0.25">
      <c r="A253" s="32"/>
      <c r="C253" s="33"/>
      <c r="D253" s="34"/>
      <c r="E253" s="34"/>
      <c r="G253" s="50"/>
    </row>
    <row r="254" spans="1:7" s="23" customFormat="1" x14ac:dyDescent="0.25">
      <c r="A254" s="32"/>
      <c r="C254" s="33"/>
      <c r="D254" s="34"/>
      <c r="E254" s="34"/>
      <c r="G254" s="50"/>
    </row>
    <row r="255" spans="1:7" s="23" customFormat="1" x14ac:dyDescent="0.25">
      <c r="A255" s="32"/>
      <c r="C255" s="33"/>
      <c r="D255" s="34"/>
      <c r="E255" s="34"/>
      <c r="G255" s="50"/>
    </row>
    <row r="256" spans="1:7" s="23" customFormat="1" x14ac:dyDescent="0.25">
      <c r="A256" s="32"/>
      <c r="C256" s="33"/>
      <c r="D256" s="34"/>
      <c r="E256" s="34"/>
      <c r="G256" s="50"/>
    </row>
    <row r="257" spans="1:7" s="23" customFormat="1" x14ac:dyDescent="0.25">
      <c r="A257" s="32"/>
      <c r="C257" s="33"/>
      <c r="D257" s="34"/>
      <c r="E257" s="34"/>
      <c r="G257" s="50"/>
    </row>
    <row r="258" spans="1:7" s="23" customFormat="1" x14ac:dyDescent="0.25">
      <c r="A258" s="32"/>
      <c r="C258" s="33"/>
      <c r="D258" s="34"/>
      <c r="E258" s="34"/>
      <c r="G258" s="50"/>
    </row>
    <row r="259" spans="1:7" s="23" customFormat="1" x14ac:dyDescent="0.25">
      <c r="A259" s="32"/>
      <c r="C259" s="33"/>
      <c r="D259" s="34"/>
      <c r="E259" s="34"/>
      <c r="G259" s="50"/>
    </row>
    <row r="260" spans="1:7" s="23" customFormat="1" x14ac:dyDescent="0.25">
      <c r="A260" s="32"/>
      <c r="C260" s="33"/>
      <c r="D260" s="34"/>
      <c r="E260" s="34"/>
      <c r="G260" s="50"/>
    </row>
    <row r="261" spans="1:7" s="23" customFormat="1" x14ac:dyDescent="0.25">
      <c r="A261" s="32"/>
      <c r="C261" s="33"/>
      <c r="D261" s="34"/>
      <c r="E261" s="34"/>
      <c r="G261" s="50"/>
    </row>
    <row r="262" spans="1:7" s="23" customFormat="1" x14ac:dyDescent="0.25">
      <c r="A262" s="32"/>
      <c r="C262" s="33"/>
      <c r="D262" s="34"/>
      <c r="E262" s="34"/>
      <c r="G262" s="50"/>
    </row>
    <row r="263" spans="1:7" s="23" customFormat="1" x14ac:dyDescent="0.25">
      <c r="A263" s="32"/>
      <c r="C263" s="33"/>
      <c r="D263" s="34"/>
      <c r="E263" s="34"/>
      <c r="G263" s="50"/>
    </row>
    <row r="264" spans="1:7" s="23" customFormat="1" x14ac:dyDescent="0.25">
      <c r="A264" s="32"/>
      <c r="C264" s="33"/>
      <c r="D264" s="34"/>
      <c r="E264" s="34"/>
      <c r="G264" s="50"/>
    </row>
    <row r="265" spans="1:7" s="23" customFormat="1" x14ac:dyDescent="0.25">
      <c r="A265" s="32"/>
      <c r="C265" s="33"/>
      <c r="D265" s="34"/>
      <c r="E265" s="34"/>
      <c r="G265" s="50"/>
    </row>
    <row r="266" spans="1:7" s="23" customFormat="1" x14ac:dyDescent="0.25">
      <c r="A266" s="32"/>
      <c r="C266" s="33"/>
      <c r="D266" s="34"/>
      <c r="E266" s="34"/>
      <c r="G266" s="50"/>
    </row>
    <row r="267" spans="1:7" s="23" customFormat="1" x14ac:dyDescent="0.25">
      <c r="A267" s="32"/>
      <c r="C267" s="33"/>
      <c r="D267" s="34"/>
      <c r="E267" s="34"/>
      <c r="G267" s="50"/>
    </row>
    <row r="268" spans="1:7" s="23" customFormat="1" x14ac:dyDescent="0.25">
      <c r="A268" s="32"/>
      <c r="C268" s="33"/>
      <c r="D268" s="34"/>
      <c r="E268" s="34"/>
      <c r="G268" s="50"/>
    </row>
    <row r="269" spans="1:7" s="23" customFormat="1" x14ac:dyDescent="0.25">
      <c r="A269" s="32"/>
      <c r="C269" s="33"/>
      <c r="D269" s="34"/>
      <c r="E269" s="34"/>
      <c r="G269" s="50"/>
    </row>
    <row r="270" spans="1:7" s="23" customFormat="1" x14ac:dyDescent="0.25">
      <c r="A270" s="32"/>
      <c r="C270" s="33"/>
      <c r="D270" s="34"/>
      <c r="E270" s="34"/>
      <c r="G270" s="50"/>
    </row>
    <row r="271" spans="1:7" s="23" customFormat="1" x14ac:dyDescent="0.25">
      <c r="A271" s="32"/>
      <c r="C271" s="33"/>
      <c r="D271" s="34"/>
      <c r="E271" s="34"/>
      <c r="G271" s="50"/>
    </row>
    <row r="272" spans="1:7" s="23" customFormat="1" x14ac:dyDescent="0.25">
      <c r="A272" s="32"/>
      <c r="C272" s="33"/>
      <c r="D272" s="34"/>
      <c r="E272" s="34"/>
      <c r="G272" s="50"/>
    </row>
    <row r="273" spans="1:7" s="23" customFormat="1" x14ac:dyDescent="0.25">
      <c r="A273" s="32"/>
      <c r="C273" s="33"/>
      <c r="D273" s="34"/>
      <c r="E273" s="34"/>
      <c r="G273" s="50"/>
    </row>
    <row r="274" spans="1:7" s="23" customFormat="1" x14ac:dyDescent="0.25">
      <c r="A274" s="32"/>
      <c r="C274" s="33"/>
      <c r="D274" s="34"/>
      <c r="E274" s="34"/>
      <c r="G274" s="50"/>
    </row>
    <row r="275" spans="1:7" s="23" customFormat="1" x14ac:dyDescent="0.25">
      <c r="A275" s="32"/>
      <c r="C275" s="33"/>
      <c r="D275" s="34"/>
      <c r="E275" s="34"/>
      <c r="G275" s="50"/>
    </row>
    <row r="276" spans="1:7" s="23" customFormat="1" x14ac:dyDescent="0.25">
      <c r="A276" s="32"/>
      <c r="C276" s="33"/>
      <c r="D276" s="34"/>
      <c r="E276" s="34"/>
      <c r="G276" s="50"/>
    </row>
    <row r="277" spans="1:7" s="23" customFormat="1" x14ac:dyDescent="0.25">
      <c r="A277" s="32"/>
      <c r="C277" s="33"/>
      <c r="D277" s="34"/>
      <c r="E277" s="34"/>
      <c r="G277" s="50"/>
    </row>
    <row r="278" spans="1:7" s="23" customFormat="1" x14ac:dyDescent="0.25">
      <c r="A278" s="32"/>
      <c r="C278" s="33"/>
      <c r="D278" s="34"/>
      <c r="E278" s="34"/>
      <c r="G278" s="50"/>
    </row>
    <row r="279" spans="1:7" s="23" customFormat="1" x14ac:dyDescent="0.25">
      <c r="A279" s="32"/>
      <c r="C279" s="33"/>
      <c r="D279" s="34"/>
      <c r="E279" s="34"/>
      <c r="G279" s="50"/>
    </row>
    <row r="280" spans="1:7" s="23" customFormat="1" x14ac:dyDescent="0.25">
      <c r="A280" s="32"/>
      <c r="C280" s="33"/>
      <c r="D280" s="34"/>
      <c r="E280" s="34"/>
      <c r="G280" s="50"/>
    </row>
    <row r="281" spans="1:7" s="23" customFormat="1" x14ac:dyDescent="0.25">
      <c r="A281" s="32"/>
      <c r="C281" s="33"/>
      <c r="D281" s="34"/>
      <c r="E281" s="34"/>
      <c r="G281" s="50"/>
    </row>
    <row r="282" spans="1:7" s="23" customFormat="1" x14ac:dyDescent="0.25">
      <c r="A282" s="32"/>
      <c r="C282" s="33"/>
      <c r="D282" s="34"/>
      <c r="E282" s="34"/>
      <c r="G282" s="50"/>
    </row>
    <row r="283" spans="1:7" s="23" customFormat="1" x14ac:dyDescent="0.25">
      <c r="A283" s="32"/>
      <c r="C283" s="33"/>
      <c r="D283" s="34"/>
      <c r="E283" s="34"/>
      <c r="G283" s="50"/>
    </row>
    <row r="284" spans="1:7" s="23" customFormat="1" x14ac:dyDescent="0.25">
      <c r="A284" s="32"/>
      <c r="C284" s="33"/>
      <c r="D284" s="34"/>
      <c r="E284" s="34"/>
      <c r="G284" s="50"/>
    </row>
    <row r="285" spans="1:7" s="23" customFormat="1" x14ac:dyDescent="0.25">
      <c r="A285" s="32"/>
      <c r="C285" s="33"/>
      <c r="D285" s="34"/>
      <c r="E285" s="34"/>
      <c r="G285" s="50"/>
    </row>
    <row r="286" spans="1:7" s="23" customFormat="1" x14ac:dyDescent="0.25">
      <c r="A286" s="32"/>
      <c r="C286" s="33"/>
      <c r="D286" s="34"/>
      <c r="E286" s="34"/>
      <c r="G286" s="50"/>
    </row>
    <row r="287" spans="1:7" s="23" customFormat="1" x14ac:dyDescent="0.25">
      <c r="A287" s="32"/>
      <c r="C287" s="33"/>
      <c r="D287" s="34"/>
      <c r="E287" s="34"/>
      <c r="G287" s="50"/>
    </row>
    <row r="288" spans="1:7" s="23" customFormat="1" x14ac:dyDescent="0.25">
      <c r="A288" s="32"/>
      <c r="C288" s="33"/>
      <c r="D288" s="34"/>
      <c r="E288" s="34"/>
      <c r="G288" s="50"/>
    </row>
    <row r="289" spans="1:7" s="23" customFormat="1" x14ac:dyDescent="0.25">
      <c r="A289" s="32"/>
      <c r="C289" s="33"/>
      <c r="D289" s="34"/>
      <c r="E289" s="34"/>
      <c r="G289" s="50"/>
    </row>
    <row r="290" spans="1:7" s="23" customFormat="1" x14ac:dyDescent="0.25">
      <c r="A290" s="32"/>
      <c r="C290" s="33"/>
      <c r="D290" s="34"/>
      <c r="E290" s="34"/>
      <c r="G290" s="50"/>
    </row>
    <row r="291" spans="1:7" s="23" customFormat="1" x14ac:dyDescent="0.25">
      <c r="A291" s="32"/>
      <c r="C291" s="33"/>
      <c r="D291" s="34"/>
      <c r="E291" s="34"/>
      <c r="G291" s="50"/>
    </row>
    <row r="292" spans="1:7" s="23" customFormat="1" x14ac:dyDescent="0.25">
      <c r="A292" s="32"/>
      <c r="C292" s="33"/>
      <c r="D292" s="34"/>
      <c r="E292" s="34"/>
      <c r="G292" s="50"/>
    </row>
    <row r="293" spans="1:7" s="23" customFormat="1" x14ac:dyDescent="0.25">
      <c r="A293" s="32"/>
      <c r="C293" s="33"/>
      <c r="D293" s="34"/>
      <c r="E293" s="34"/>
      <c r="G293" s="50"/>
    </row>
    <row r="294" spans="1:7" s="23" customFormat="1" x14ac:dyDescent="0.25">
      <c r="A294" s="32"/>
      <c r="C294" s="33"/>
      <c r="D294" s="34"/>
      <c r="E294" s="34"/>
      <c r="G294" s="50"/>
    </row>
    <row r="295" spans="1:7" s="23" customFormat="1" x14ac:dyDescent="0.25">
      <c r="A295" s="32"/>
      <c r="C295" s="33"/>
      <c r="D295" s="34"/>
      <c r="E295" s="34"/>
      <c r="G295" s="50"/>
    </row>
    <row r="296" spans="1:7" s="23" customFormat="1" x14ac:dyDescent="0.25">
      <c r="A296" s="32"/>
      <c r="C296" s="33"/>
      <c r="D296" s="34"/>
      <c r="E296" s="34"/>
      <c r="G296" s="50"/>
    </row>
    <row r="297" spans="1:7" s="23" customFormat="1" x14ac:dyDescent="0.25">
      <c r="A297" s="32"/>
      <c r="C297" s="33"/>
      <c r="D297" s="34"/>
      <c r="E297" s="34"/>
      <c r="G297" s="50"/>
    </row>
    <row r="298" spans="1:7" s="23" customFormat="1" x14ac:dyDescent="0.25">
      <c r="A298" s="32"/>
      <c r="C298" s="33"/>
      <c r="D298" s="34"/>
      <c r="E298" s="34"/>
      <c r="G298" s="50"/>
    </row>
    <row r="299" spans="1:7" s="23" customFormat="1" x14ac:dyDescent="0.25">
      <c r="A299" s="32"/>
      <c r="C299" s="33"/>
      <c r="D299" s="34"/>
      <c r="E299" s="34"/>
      <c r="G299" s="50"/>
    </row>
    <row r="300" spans="1:7" s="23" customFormat="1" x14ac:dyDescent="0.25">
      <c r="A300" s="32"/>
      <c r="C300" s="33"/>
      <c r="D300" s="34"/>
      <c r="E300" s="34"/>
      <c r="G300" s="50"/>
    </row>
    <row r="301" spans="1:7" s="23" customFormat="1" x14ac:dyDescent="0.25">
      <c r="A301" s="32"/>
      <c r="C301" s="33"/>
      <c r="D301" s="34"/>
      <c r="E301" s="34"/>
      <c r="G301" s="50"/>
    </row>
    <row r="302" spans="1:7" s="23" customFormat="1" x14ac:dyDescent="0.25">
      <c r="A302" s="32"/>
      <c r="C302" s="33"/>
      <c r="D302" s="34"/>
      <c r="E302" s="34"/>
      <c r="G302" s="50"/>
    </row>
    <row r="303" spans="1:7" s="23" customFormat="1" x14ac:dyDescent="0.25">
      <c r="A303" s="32"/>
      <c r="C303" s="33"/>
      <c r="D303" s="34"/>
      <c r="E303" s="34"/>
      <c r="G303" s="50"/>
    </row>
    <row r="304" spans="1:7" s="23" customFormat="1" x14ac:dyDescent="0.25">
      <c r="A304" s="32"/>
      <c r="C304" s="33"/>
      <c r="D304" s="34"/>
      <c r="E304" s="34"/>
      <c r="G304" s="50"/>
    </row>
    <row r="305" spans="1:7" s="23" customFormat="1" x14ac:dyDescent="0.25">
      <c r="A305" s="32"/>
      <c r="C305" s="33"/>
      <c r="D305" s="34"/>
      <c r="E305" s="34"/>
      <c r="G305" s="50"/>
    </row>
    <row r="306" spans="1:7" s="23" customFormat="1" x14ac:dyDescent="0.25">
      <c r="A306" s="32"/>
      <c r="C306" s="33"/>
      <c r="D306" s="34"/>
      <c r="E306" s="34"/>
      <c r="G306" s="50"/>
    </row>
    <row r="307" spans="1:7" s="23" customFormat="1" x14ac:dyDescent="0.25">
      <c r="A307" s="32"/>
      <c r="C307" s="33"/>
      <c r="D307" s="34"/>
      <c r="E307" s="34"/>
      <c r="G307" s="50"/>
    </row>
    <row r="308" spans="1:7" s="23" customFormat="1" x14ac:dyDescent="0.25">
      <c r="A308" s="32"/>
      <c r="C308" s="33"/>
      <c r="D308" s="34"/>
      <c r="E308" s="34"/>
      <c r="G308" s="50"/>
    </row>
    <row r="309" spans="1:7" s="23" customFormat="1" x14ac:dyDescent="0.25">
      <c r="A309" s="32"/>
      <c r="C309" s="33"/>
      <c r="D309" s="34"/>
      <c r="E309" s="34"/>
      <c r="G309" s="50"/>
    </row>
    <row r="310" spans="1:7" s="23" customFormat="1" x14ac:dyDescent="0.25">
      <c r="A310" s="32"/>
      <c r="C310" s="33"/>
      <c r="D310" s="34"/>
      <c r="E310" s="34"/>
      <c r="G310" s="50"/>
    </row>
    <row r="311" spans="1:7" s="23" customFormat="1" x14ac:dyDescent="0.25">
      <c r="A311" s="32"/>
      <c r="C311" s="33"/>
      <c r="D311" s="34"/>
      <c r="E311" s="34"/>
      <c r="G311" s="50"/>
    </row>
    <row r="312" spans="1:7" s="23" customFormat="1" x14ac:dyDescent="0.25">
      <c r="A312" s="32"/>
      <c r="C312" s="33"/>
      <c r="D312" s="34"/>
      <c r="E312" s="34"/>
      <c r="G312" s="50"/>
    </row>
    <row r="313" spans="1:7" s="23" customFormat="1" x14ac:dyDescent="0.25">
      <c r="A313" s="32"/>
      <c r="C313" s="33"/>
      <c r="D313" s="34"/>
      <c r="E313" s="34"/>
      <c r="G313" s="50"/>
    </row>
    <row r="314" spans="1:7" s="23" customFormat="1" x14ac:dyDescent="0.25">
      <c r="A314" s="32"/>
      <c r="C314" s="33"/>
      <c r="D314" s="34"/>
      <c r="E314" s="34"/>
      <c r="G314" s="50"/>
    </row>
    <row r="315" spans="1:7" s="23" customFormat="1" x14ac:dyDescent="0.25">
      <c r="A315" s="32"/>
      <c r="C315" s="33"/>
      <c r="D315" s="34"/>
      <c r="E315" s="34"/>
      <c r="G315" s="50"/>
    </row>
    <row r="316" spans="1:7" s="23" customFormat="1" x14ac:dyDescent="0.25">
      <c r="A316" s="32"/>
      <c r="C316" s="33"/>
      <c r="D316" s="34"/>
      <c r="E316" s="34"/>
      <c r="G316" s="50"/>
    </row>
    <row r="317" spans="1:7" s="23" customFormat="1" x14ac:dyDescent="0.25">
      <c r="A317" s="32"/>
      <c r="C317" s="33"/>
      <c r="D317" s="34"/>
      <c r="E317" s="34"/>
      <c r="G317" s="50"/>
    </row>
    <row r="318" spans="1:7" s="23" customFormat="1" x14ac:dyDescent="0.25">
      <c r="A318" s="32"/>
      <c r="C318" s="33"/>
      <c r="D318" s="34"/>
      <c r="E318" s="34"/>
      <c r="G318" s="50"/>
    </row>
    <row r="319" spans="1:7" s="23" customFormat="1" x14ac:dyDescent="0.25">
      <c r="A319" s="32"/>
      <c r="C319" s="33"/>
      <c r="D319" s="34"/>
      <c r="E319" s="34"/>
      <c r="G319" s="50"/>
    </row>
    <row r="320" spans="1:7" s="23" customFormat="1" x14ac:dyDescent="0.25">
      <c r="A320" s="32"/>
      <c r="C320" s="33"/>
      <c r="D320" s="34"/>
      <c r="E320" s="34"/>
      <c r="G320" s="50"/>
    </row>
    <row r="321" spans="1:7" s="23" customFormat="1" x14ac:dyDescent="0.25">
      <c r="A321" s="32"/>
      <c r="C321" s="33"/>
      <c r="D321" s="34"/>
      <c r="E321" s="34"/>
      <c r="G321" s="50"/>
    </row>
    <row r="322" spans="1:7" s="23" customFormat="1" x14ac:dyDescent="0.25">
      <c r="A322" s="32"/>
      <c r="C322" s="33"/>
      <c r="D322" s="34"/>
      <c r="E322" s="34"/>
      <c r="G322" s="50"/>
    </row>
    <row r="323" spans="1:7" s="23" customFormat="1" x14ac:dyDescent="0.25">
      <c r="A323" s="32"/>
      <c r="C323" s="33"/>
      <c r="D323" s="34"/>
      <c r="E323" s="34"/>
      <c r="G323" s="50"/>
    </row>
    <row r="324" spans="1:7" s="23" customFormat="1" x14ac:dyDescent="0.25">
      <c r="A324" s="32"/>
      <c r="C324" s="33"/>
      <c r="D324" s="34"/>
      <c r="E324" s="34"/>
      <c r="G324" s="50"/>
    </row>
    <row r="325" spans="1:7" s="23" customFormat="1" x14ac:dyDescent="0.25">
      <c r="A325" s="32"/>
      <c r="C325" s="33"/>
      <c r="D325" s="34"/>
      <c r="E325" s="34"/>
      <c r="G325" s="50"/>
    </row>
    <row r="326" spans="1:7" s="23" customFormat="1" x14ac:dyDescent="0.25">
      <c r="A326" s="32"/>
      <c r="C326" s="33"/>
      <c r="D326" s="34"/>
      <c r="E326" s="34"/>
      <c r="G326" s="50"/>
    </row>
    <row r="327" spans="1:7" s="23" customFormat="1" x14ac:dyDescent="0.25">
      <c r="A327" s="32"/>
      <c r="C327" s="33"/>
      <c r="D327" s="34"/>
      <c r="E327" s="34"/>
      <c r="G327" s="50"/>
    </row>
    <row r="328" spans="1:7" s="23" customFormat="1" x14ac:dyDescent="0.25">
      <c r="A328" s="32"/>
      <c r="C328" s="33"/>
      <c r="D328" s="34"/>
      <c r="E328" s="34"/>
      <c r="G328" s="50"/>
    </row>
    <row r="329" spans="1:7" s="23" customFormat="1" x14ac:dyDescent="0.25">
      <c r="A329" s="32"/>
      <c r="C329" s="33"/>
      <c r="D329" s="34"/>
      <c r="E329" s="34"/>
      <c r="G329" s="50"/>
    </row>
    <row r="330" spans="1:7" s="23" customFormat="1" x14ac:dyDescent="0.25">
      <c r="A330" s="32"/>
      <c r="C330" s="33"/>
      <c r="D330" s="34"/>
      <c r="E330" s="34"/>
      <c r="G330" s="50"/>
    </row>
    <row r="331" spans="1:7" s="23" customFormat="1" x14ac:dyDescent="0.25">
      <c r="A331" s="32"/>
      <c r="C331" s="33"/>
      <c r="D331" s="34"/>
      <c r="E331" s="34"/>
      <c r="G331" s="50"/>
    </row>
    <row r="332" spans="1:7" s="23" customFormat="1" x14ac:dyDescent="0.25">
      <c r="A332" s="32"/>
      <c r="C332" s="33"/>
      <c r="D332" s="34"/>
      <c r="E332" s="34"/>
      <c r="G332" s="50"/>
    </row>
    <row r="333" spans="1:7" s="23" customFormat="1" x14ac:dyDescent="0.25">
      <c r="A333" s="32"/>
      <c r="C333" s="33"/>
      <c r="D333" s="34"/>
      <c r="E333" s="34"/>
      <c r="G333" s="50"/>
    </row>
    <row r="334" spans="1:7" s="23" customFormat="1" x14ac:dyDescent="0.25">
      <c r="A334" s="32"/>
      <c r="C334" s="33"/>
      <c r="D334" s="34"/>
      <c r="E334" s="34"/>
      <c r="G334" s="50"/>
    </row>
    <row r="335" spans="1:7" s="23" customFormat="1" x14ac:dyDescent="0.25">
      <c r="A335" s="32"/>
      <c r="C335" s="33"/>
      <c r="D335" s="34"/>
      <c r="E335" s="34"/>
      <c r="G335" s="50"/>
    </row>
    <row r="336" spans="1:7" s="23" customFormat="1" x14ac:dyDescent="0.25">
      <c r="A336" s="32"/>
      <c r="C336" s="33"/>
      <c r="D336" s="34"/>
      <c r="E336" s="34"/>
      <c r="G336" s="50"/>
    </row>
    <row r="337" spans="1:7" s="23" customFormat="1" x14ac:dyDescent="0.25">
      <c r="A337" s="32"/>
      <c r="C337" s="33"/>
      <c r="D337" s="34"/>
      <c r="E337" s="34"/>
      <c r="G337" s="50"/>
    </row>
    <row r="338" spans="1:7" s="23" customFormat="1" x14ac:dyDescent="0.25">
      <c r="A338" s="32"/>
      <c r="C338" s="33"/>
      <c r="D338" s="34"/>
      <c r="E338" s="34"/>
      <c r="G338" s="50"/>
    </row>
    <row r="339" spans="1:7" s="23" customFormat="1" x14ac:dyDescent="0.25">
      <c r="A339" s="32"/>
      <c r="C339" s="33"/>
      <c r="D339" s="34"/>
      <c r="E339" s="34"/>
      <c r="G339" s="50"/>
    </row>
    <row r="340" spans="1:7" s="23" customFormat="1" x14ac:dyDescent="0.25">
      <c r="A340" s="32"/>
      <c r="C340" s="33"/>
      <c r="D340" s="34"/>
      <c r="E340" s="34"/>
      <c r="G340" s="50"/>
    </row>
    <row r="341" spans="1:7" s="23" customFormat="1" x14ac:dyDescent="0.25">
      <c r="A341" s="32"/>
      <c r="C341" s="33"/>
      <c r="D341" s="34"/>
      <c r="E341" s="34"/>
      <c r="G341" s="50"/>
    </row>
    <row r="342" spans="1:7" s="23" customFormat="1" x14ac:dyDescent="0.25">
      <c r="A342" s="32"/>
      <c r="C342" s="33"/>
      <c r="D342" s="34"/>
      <c r="E342" s="34"/>
      <c r="G342" s="50"/>
    </row>
    <row r="343" spans="1:7" s="23" customFormat="1" x14ac:dyDescent="0.25">
      <c r="A343" s="32"/>
      <c r="C343" s="33"/>
      <c r="D343" s="34"/>
      <c r="E343" s="34"/>
    </row>
    <row r="344" spans="1:7" s="23" customFormat="1" x14ac:dyDescent="0.25">
      <c r="A344" s="32"/>
      <c r="C344" s="33"/>
      <c r="D344" s="34"/>
      <c r="E344" s="34"/>
    </row>
    <row r="345" spans="1:7" s="23" customFormat="1" x14ac:dyDescent="0.25">
      <c r="A345" s="32"/>
      <c r="C345" s="33"/>
      <c r="D345" s="34"/>
      <c r="E345" s="34"/>
    </row>
    <row r="346" spans="1:7" s="23" customFormat="1" x14ac:dyDescent="0.25">
      <c r="A346" s="32"/>
      <c r="C346" s="33"/>
      <c r="D346" s="34"/>
      <c r="E346" s="34"/>
    </row>
    <row r="347" spans="1:7" s="23" customFormat="1" x14ac:dyDescent="0.25">
      <c r="A347" s="32"/>
      <c r="C347" s="33"/>
      <c r="D347" s="34"/>
      <c r="E347" s="34"/>
    </row>
    <row r="348" spans="1:7" s="23" customFormat="1" x14ac:dyDescent="0.25">
      <c r="A348" s="32"/>
      <c r="C348" s="33"/>
      <c r="D348" s="34"/>
      <c r="E348" s="34"/>
    </row>
    <row r="349" spans="1:7" s="23" customFormat="1" x14ac:dyDescent="0.25">
      <c r="A349" s="32"/>
      <c r="C349" s="33"/>
      <c r="D349" s="34"/>
      <c r="E349" s="34"/>
    </row>
    <row r="350" spans="1:7" s="23" customFormat="1" x14ac:dyDescent="0.25">
      <c r="A350" s="32"/>
      <c r="C350" s="33"/>
      <c r="D350" s="34"/>
      <c r="E350" s="34"/>
    </row>
    <row r="351" spans="1:7" s="23" customFormat="1" x14ac:dyDescent="0.25">
      <c r="A351" s="32"/>
      <c r="C351" s="33"/>
      <c r="D351" s="34"/>
      <c r="E351" s="34"/>
    </row>
    <row r="352" spans="1:7" s="23" customFormat="1" x14ac:dyDescent="0.25">
      <c r="A352" s="32"/>
      <c r="C352" s="33"/>
      <c r="D352" s="34"/>
      <c r="E352" s="34"/>
    </row>
    <row r="353" spans="1:5" s="23" customFormat="1" x14ac:dyDescent="0.25">
      <c r="A353" s="32"/>
      <c r="C353" s="33"/>
      <c r="D353" s="34"/>
      <c r="E353" s="34"/>
    </row>
    <row r="354" spans="1:5" s="23" customFormat="1" x14ac:dyDescent="0.25">
      <c r="A354" s="32"/>
      <c r="C354" s="33"/>
      <c r="D354" s="34"/>
      <c r="E354" s="34"/>
    </row>
    <row r="355" spans="1:5" s="23" customFormat="1" x14ac:dyDescent="0.25">
      <c r="A355" s="32"/>
      <c r="C355" s="33"/>
      <c r="D355" s="34"/>
      <c r="E355" s="34"/>
    </row>
    <row r="356" spans="1:5" s="23" customFormat="1" x14ac:dyDescent="0.25">
      <c r="A356" s="32"/>
      <c r="C356" s="33"/>
      <c r="D356" s="34"/>
      <c r="E356" s="34"/>
    </row>
    <row r="357" spans="1:5" s="23" customFormat="1" x14ac:dyDescent="0.25">
      <c r="A357" s="32"/>
      <c r="C357" s="33"/>
      <c r="D357" s="34"/>
      <c r="E357" s="34"/>
    </row>
    <row r="358" spans="1:5" s="23" customFormat="1" x14ac:dyDescent="0.25">
      <c r="A358" s="32"/>
      <c r="C358" s="33"/>
      <c r="D358" s="34"/>
      <c r="E358" s="34"/>
    </row>
    <row r="359" spans="1:5" s="23" customFormat="1" x14ac:dyDescent="0.25">
      <c r="A359" s="32"/>
      <c r="C359" s="33"/>
      <c r="D359" s="34"/>
      <c r="E359" s="34"/>
    </row>
    <row r="360" spans="1:5" s="23" customFormat="1" x14ac:dyDescent="0.25">
      <c r="A360" s="32"/>
      <c r="C360" s="33"/>
      <c r="D360" s="34"/>
      <c r="E360" s="34"/>
    </row>
    <row r="361" spans="1:5" s="23" customFormat="1" x14ac:dyDescent="0.25">
      <c r="A361" s="32"/>
      <c r="C361" s="33"/>
      <c r="D361" s="34"/>
      <c r="E361" s="34"/>
    </row>
    <row r="362" spans="1:5" s="23" customFormat="1" x14ac:dyDescent="0.25">
      <c r="A362" s="32"/>
      <c r="C362" s="33"/>
      <c r="D362" s="34"/>
      <c r="E362" s="34"/>
    </row>
    <row r="363" spans="1:5" s="23" customFormat="1" x14ac:dyDescent="0.25">
      <c r="A363" s="32"/>
      <c r="C363" s="33"/>
      <c r="D363" s="34"/>
      <c r="E363" s="34"/>
    </row>
    <row r="364" spans="1:5" s="23" customFormat="1" x14ac:dyDescent="0.25">
      <c r="A364" s="32"/>
      <c r="C364" s="33"/>
      <c r="D364" s="34"/>
      <c r="E364" s="34"/>
    </row>
    <row r="365" spans="1:5" s="23" customFormat="1" x14ac:dyDescent="0.25">
      <c r="A365" s="32"/>
      <c r="C365" s="33"/>
      <c r="D365" s="34"/>
      <c r="E365" s="34"/>
    </row>
    <row r="366" spans="1:5" s="23" customFormat="1" x14ac:dyDescent="0.25">
      <c r="A366" s="32"/>
      <c r="C366" s="33"/>
      <c r="D366" s="34"/>
      <c r="E366" s="34"/>
    </row>
    <row r="367" spans="1:5" s="23" customFormat="1" x14ac:dyDescent="0.25">
      <c r="A367" s="32"/>
      <c r="C367" s="33"/>
      <c r="D367" s="34"/>
      <c r="E367" s="34"/>
    </row>
    <row r="368" spans="1:5" s="23" customFormat="1" x14ac:dyDescent="0.25">
      <c r="A368" s="32"/>
      <c r="C368" s="33"/>
      <c r="D368" s="34"/>
      <c r="E368" s="34"/>
    </row>
    <row r="369" spans="1:5" s="23" customFormat="1" x14ac:dyDescent="0.25">
      <c r="A369" s="32"/>
      <c r="C369" s="33"/>
      <c r="D369" s="34"/>
      <c r="E369" s="34"/>
    </row>
    <row r="370" spans="1:5" s="23" customFormat="1" x14ac:dyDescent="0.25">
      <c r="A370" s="32"/>
      <c r="C370" s="33"/>
      <c r="D370" s="34"/>
      <c r="E370" s="34"/>
    </row>
    <row r="371" spans="1:5" s="23" customFormat="1" x14ac:dyDescent="0.25">
      <c r="A371" s="32"/>
      <c r="C371" s="33"/>
      <c r="D371" s="34"/>
      <c r="E371" s="34"/>
    </row>
    <row r="372" spans="1:5" s="23" customFormat="1" x14ac:dyDescent="0.25">
      <c r="A372" s="32"/>
      <c r="C372" s="33"/>
      <c r="D372" s="34"/>
      <c r="E372" s="34"/>
    </row>
    <row r="373" spans="1:5" s="23" customFormat="1" x14ac:dyDescent="0.25">
      <c r="A373" s="32"/>
      <c r="C373" s="33"/>
      <c r="D373" s="34"/>
      <c r="E373" s="34"/>
    </row>
    <row r="374" spans="1:5" s="23" customFormat="1" x14ac:dyDescent="0.25">
      <c r="A374" s="32"/>
      <c r="C374" s="33"/>
      <c r="D374" s="34"/>
      <c r="E374" s="34"/>
    </row>
    <row r="375" spans="1:5" s="23" customFormat="1" x14ac:dyDescent="0.25">
      <c r="A375" s="32"/>
      <c r="C375" s="33"/>
      <c r="D375" s="34"/>
      <c r="E375" s="34"/>
    </row>
    <row r="376" spans="1:5" s="23" customFormat="1" x14ac:dyDescent="0.25">
      <c r="A376" s="32"/>
      <c r="C376" s="33"/>
      <c r="D376" s="34"/>
      <c r="E376" s="34"/>
    </row>
    <row r="377" spans="1:5" s="23" customFormat="1" x14ac:dyDescent="0.25">
      <c r="A377" s="32"/>
      <c r="C377" s="33"/>
      <c r="D377" s="34"/>
      <c r="E377" s="34"/>
    </row>
    <row r="378" spans="1:5" s="23" customFormat="1" x14ac:dyDescent="0.25">
      <c r="A378" s="32"/>
      <c r="C378" s="33"/>
      <c r="D378" s="34"/>
      <c r="E378" s="34"/>
    </row>
    <row r="379" spans="1:5" s="23" customFormat="1" x14ac:dyDescent="0.25">
      <c r="A379" s="32"/>
      <c r="C379" s="33"/>
      <c r="D379" s="34"/>
      <c r="E379" s="34"/>
    </row>
    <row r="380" spans="1:5" s="23" customFormat="1" x14ac:dyDescent="0.25">
      <c r="A380" s="32"/>
      <c r="C380" s="33"/>
      <c r="D380" s="34"/>
      <c r="E380" s="34"/>
    </row>
    <row r="381" spans="1:5" s="23" customFormat="1" x14ac:dyDescent="0.25">
      <c r="A381" s="32"/>
      <c r="C381" s="33"/>
      <c r="D381" s="34"/>
      <c r="E381" s="34"/>
    </row>
    <row r="382" spans="1:5" s="23" customFormat="1" x14ac:dyDescent="0.25">
      <c r="A382" s="32"/>
      <c r="C382" s="33"/>
      <c r="D382" s="34"/>
      <c r="E382" s="34"/>
    </row>
    <row r="383" spans="1:5" s="23" customFormat="1" x14ac:dyDescent="0.25">
      <c r="A383" s="32"/>
      <c r="C383" s="33"/>
      <c r="D383" s="34"/>
      <c r="E383" s="34"/>
    </row>
    <row r="384" spans="1:5" s="23" customFormat="1" x14ac:dyDescent="0.25">
      <c r="A384" s="32"/>
      <c r="C384" s="33"/>
      <c r="D384" s="34"/>
      <c r="E384" s="34"/>
    </row>
    <row r="385" spans="1:5" s="23" customFormat="1" x14ac:dyDescent="0.25">
      <c r="A385" s="32"/>
      <c r="C385" s="33"/>
      <c r="D385" s="34"/>
      <c r="E385" s="34"/>
    </row>
    <row r="386" spans="1:5" s="23" customFormat="1" x14ac:dyDescent="0.25">
      <c r="A386" s="32"/>
      <c r="C386" s="33"/>
      <c r="D386" s="34"/>
      <c r="E386" s="34"/>
    </row>
    <row r="387" spans="1:5" s="23" customFormat="1" x14ac:dyDescent="0.25">
      <c r="A387" s="32"/>
      <c r="C387" s="33"/>
      <c r="D387" s="34"/>
      <c r="E387" s="34"/>
    </row>
    <row r="388" spans="1:5" s="23" customFormat="1" x14ac:dyDescent="0.25">
      <c r="A388" s="32"/>
      <c r="C388" s="33"/>
      <c r="D388" s="34"/>
      <c r="E388" s="34"/>
    </row>
    <row r="389" spans="1:5" s="23" customFormat="1" x14ac:dyDescent="0.25">
      <c r="A389" s="32"/>
      <c r="C389" s="33"/>
      <c r="D389" s="34"/>
      <c r="E389" s="34"/>
    </row>
    <row r="390" spans="1:5" s="23" customFormat="1" x14ac:dyDescent="0.25">
      <c r="A390" s="32"/>
      <c r="C390" s="33"/>
      <c r="D390" s="34"/>
      <c r="E390" s="34"/>
    </row>
    <row r="391" spans="1:5" s="23" customFormat="1" x14ac:dyDescent="0.25">
      <c r="A391" s="32"/>
      <c r="C391" s="33"/>
      <c r="D391" s="34"/>
      <c r="E391" s="34"/>
    </row>
    <row r="392" spans="1:5" s="23" customFormat="1" x14ac:dyDescent="0.25">
      <c r="A392" s="32"/>
      <c r="C392" s="33"/>
      <c r="D392" s="34"/>
      <c r="E392" s="34"/>
    </row>
    <row r="393" spans="1:5" s="23" customFormat="1" x14ac:dyDescent="0.25">
      <c r="A393" s="32"/>
      <c r="C393" s="33"/>
      <c r="D393" s="34"/>
      <c r="E393" s="34"/>
    </row>
    <row r="394" spans="1:5" s="23" customFormat="1" x14ac:dyDescent="0.25">
      <c r="A394" s="32"/>
      <c r="C394" s="33"/>
      <c r="D394" s="34"/>
      <c r="E394" s="34"/>
    </row>
    <row r="395" spans="1:5" s="23" customFormat="1" x14ac:dyDescent="0.25">
      <c r="A395" s="32"/>
      <c r="C395" s="33"/>
      <c r="D395" s="34"/>
      <c r="E395" s="34"/>
    </row>
    <row r="396" spans="1:5" s="23" customFormat="1" x14ac:dyDescent="0.25">
      <c r="A396" s="32"/>
      <c r="C396" s="33"/>
      <c r="D396" s="34"/>
      <c r="E396" s="34"/>
    </row>
    <row r="397" spans="1:5" s="23" customFormat="1" x14ac:dyDescent="0.25">
      <c r="A397" s="32"/>
      <c r="C397" s="33"/>
      <c r="D397" s="34"/>
      <c r="E397" s="34"/>
    </row>
    <row r="398" spans="1:5" s="23" customFormat="1" x14ac:dyDescent="0.25">
      <c r="A398" s="32"/>
      <c r="C398" s="33"/>
      <c r="D398" s="34"/>
      <c r="E398" s="34"/>
    </row>
    <row r="399" spans="1:5" s="23" customFormat="1" x14ac:dyDescent="0.25">
      <c r="A399" s="32"/>
      <c r="C399" s="33"/>
      <c r="D399" s="34"/>
      <c r="E399" s="34"/>
    </row>
    <row r="400" spans="1:5" s="23" customFormat="1" x14ac:dyDescent="0.25">
      <c r="A400" s="32"/>
      <c r="C400" s="33"/>
      <c r="D400" s="34"/>
      <c r="E400" s="34"/>
    </row>
    <row r="401" spans="1:5" s="23" customFormat="1" x14ac:dyDescent="0.25">
      <c r="A401" s="32"/>
      <c r="C401" s="33"/>
      <c r="D401" s="34"/>
      <c r="E401" s="34"/>
    </row>
    <row r="402" spans="1:5" s="23" customFormat="1" x14ac:dyDescent="0.25">
      <c r="A402" s="32"/>
      <c r="C402" s="33"/>
      <c r="D402" s="34"/>
      <c r="E402" s="34"/>
    </row>
    <row r="403" spans="1:5" s="23" customFormat="1" x14ac:dyDescent="0.25">
      <c r="A403" s="32"/>
      <c r="C403" s="33"/>
      <c r="D403" s="34"/>
      <c r="E403" s="34"/>
    </row>
    <row r="404" spans="1:5" s="23" customFormat="1" x14ac:dyDescent="0.25">
      <c r="A404" s="32"/>
      <c r="C404" s="33"/>
      <c r="D404" s="34"/>
      <c r="E404" s="34"/>
    </row>
    <row r="405" spans="1:5" s="23" customFormat="1" x14ac:dyDescent="0.25">
      <c r="A405" s="32"/>
      <c r="C405" s="33"/>
      <c r="D405" s="34"/>
      <c r="E405" s="34"/>
    </row>
    <row r="406" spans="1:5" s="23" customFormat="1" x14ac:dyDescent="0.25">
      <c r="A406" s="32"/>
      <c r="C406" s="33"/>
      <c r="D406" s="34"/>
      <c r="E406" s="34"/>
    </row>
    <row r="407" spans="1:5" s="23" customFormat="1" x14ac:dyDescent="0.25">
      <c r="A407" s="32"/>
      <c r="C407" s="33"/>
      <c r="D407" s="34"/>
      <c r="E407" s="34"/>
    </row>
    <row r="408" spans="1:5" s="23" customFormat="1" x14ac:dyDescent="0.25">
      <c r="A408" s="32"/>
      <c r="C408" s="33"/>
      <c r="D408" s="34"/>
      <c r="E408" s="34"/>
    </row>
    <row r="409" spans="1:5" s="23" customFormat="1" x14ac:dyDescent="0.25">
      <c r="A409" s="32"/>
      <c r="C409" s="33"/>
      <c r="D409" s="34"/>
      <c r="E409" s="34"/>
    </row>
    <row r="410" spans="1:5" s="23" customFormat="1" x14ac:dyDescent="0.25">
      <c r="A410" s="32"/>
      <c r="C410" s="33"/>
      <c r="D410" s="34"/>
      <c r="E410" s="34"/>
    </row>
    <row r="411" spans="1:5" s="23" customFormat="1" x14ac:dyDescent="0.25">
      <c r="A411" s="32"/>
      <c r="C411" s="33"/>
      <c r="D411" s="34"/>
      <c r="E411" s="34"/>
    </row>
    <row r="412" spans="1:5" s="23" customFormat="1" x14ac:dyDescent="0.25">
      <c r="A412" s="32"/>
      <c r="C412" s="33"/>
      <c r="D412" s="34"/>
      <c r="E412" s="34"/>
    </row>
    <row r="413" spans="1:5" s="23" customFormat="1" x14ac:dyDescent="0.25">
      <c r="A413" s="32"/>
      <c r="C413" s="33"/>
      <c r="D413" s="34"/>
      <c r="E413" s="34"/>
    </row>
    <row r="414" spans="1:5" s="23" customFormat="1" x14ac:dyDescent="0.25">
      <c r="A414" s="32"/>
      <c r="C414" s="33"/>
      <c r="D414" s="34"/>
      <c r="E414" s="34"/>
    </row>
    <row r="415" spans="1:5" s="23" customFormat="1" x14ac:dyDescent="0.25">
      <c r="A415" s="32"/>
      <c r="C415" s="33"/>
      <c r="D415" s="34"/>
      <c r="E415" s="34"/>
    </row>
    <row r="416" spans="1:5" s="23" customFormat="1" x14ac:dyDescent="0.25">
      <c r="A416" s="32"/>
      <c r="C416" s="33"/>
      <c r="D416" s="34"/>
      <c r="E416" s="34"/>
    </row>
    <row r="417" spans="1:5" s="23" customFormat="1" x14ac:dyDescent="0.25">
      <c r="A417" s="32"/>
      <c r="C417" s="33"/>
      <c r="D417" s="34"/>
      <c r="E417" s="34"/>
    </row>
    <row r="418" spans="1:5" s="23" customFormat="1" x14ac:dyDescent="0.25">
      <c r="A418" s="32"/>
      <c r="C418" s="33"/>
      <c r="D418" s="34"/>
      <c r="E418" s="34"/>
    </row>
    <row r="419" spans="1:5" s="23" customFormat="1" x14ac:dyDescent="0.25">
      <c r="A419" s="32"/>
      <c r="C419" s="33"/>
      <c r="D419" s="34"/>
      <c r="E419" s="34"/>
    </row>
    <row r="420" spans="1:5" s="23" customFormat="1" x14ac:dyDescent="0.25">
      <c r="A420" s="32"/>
      <c r="C420" s="33"/>
      <c r="D420" s="34"/>
      <c r="E420" s="34"/>
    </row>
    <row r="421" spans="1:5" s="23" customFormat="1" x14ac:dyDescent="0.25">
      <c r="A421" s="32"/>
      <c r="C421" s="33"/>
      <c r="D421" s="34"/>
      <c r="E421" s="34"/>
    </row>
    <row r="422" spans="1:5" s="23" customFormat="1" x14ac:dyDescent="0.25">
      <c r="A422" s="32"/>
      <c r="C422" s="33"/>
      <c r="D422" s="34"/>
      <c r="E422" s="34"/>
    </row>
    <row r="423" spans="1:5" s="23" customFormat="1" x14ac:dyDescent="0.25">
      <c r="A423" s="32"/>
      <c r="C423" s="33"/>
      <c r="D423" s="34"/>
      <c r="E423" s="34"/>
    </row>
    <row r="424" spans="1:5" s="23" customFormat="1" x14ac:dyDescent="0.25">
      <c r="A424" s="32"/>
      <c r="C424" s="33"/>
      <c r="D424" s="34"/>
      <c r="E424" s="34"/>
    </row>
    <row r="425" spans="1:5" s="23" customFormat="1" x14ac:dyDescent="0.25">
      <c r="A425" s="32"/>
      <c r="C425" s="33"/>
      <c r="D425" s="34"/>
      <c r="E425" s="34"/>
    </row>
    <row r="426" spans="1:5" s="23" customFormat="1" x14ac:dyDescent="0.25">
      <c r="A426" s="32"/>
      <c r="C426" s="33"/>
      <c r="D426" s="34"/>
      <c r="E426" s="34"/>
    </row>
    <row r="427" spans="1:5" s="23" customFormat="1" x14ac:dyDescent="0.25">
      <c r="A427" s="32"/>
      <c r="C427" s="33"/>
      <c r="D427" s="34"/>
      <c r="E427" s="34"/>
    </row>
    <row r="428" spans="1:5" s="23" customFormat="1" x14ac:dyDescent="0.25">
      <c r="A428" s="32"/>
      <c r="C428" s="33"/>
      <c r="D428" s="34"/>
      <c r="E428" s="34"/>
    </row>
    <row r="429" spans="1:5" s="23" customFormat="1" x14ac:dyDescent="0.25">
      <c r="A429" s="32"/>
      <c r="C429" s="33"/>
      <c r="D429" s="34"/>
      <c r="E429" s="34"/>
    </row>
    <row r="430" spans="1:5" s="23" customFormat="1" x14ac:dyDescent="0.25">
      <c r="A430" s="32"/>
      <c r="C430" s="33"/>
      <c r="D430" s="34"/>
      <c r="E430" s="34"/>
    </row>
    <row r="431" spans="1:5" s="23" customFormat="1" x14ac:dyDescent="0.25">
      <c r="A431" s="32"/>
      <c r="C431" s="33"/>
      <c r="D431" s="34"/>
      <c r="E431" s="34"/>
    </row>
    <row r="432" spans="1:5" s="23" customFormat="1" x14ac:dyDescent="0.25">
      <c r="A432" s="32"/>
      <c r="C432" s="33"/>
      <c r="D432" s="34"/>
      <c r="E432" s="34"/>
    </row>
    <row r="433" spans="1:5" s="23" customFormat="1" x14ac:dyDescent="0.25">
      <c r="A433" s="32"/>
      <c r="C433" s="33"/>
      <c r="D433" s="34"/>
      <c r="E433" s="34"/>
    </row>
    <row r="434" spans="1:5" s="23" customFormat="1" x14ac:dyDescent="0.25">
      <c r="A434" s="32"/>
      <c r="C434" s="33"/>
      <c r="D434" s="34"/>
      <c r="E434" s="34"/>
    </row>
    <row r="435" spans="1:5" s="23" customFormat="1" x14ac:dyDescent="0.25">
      <c r="A435" s="32"/>
      <c r="C435" s="33"/>
      <c r="D435" s="34"/>
      <c r="E435" s="34"/>
    </row>
    <row r="436" spans="1:5" s="23" customFormat="1" x14ac:dyDescent="0.25">
      <c r="A436" s="32"/>
      <c r="C436" s="33"/>
      <c r="D436" s="34"/>
      <c r="E436" s="34"/>
    </row>
    <row r="437" spans="1:5" s="23" customFormat="1" x14ac:dyDescent="0.25">
      <c r="A437" s="32"/>
      <c r="C437" s="33"/>
      <c r="D437" s="34"/>
      <c r="E437" s="34"/>
    </row>
    <row r="438" spans="1:5" s="23" customFormat="1" x14ac:dyDescent="0.25">
      <c r="A438" s="32"/>
      <c r="C438" s="33"/>
      <c r="D438" s="34"/>
      <c r="E438" s="34"/>
    </row>
    <row r="439" spans="1:5" s="23" customFormat="1" x14ac:dyDescent="0.25">
      <c r="A439" s="32"/>
      <c r="C439" s="33"/>
      <c r="D439" s="34"/>
      <c r="E439" s="34"/>
    </row>
    <row r="440" spans="1:5" s="23" customFormat="1" x14ac:dyDescent="0.25">
      <c r="A440" s="32"/>
      <c r="C440" s="33"/>
      <c r="D440" s="34"/>
      <c r="E440" s="34"/>
    </row>
    <row r="441" spans="1:5" s="23" customFormat="1" x14ac:dyDescent="0.25">
      <c r="A441" s="32"/>
      <c r="C441" s="33"/>
      <c r="D441" s="34"/>
      <c r="E441" s="34"/>
    </row>
    <row r="442" spans="1:5" s="23" customFormat="1" x14ac:dyDescent="0.25">
      <c r="A442" s="32"/>
      <c r="C442" s="33"/>
      <c r="D442" s="34"/>
      <c r="E442" s="34"/>
    </row>
    <row r="443" spans="1:5" s="23" customFormat="1" x14ac:dyDescent="0.25">
      <c r="A443" s="32"/>
      <c r="C443" s="33"/>
      <c r="D443" s="34"/>
      <c r="E443" s="34"/>
    </row>
    <row r="444" spans="1:5" s="23" customFormat="1" x14ac:dyDescent="0.25">
      <c r="A444" s="32"/>
      <c r="C444" s="33"/>
      <c r="D444" s="34"/>
      <c r="E444" s="34"/>
    </row>
    <row r="445" spans="1:5" s="23" customFormat="1" x14ac:dyDescent="0.25">
      <c r="A445" s="32"/>
      <c r="C445" s="33"/>
      <c r="D445" s="34"/>
      <c r="E445" s="34"/>
    </row>
    <row r="446" spans="1:5" s="23" customFormat="1" x14ac:dyDescent="0.25">
      <c r="A446" s="32"/>
      <c r="C446" s="33"/>
      <c r="D446" s="34"/>
      <c r="E446" s="34"/>
    </row>
    <row r="447" spans="1:5" s="23" customFormat="1" x14ac:dyDescent="0.25">
      <c r="A447" s="32"/>
      <c r="C447" s="33"/>
      <c r="D447" s="34"/>
      <c r="E447" s="34"/>
    </row>
    <row r="448" spans="1:5" s="23" customFormat="1" x14ac:dyDescent="0.25">
      <c r="A448" s="32"/>
      <c r="C448" s="33"/>
      <c r="D448" s="34"/>
      <c r="E448" s="34"/>
    </row>
    <row r="449" spans="1:5" s="23" customFormat="1" x14ac:dyDescent="0.25">
      <c r="A449" s="32"/>
      <c r="C449" s="33"/>
      <c r="D449" s="34"/>
      <c r="E449" s="34"/>
    </row>
    <row r="450" spans="1:5" s="23" customFormat="1" x14ac:dyDescent="0.25">
      <c r="A450" s="32"/>
      <c r="C450" s="33"/>
      <c r="D450" s="34"/>
      <c r="E450" s="34"/>
    </row>
    <row r="451" spans="1:5" s="23" customFormat="1" x14ac:dyDescent="0.25">
      <c r="A451" s="32"/>
      <c r="C451" s="33"/>
      <c r="D451" s="34"/>
      <c r="E451" s="34"/>
    </row>
    <row r="452" spans="1:5" s="23" customFormat="1" x14ac:dyDescent="0.25">
      <c r="A452" s="32"/>
      <c r="C452" s="33"/>
      <c r="D452" s="34"/>
      <c r="E452" s="34"/>
    </row>
    <row r="453" spans="1:5" s="23" customFormat="1" x14ac:dyDescent="0.25">
      <c r="A453" s="32"/>
      <c r="C453" s="33"/>
      <c r="D453" s="34"/>
      <c r="E453" s="34"/>
    </row>
    <row r="454" spans="1:5" s="23" customFormat="1" x14ac:dyDescent="0.25">
      <c r="A454" s="32"/>
      <c r="C454" s="33"/>
      <c r="D454" s="34"/>
      <c r="E454" s="34"/>
    </row>
    <row r="455" spans="1:5" s="23" customFormat="1" x14ac:dyDescent="0.25">
      <c r="A455" s="32"/>
      <c r="C455" s="33"/>
      <c r="D455" s="34"/>
      <c r="E455" s="34"/>
    </row>
    <row r="456" spans="1:5" s="23" customFormat="1" x14ac:dyDescent="0.25">
      <c r="A456" s="32"/>
      <c r="C456" s="33"/>
      <c r="D456" s="34"/>
      <c r="E456" s="34"/>
    </row>
    <row r="457" spans="1:5" s="23" customFormat="1" x14ac:dyDescent="0.25">
      <c r="A457" s="32"/>
      <c r="C457" s="33"/>
      <c r="D457" s="34"/>
      <c r="E457" s="34"/>
    </row>
    <row r="458" spans="1:5" s="23" customFormat="1" x14ac:dyDescent="0.25">
      <c r="A458" s="32"/>
      <c r="C458" s="33"/>
      <c r="D458" s="34"/>
      <c r="E458" s="34"/>
    </row>
    <row r="459" spans="1:5" s="23" customFormat="1" x14ac:dyDescent="0.25">
      <c r="A459" s="32"/>
      <c r="C459" s="33"/>
      <c r="D459" s="34"/>
      <c r="E459" s="34"/>
    </row>
    <row r="460" spans="1:5" s="23" customFormat="1" x14ac:dyDescent="0.25">
      <c r="A460" s="32"/>
      <c r="C460" s="33"/>
      <c r="D460" s="34"/>
      <c r="E460" s="34"/>
    </row>
    <row r="461" spans="1:5" s="23" customFormat="1" x14ac:dyDescent="0.25">
      <c r="A461" s="32"/>
      <c r="C461" s="33"/>
      <c r="D461" s="34"/>
      <c r="E461" s="34"/>
    </row>
    <row r="462" spans="1:5" s="23" customFormat="1" x14ac:dyDescent="0.25">
      <c r="A462" s="32"/>
      <c r="C462" s="33"/>
      <c r="D462" s="34"/>
      <c r="E462" s="34"/>
    </row>
    <row r="463" spans="1:5" s="23" customFormat="1" x14ac:dyDescent="0.25">
      <c r="A463" s="32"/>
      <c r="C463" s="33"/>
      <c r="D463" s="34"/>
      <c r="E463" s="34"/>
    </row>
    <row r="464" spans="1:5" s="23" customFormat="1" x14ac:dyDescent="0.25">
      <c r="A464" s="32"/>
      <c r="C464" s="33"/>
      <c r="D464" s="34"/>
      <c r="E464" s="34"/>
    </row>
    <row r="465" spans="1:5" s="23" customFormat="1" x14ac:dyDescent="0.25">
      <c r="A465" s="32"/>
      <c r="C465" s="33"/>
      <c r="D465" s="34"/>
      <c r="E465" s="34"/>
    </row>
    <row r="466" spans="1:5" s="23" customFormat="1" x14ac:dyDescent="0.25">
      <c r="A466" s="32"/>
      <c r="C466" s="33"/>
      <c r="D466" s="34"/>
      <c r="E466" s="34"/>
    </row>
    <row r="467" spans="1:5" s="23" customFormat="1" x14ac:dyDescent="0.25">
      <c r="A467" s="32"/>
      <c r="C467" s="33"/>
      <c r="D467" s="34"/>
      <c r="E467" s="34"/>
    </row>
    <row r="468" spans="1:5" s="23" customFormat="1" x14ac:dyDescent="0.25">
      <c r="A468" s="32"/>
      <c r="C468" s="33"/>
      <c r="D468" s="34"/>
      <c r="E468" s="34"/>
    </row>
    <row r="469" spans="1:5" s="23" customFormat="1" x14ac:dyDescent="0.25">
      <c r="A469" s="32"/>
      <c r="C469" s="33"/>
      <c r="D469" s="34"/>
      <c r="E469" s="34"/>
    </row>
    <row r="470" spans="1:5" s="23" customFormat="1" x14ac:dyDescent="0.25">
      <c r="A470" s="32"/>
      <c r="C470" s="33"/>
      <c r="D470" s="34"/>
      <c r="E470" s="34"/>
    </row>
    <row r="471" spans="1:5" s="23" customFormat="1" x14ac:dyDescent="0.25">
      <c r="A471" s="32"/>
      <c r="C471" s="33"/>
      <c r="D471" s="34"/>
      <c r="E471" s="34"/>
    </row>
    <row r="472" spans="1:5" s="23" customFormat="1" x14ac:dyDescent="0.25">
      <c r="A472" s="32"/>
      <c r="C472" s="33"/>
      <c r="D472" s="34"/>
      <c r="E472" s="34"/>
    </row>
    <row r="473" spans="1:5" s="23" customFormat="1" x14ac:dyDescent="0.25">
      <c r="A473" s="32"/>
      <c r="C473" s="33"/>
      <c r="D473" s="34"/>
      <c r="E473" s="34"/>
    </row>
    <row r="474" spans="1:5" s="23" customFormat="1" x14ac:dyDescent="0.25">
      <c r="A474" s="32"/>
      <c r="C474" s="33"/>
      <c r="D474" s="34"/>
      <c r="E474" s="34"/>
    </row>
    <row r="475" spans="1:5" s="23" customFormat="1" x14ac:dyDescent="0.25">
      <c r="A475" s="32"/>
      <c r="C475" s="33"/>
      <c r="D475" s="34"/>
      <c r="E475" s="34"/>
    </row>
    <row r="476" spans="1:5" s="23" customFormat="1" x14ac:dyDescent="0.25">
      <c r="A476" s="32"/>
      <c r="C476" s="33"/>
      <c r="D476" s="34"/>
      <c r="E476" s="34"/>
    </row>
    <row r="477" spans="1:5" s="23" customFormat="1" x14ac:dyDescent="0.25">
      <c r="A477" s="32"/>
      <c r="C477" s="33"/>
      <c r="D477" s="34"/>
      <c r="E477" s="34"/>
    </row>
    <row r="478" spans="1:5" s="23" customFormat="1" x14ac:dyDescent="0.25">
      <c r="A478" s="32"/>
      <c r="C478" s="33"/>
      <c r="D478" s="34"/>
      <c r="E478" s="34"/>
    </row>
    <row r="479" spans="1:5" s="23" customFormat="1" x14ac:dyDescent="0.25">
      <c r="A479" s="32"/>
      <c r="C479" s="33"/>
      <c r="D479" s="34"/>
      <c r="E479" s="34"/>
    </row>
    <row r="480" spans="1:5" s="23" customFormat="1" x14ac:dyDescent="0.25">
      <c r="A480" s="32"/>
      <c r="C480" s="33"/>
      <c r="D480" s="34"/>
      <c r="E480" s="34"/>
    </row>
    <row r="481" spans="1:5" s="23" customFormat="1" x14ac:dyDescent="0.25">
      <c r="A481" s="32"/>
      <c r="C481" s="33"/>
      <c r="D481" s="34"/>
      <c r="E481" s="34"/>
    </row>
    <row r="482" spans="1:5" s="23" customFormat="1" x14ac:dyDescent="0.25">
      <c r="A482" s="32"/>
      <c r="C482" s="33"/>
      <c r="D482" s="34"/>
      <c r="E482" s="34"/>
    </row>
    <row r="483" spans="1:5" s="23" customFormat="1" x14ac:dyDescent="0.25">
      <c r="A483" s="32"/>
      <c r="C483" s="33"/>
      <c r="D483" s="34"/>
      <c r="E483" s="34"/>
    </row>
    <row r="484" spans="1:5" s="23" customFormat="1" x14ac:dyDescent="0.25">
      <c r="A484" s="32"/>
      <c r="C484" s="33"/>
      <c r="D484" s="34"/>
      <c r="E484" s="34"/>
    </row>
    <row r="485" spans="1:5" s="23" customFormat="1" x14ac:dyDescent="0.25">
      <c r="A485" s="32"/>
      <c r="C485" s="33"/>
      <c r="D485" s="34"/>
      <c r="E485" s="34"/>
    </row>
    <row r="486" spans="1:5" s="23" customFormat="1" x14ac:dyDescent="0.25">
      <c r="A486" s="32"/>
      <c r="C486" s="33"/>
      <c r="D486" s="34"/>
      <c r="E486" s="34"/>
    </row>
    <row r="487" spans="1:5" s="23" customFormat="1" x14ac:dyDescent="0.25">
      <c r="A487" s="32"/>
      <c r="C487" s="33"/>
      <c r="D487" s="34"/>
      <c r="E487" s="34"/>
    </row>
    <row r="488" spans="1:5" s="23" customFormat="1" x14ac:dyDescent="0.25">
      <c r="A488" s="32"/>
      <c r="C488" s="33"/>
      <c r="D488" s="34"/>
      <c r="E488" s="34"/>
    </row>
    <row r="489" spans="1:5" s="23" customFormat="1" x14ac:dyDescent="0.25">
      <c r="A489" s="32"/>
      <c r="C489" s="33"/>
      <c r="D489" s="34"/>
      <c r="E489" s="34"/>
    </row>
    <row r="490" spans="1:5" s="23" customFormat="1" x14ac:dyDescent="0.25">
      <c r="A490" s="32"/>
      <c r="C490" s="33"/>
      <c r="D490" s="34"/>
      <c r="E490" s="34"/>
    </row>
    <row r="491" spans="1:5" s="23" customFormat="1" x14ac:dyDescent="0.25">
      <c r="A491" s="32"/>
      <c r="C491" s="33"/>
      <c r="D491" s="34"/>
      <c r="E491" s="34"/>
    </row>
    <row r="492" spans="1:5" s="23" customFormat="1" x14ac:dyDescent="0.25">
      <c r="A492" s="32"/>
      <c r="C492" s="33"/>
      <c r="D492" s="34"/>
      <c r="E492" s="34"/>
    </row>
    <row r="493" spans="1:5" s="23" customFormat="1" x14ac:dyDescent="0.25">
      <c r="A493" s="32"/>
      <c r="C493" s="33"/>
      <c r="D493" s="34"/>
      <c r="E493" s="34"/>
    </row>
    <row r="494" spans="1:5" s="23" customFormat="1" x14ac:dyDescent="0.25">
      <c r="A494" s="32"/>
      <c r="C494" s="33"/>
      <c r="D494" s="34"/>
      <c r="E494" s="34"/>
    </row>
    <row r="495" spans="1:5" s="23" customFormat="1" x14ac:dyDescent="0.25">
      <c r="A495" s="32"/>
      <c r="C495" s="33"/>
      <c r="D495" s="34"/>
      <c r="E495" s="34"/>
    </row>
    <row r="496" spans="1:5" s="23" customFormat="1" x14ac:dyDescent="0.25">
      <c r="A496" s="32"/>
      <c r="C496" s="33"/>
      <c r="D496" s="34"/>
      <c r="E496" s="34"/>
    </row>
    <row r="497" spans="1:5" s="23" customFormat="1" x14ac:dyDescent="0.25">
      <c r="A497" s="32"/>
      <c r="C497" s="33"/>
      <c r="D497" s="34"/>
      <c r="E497" s="34"/>
    </row>
    <row r="498" spans="1:5" s="23" customFormat="1" x14ac:dyDescent="0.25">
      <c r="A498" s="32"/>
      <c r="C498" s="33"/>
      <c r="D498" s="34"/>
      <c r="E498" s="34"/>
    </row>
    <row r="499" spans="1:5" s="23" customFormat="1" x14ac:dyDescent="0.25">
      <c r="A499" s="32"/>
      <c r="C499" s="33"/>
      <c r="D499" s="34"/>
      <c r="E499" s="34"/>
    </row>
    <row r="500" spans="1:5" s="23" customFormat="1" x14ac:dyDescent="0.25">
      <c r="A500" s="32"/>
      <c r="C500" s="33"/>
      <c r="D500" s="34"/>
      <c r="E500" s="34"/>
    </row>
    <row r="501" spans="1:5" s="23" customFormat="1" x14ac:dyDescent="0.25">
      <c r="A501" s="32"/>
      <c r="C501" s="33"/>
      <c r="D501" s="34"/>
      <c r="E501" s="34"/>
    </row>
    <row r="502" spans="1:5" s="23" customFormat="1" x14ac:dyDescent="0.25">
      <c r="A502" s="32"/>
      <c r="C502" s="33"/>
      <c r="D502" s="34"/>
      <c r="E502" s="34"/>
    </row>
    <row r="503" spans="1:5" s="23" customFormat="1" x14ac:dyDescent="0.25">
      <c r="A503" s="32"/>
      <c r="C503" s="33"/>
      <c r="D503" s="34"/>
      <c r="E503" s="34"/>
    </row>
    <row r="504" spans="1:5" s="23" customFormat="1" x14ac:dyDescent="0.25">
      <c r="A504" s="32"/>
      <c r="C504" s="33"/>
      <c r="D504" s="34"/>
      <c r="E504" s="34"/>
    </row>
    <row r="505" spans="1:5" s="23" customFormat="1" x14ac:dyDescent="0.25">
      <c r="A505" s="32"/>
      <c r="C505" s="33"/>
      <c r="D505" s="34"/>
      <c r="E505" s="34"/>
    </row>
    <row r="506" spans="1:5" s="23" customFormat="1" x14ac:dyDescent="0.25">
      <c r="A506" s="32"/>
      <c r="C506" s="33"/>
      <c r="D506" s="34"/>
      <c r="E506" s="34"/>
    </row>
    <row r="507" spans="1:5" s="23" customFormat="1" x14ac:dyDescent="0.25">
      <c r="A507" s="32"/>
      <c r="C507" s="33"/>
      <c r="D507" s="34"/>
      <c r="E507" s="34"/>
    </row>
    <row r="508" spans="1:5" s="23" customFormat="1" x14ac:dyDescent="0.25">
      <c r="A508" s="32"/>
      <c r="C508" s="33"/>
      <c r="D508" s="34"/>
      <c r="E508" s="34"/>
    </row>
    <row r="509" spans="1:5" s="23" customFormat="1" x14ac:dyDescent="0.25">
      <c r="A509" s="32"/>
      <c r="C509" s="33"/>
      <c r="D509" s="34"/>
      <c r="E509" s="34"/>
    </row>
    <row r="510" spans="1:5" s="23" customFormat="1" x14ac:dyDescent="0.25">
      <c r="A510" s="32"/>
      <c r="C510" s="33"/>
      <c r="D510" s="34"/>
      <c r="E510" s="34"/>
    </row>
    <row r="511" spans="1:5" s="23" customFormat="1" x14ac:dyDescent="0.25">
      <c r="A511" s="32"/>
      <c r="C511" s="33"/>
      <c r="D511" s="34"/>
      <c r="E511" s="34"/>
    </row>
    <row r="512" spans="1:5" s="23" customFormat="1" x14ac:dyDescent="0.25">
      <c r="A512" s="32"/>
      <c r="C512" s="33"/>
      <c r="D512" s="34"/>
      <c r="E512" s="34"/>
    </row>
    <row r="513" spans="1:5" s="23" customFormat="1" x14ac:dyDescent="0.25">
      <c r="A513" s="32"/>
      <c r="C513" s="33"/>
      <c r="D513" s="34"/>
      <c r="E513" s="34"/>
    </row>
    <row r="514" spans="1:5" s="23" customFormat="1" x14ac:dyDescent="0.25">
      <c r="A514" s="32"/>
      <c r="C514" s="33"/>
      <c r="D514" s="34"/>
      <c r="E514" s="34"/>
    </row>
    <row r="515" spans="1:5" s="23" customFormat="1" x14ac:dyDescent="0.25">
      <c r="A515" s="32"/>
      <c r="C515" s="33"/>
      <c r="D515" s="34"/>
      <c r="E515" s="34"/>
    </row>
    <row r="516" spans="1:5" s="23" customFormat="1" x14ac:dyDescent="0.25">
      <c r="A516" s="32"/>
      <c r="C516" s="33"/>
      <c r="D516" s="34"/>
      <c r="E516" s="34"/>
    </row>
    <row r="517" spans="1:5" s="23" customFormat="1" x14ac:dyDescent="0.25">
      <c r="A517" s="32"/>
      <c r="C517" s="33"/>
      <c r="D517" s="34"/>
      <c r="E517" s="34"/>
    </row>
    <row r="518" spans="1:5" s="23" customFormat="1" x14ac:dyDescent="0.25">
      <c r="A518" s="32"/>
      <c r="C518" s="33"/>
      <c r="D518" s="34"/>
      <c r="E518" s="34"/>
    </row>
    <row r="519" spans="1:5" s="23" customFormat="1" x14ac:dyDescent="0.25">
      <c r="A519" s="32"/>
      <c r="C519" s="33"/>
      <c r="D519" s="34"/>
      <c r="E519" s="34"/>
    </row>
    <row r="520" spans="1:5" s="23" customFormat="1" x14ac:dyDescent="0.25">
      <c r="A520" s="32"/>
      <c r="C520" s="33"/>
      <c r="D520" s="34"/>
      <c r="E520" s="34"/>
    </row>
    <row r="521" spans="1:5" s="23" customFormat="1" x14ac:dyDescent="0.25">
      <c r="A521" s="32"/>
      <c r="C521" s="33"/>
      <c r="D521" s="34"/>
      <c r="E521" s="34"/>
    </row>
    <row r="522" spans="1:5" s="23" customFormat="1" x14ac:dyDescent="0.25">
      <c r="A522" s="32"/>
      <c r="C522" s="33"/>
      <c r="D522" s="34"/>
      <c r="E522" s="34"/>
    </row>
    <row r="523" spans="1:5" s="23" customFormat="1" x14ac:dyDescent="0.25">
      <c r="A523" s="32"/>
      <c r="C523" s="33"/>
      <c r="D523" s="34"/>
      <c r="E523" s="34"/>
    </row>
    <row r="524" spans="1:5" s="23" customFormat="1" x14ac:dyDescent="0.25">
      <c r="A524" s="32"/>
      <c r="C524" s="33"/>
      <c r="D524" s="34"/>
      <c r="E524" s="34"/>
    </row>
    <row r="525" spans="1:5" s="23" customFormat="1" x14ac:dyDescent="0.25">
      <c r="A525" s="32"/>
      <c r="C525" s="33"/>
      <c r="D525" s="34"/>
      <c r="E525" s="34"/>
    </row>
    <row r="526" spans="1:5" s="23" customFormat="1" x14ac:dyDescent="0.25">
      <c r="A526" s="32"/>
      <c r="C526" s="33"/>
      <c r="D526" s="34"/>
      <c r="E526" s="34"/>
    </row>
    <row r="527" spans="1:5" s="23" customFormat="1" x14ac:dyDescent="0.25">
      <c r="A527" s="32"/>
      <c r="C527" s="33"/>
      <c r="D527" s="34"/>
      <c r="E527" s="34"/>
    </row>
    <row r="528" spans="1:5" s="23" customFormat="1" x14ac:dyDescent="0.25">
      <c r="A528" s="32"/>
      <c r="C528" s="33"/>
      <c r="D528" s="34"/>
      <c r="E528" s="34"/>
    </row>
    <row r="529" spans="1:5" s="23" customFormat="1" x14ac:dyDescent="0.25">
      <c r="A529" s="32"/>
      <c r="C529" s="33"/>
      <c r="D529" s="34"/>
      <c r="E529" s="34"/>
    </row>
    <row r="530" spans="1:5" s="23" customFormat="1" x14ac:dyDescent="0.25">
      <c r="A530" s="32"/>
      <c r="C530" s="33"/>
      <c r="D530" s="34"/>
      <c r="E530" s="34"/>
    </row>
    <row r="531" spans="1:5" s="23" customFormat="1" x14ac:dyDescent="0.25">
      <c r="A531" s="32"/>
      <c r="C531" s="33"/>
      <c r="D531" s="34"/>
      <c r="E531" s="34"/>
    </row>
    <row r="532" spans="1:5" s="23" customFormat="1" x14ac:dyDescent="0.25">
      <c r="A532" s="32"/>
      <c r="C532" s="33"/>
      <c r="D532" s="34"/>
      <c r="E532" s="34"/>
    </row>
    <row r="533" spans="1:5" s="23" customFormat="1" x14ac:dyDescent="0.25">
      <c r="A533" s="32"/>
      <c r="C533" s="33"/>
      <c r="D533" s="34"/>
      <c r="E533" s="34"/>
    </row>
    <row r="534" spans="1:5" s="23" customFormat="1" x14ac:dyDescent="0.25">
      <c r="A534" s="32"/>
      <c r="C534" s="33"/>
      <c r="D534" s="34"/>
      <c r="E534" s="34"/>
    </row>
    <row r="535" spans="1:5" s="23" customFormat="1" x14ac:dyDescent="0.25">
      <c r="A535" s="32"/>
      <c r="C535" s="33"/>
      <c r="D535" s="34"/>
      <c r="E535" s="34"/>
    </row>
    <row r="536" spans="1:5" s="23" customFormat="1" x14ac:dyDescent="0.25">
      <c r="A536" s="32"/>
      <c r="C536" s="33"/>
      <c r="D536" s="34"/>
      <c r="E536" s="34"/>
    </row>
    <row r="537" spans="1:5" s="23" customFormat="1" x14ac:dyDescent="0.25">
      <c r="A537" s="32"/>
      <c r="C537" s="33"/>
      <c r="D537" s="34"/>
      <c r="E537" s="34"/>
    </row>
    <row r="538" spans="1:5" s="23" customFormat="1" x14ac:dyDescent="0.25">
      <c r="A538" s="32"/>
      <c r="C538" s="33"/>
      <c r="D538" s="34"/>
      <c r="E538" s="34"/>
    </row>
    <row r="539" spans="1:5" s="23" customFormat="1" x14ac:dyDescent="0.25">
      <c r="A539" s="32"/>
      <c r="C539" s="33"/>
      <c r="D539" s="34"/>
      <c r="E539" s="34"/>
    </row>
    <row r="540" spans="1:5" s="23" customFormat="1" x14ac:dyDescent="0.25">
      <c r="A540" s="32"/>
      <c r="C540" s="33"/>
      <c r="D540" s="34"/>
      <c r="E540" s="34"/>
    </row>
    <row r="541" spans="1:5" s="23" customFormat="1" x14ac:dyDescent="0.25">
      <c r="A541" s="32"/>
      <c r="C541" s="33"/>
      <c r="D541" s="34"/>
      <c r="E541" s="34"/>
    </row>
    <row r="542" spans="1:5" s="23" customFormat="1" x14ac:dyDescent="0.25">
      <c r="A542" s="32"/>
      <c r="C542" s="33"/>
      <c r="D542" s="34"/>
      <c r="E542" s="34"/>
    </row>
    <row r="543" spans="1:5" s="23" customFormat="1" x14ac:dyDescent="0.25">
      <c r="A543" s="32"/>
      <c r="C543" s="33"/>
      <c r="D543" s="34"/>
      <c r="E543" s="34"/>
    </row>
    <row r="544" spans="1:5" s="23" customFormat="1" x14ac:dyDescent="0.25">
      <c r="A544" s="32"/>
      <c r="C544" s="33"/>
      <c r="D544" s="34"/>
      <c r="E544" s="34"/>
    </row>
    <row r="545" spans="1:5" s="23" customFormat="1" x14ac:dyDescent="0.25">
      <c r="A545" s="32"/>
      <c r="C545" s="33"/>
      <c r="D545" s="34"/>
      <c r="E545" s="34"/>
    </row>
    <row r="546" spans="1:5" s="23" customFormat="1" x14ac:dyDescent="0.25">
      <c r="A546" s="32"/>
      <c r="C546" s="33"/>
      <c r="D546" s="34"/>
      <c r="E546" s="34"/>
    </row>
    <row r="547" spans="1:5" s="23" customFormat="1" x14ac:dyDescent="0.25">
      <c r="A547" s="32"/>
      <c r="C547" s="33"/>
      <c r="D547" s="34"/>
      <c r="E547" s="34"/>
    </row>
    <row r="548" spans="1:5" s="23" customFormat="1" x14ac:dyDescent="0.25">
      <c r="A548" s="32"/>
      <c r="C548" s="33"/>
      <c r="D548" s="34"/>
      <c r="E548" s="34"/>
    </row>
    <row r="549" spans="1:5" s="23" customFormat="1" x14ac:dyDescent="0.25">
      <c r="A549" s="32"/>
      <c r="C549" s="33"/>
      <c r="D549" s="34"/>
      <c r="E549" s="34"/>
    </row>
    <row r="550" spans="1:5" s="23" customFormat="1" x14ac:dyDescent="0.25">
      <c r="A550" s="32"/>
      <c r="C550" s="33"/>
      <c r="D550" s="34"/>
      <c r="E550" s="34"/>
    </row>
    <row r="551" spans="1:5" s="23" customFormat="1" x14ac:dyDescent="0.25">
      <c r="A551" s="32"/>
      <c r="C551" s="33"/>
      <c r="D551" s="34"/>
      <c r="E551" s="34"/>
    </row>
    <row r="552" spans="1:5" s="23" customFormat="1" x14ac:dyDescent="0.25">
      <c r="A552" s="32"/>
      <c r="C552" s="33"/>
      <c r="D552" s="34"/>
      <c r="E552" s="34"/>
    </row>
    <row r="553" spans="1:5" s="23" customFormat="1" x14ac:dyDescent="0.25">
      <c r="A553" s="32"/>
      <c r="C553" s="33"/>
      <c r="D553" s="34"/>
      <c r="E553" s="34"/>
    </row>
    <row r="554" spans="1:5" s="23" customFormat="1" x14ac:dyDescent="0.25">
      <c r="A554" s="32"/>
      <c r="C554" s="33"/>
      <c r="D554" s="34"/>
      <c r="E554" s="34"/>
    </row>
    <row r="555" spans="1:5" s="23" customFormat="1" x14ac:dyDescent="0.25">
      <c r="A555" s="32"/>
      <c r="C555" s="33"/>
      <c r="D555" s="34"/>
      <c r="E555" s="34"/>
    </row>
    <row r="556" spans="1:5" s="23" customFormat="1" x14ac:dyDescent="0.25">
      <c r="A556" s="32"/>
      <c r="C556" s="33"/>
      <c r="D556" s="34"/>
      <c r="E556" s="34"/>
    </row>
    <row r="557" spans="1:5" s="23" customFormat="1" x14ac:dyDescent="0.25">
      <c r="A557" s="32"/>
      <c r="C557" s="33"/>
      <c r="D557" s="34"/>
      <c r="E557" s="34"/>
    </row>
    <row r="558" spans="1:5" s="23" customFormat="1" x14ac:dyDescent="0.25">
      <c r="A558" s="32"/>
      <c r="C558" s="33"/>
      <c r="D558" s="34"/>
      <c r="E558" s="34"/>
    </row>
    <row r="559" spans="1:5" s="23" customFormat="1" x14ac:dyDescent="0.25">
      <c r="A559" s="32"/>
      <c r="C559" s="33"/>
      <c r="D559" s="34"/>
      <c r="E559" s="34"/>
    </row>
    <row r="560" spans="1:5" s="23" customFormat="1" x14ac:dyDescent="0.25">
      <c r="A560" s="32"/>
      <c r="C560" s="33"/>
      <c r="D560" s="34"/>
      <c r="E560" s="34"/>
    </row>
    <row r="561" spans="1:5" s="23" customFormat="1" x14ac:dyDescent="0.25">
      <c r="A561" s="32"/>
      <c r="C561" s="33"/>
      <c r="D561" s="34"/>
      <c r="E561" s="34"/>
    </row>
    <row r="562" spans="1:5" s="23" customFormat="1" x14ac:dyDescent="0.25">
      <c r="A562" s="32"/>
      <c r="C562" s="33"/>
      <c r="D562" s="34"/>
      <c r="E562" s="34"/>
    </row>
    <row r="563" spans="1:5" s="23" customFormat="1" x14ac:dyDescent="0.25">
      <c r="A563" s="32"/>
      <c r="C563" s="33"/>
      <c r="D563" s="34"/>
      <c r="E563" s="34"/>
    </row>
    <row r="564" spans="1:5" s="23" customFormat="1" x14ac:dyDescent="0.25">
      <c r="A564" s="32"/>
      <c r="C564" s="33"/>
      <c r="D564" s="34"/>
      <c r="E564" s="34"/>
    </row>
    <row r="565" spans="1:5" s="23" customFormat="1" x14ac:dyDescent="0.25">
      <c r="A565" s="32"/>
      <c r="C565" s="33"/>
      <c r="D565" s="34"/>
      <c r="E565" s="34"/>
    </row>
    <row r="566" spans="1:5" s="23" customFormat="1" x14ac:dyDescent="0.25">
      <c r="A566" s="32"/>
      <c r="C566" s="33"/>
      <c r="D566" s="34"/>
      <c r="E566" s="34"/>
    </row>
    <row r="567" spans="1:5" s="23" customFormat="1" x14ac:dyDescent="0.25">
      <c r="A567" s="32"/>
      <c r="C567" s="33"/>
      <c r="D567" s="34"/>
      <c r="E567" s="34"/>
    </row>
    <row r="568" spans="1:5" s="23" customFormat="1" x14ac:dyDescent="0.25">
      <c r="A568" s="32"/>
      <c r="C568" s="33"/>
      <c r="D568" s="34"/>
      <c r="E568" s="34"/>
    </row>
    <row r="569" spans="1:5" s="23" customFormat="1" x14ac:dyDescent="0.25">
      <c r="A569" s="32"/>
      <c r="C569" s="33"/>
      <c r="D569" s="34"/>
      <c r="E569" s="34"/>
    </row>
    <row r="570" spans="1:5" s="23" customFormat="1" x14ac:dyDescent="0.25">
      <c r="A570" s="32"/>
      <c r="C570" s="33"/>
      <c r="D570" s="34"/>
      <c r="E570" s="34"/>
    </row>
    <row r="571" spans="1:5" s="23" customFormat="1" x14ac:dyDescent="0.25">
      <c r="A571" s="32"/>
      <c r="C571" s="33"/>
      <c r="D571" s="34"/>
      <c r="E571" s="34"/>
    </row>
    <row r="572" spans="1:5" s="23" customFormat="1" x14ac:dyDescent="0.25">
      <c r="A572" s="32"/>
      <c r="C572" s="33"/>
      <c r="D572" s="34"/>
      <c r="E572" s="34"/>
    </row>
    <row r="573" spans="1:5" s="23" customFormat="1" x14ac:dyDescent="0.25">
      <c r="A573" s="32"/>
      <c r="C573" s="33"/>
      <c r="D573" s="34"/>
      <c r="E573" s="34"/>
    </row>
    <row r="574" spans="1:5" s="23" customFormat="1" x14ac:dyDescent="0.25">
      <c r="A574" s="32"/>
      <c r="C574" s="33"/>
      <c r="D574" s="34"/>
      <c r="E574" s="34"/>
    </row>
    <row r="575" spans="1:5" s="23" customFormat="1" x14ac:dyDescent="0.25">
      <c r="A575" s="32"/>
      <c r="C575" s="33"/>
      <c r="D575" s="34"/>
      <c r="E575" s="34"/>
    </row>
    <row r="576" spans="1:5" s="23" customFormat="1" x14ac:dyDescent="0.25">
      <c r="A576" s="32"/>
      <c r="C576" s="33"/>
      <c r="D576" s="34"/>
      <c r="E576" s="34"/>
    </row>
    <row r="577" spans="1:5" s="23" customFormat="1" x14ac:dyDescent="0.25">
      <c r="A577" s="32"/>
      <c r="C577" s="33"/>
      <c r="D577" s="34"/>
      <c r="E577" s="34"/>
    </row>
    <row r="578" spans="1:5" s="23" customFormat="1" x14ac:dyDescent="0.25">
      <c r="A578" s="32"/>
      <c r="C578" s="33"/>
      <c r="D578" s="34"/>
      <c r="E578" s="34"/>
    </row>
    <row r="579" spans="1:5" s="23" customFormat="1" x14ac:dyDescent="0.25">
      <c r="A579" s="32"/>
      <c r="C579" s="33"/>
      <c r="D579" s="34"/>
      <c r="E579" s="34"/>
    </row>
    <row r="580" spans="1:5" s="23" customFormat="1" x14ac:dyDescent="0.25">
      <c r="A580" s="32"/>
      <c r="C580" s="33"/>
      <c r="D580" s="34"/>
      <c r="E580" s="34"/>
    </row>
    <row r="581" spans="1:5" s="23" customFormat="1" x14ac:dyDescent="0.25">
      <c r="A581" s="32"/>
      <c r="C581" s="33"/>
      <c r="D581" s="34"/>
      <c r="E581" s="34"/>
    </row>
    <row r="582" spans="1:5" s="23" customFormat="1" x14ac:dyDescent="0.25">
      <c r="A582" s="32"/>
      <c r="C582" s="33"/>
      <c r="D582" s="34"/>
      <c r="E582" s="34"/>
    </row>
    <row r="583" spans="1:5" s="23" customFormat="1" x14ac:dyDescent="0.25">
      <c r="A583" s="32"/>
      <c r="C583" s="33"/>
      <c r="D583" s="34"/>
      <c r="E583" s="34"/>
    </row>
    <row r="584" spans="1:5" s="23" customFormat="1" x14ac:dyDescent="0.25">
      <c r="A584" s="32"/>
      <c r="C584" s="33"/>
      <c r="D584" s="34"/>
      <c r="E584" s="34"/>
    </row>
    <row r="585" spans="1:5" s="23" customFormat="1" x14ac:dyDescent="0.25">
      <c r="A585" s="32"/>
      <c r="C585" s="33"/>
      <c r="D585" s="34"/>
      <c r="E585" s="34"/>
    </row>
    <row r="586" spans="1:5" s="23" customFormat="1" x14ac:dyDescent="0.25">
      <c r="A586" s="32"/>
      <c r="C586" s="33"/>
      <c r="D586" s="34"/>
      <c r="E586" s="34"/>
    </row>
    <row r="587" spans="1:5" s="23" customFormat="1" x14ac:dyDescent="0.25">
      <c r="A587" s="32"/>
      <c r="C587" s="33"/>
      <c r="D587" s="34"/>
      <c r="E587" s="34"/>
    </row>
    <row r="588" spans="1:5" s="23" customFormat="1" x14ac:dyDescent="0.25">
      <c r="A588" s="32"/>
      <c r="C588" s="33"/>
      <c r="D588" s="34"/>
      <c r="E588" s="34"/>
    </row>
    <row r="589" spans="1:5" s="23" customFormat="1" x14ac:dyDescent="0.25">
      <c r="A589" s="32"/>
      <c r="C589" s="33"/>
      <c r="D589" s="34"/>
      <c r="E589" s="34"/>
    </row>
    <row r="590" spans="1:5" s="23" customFormat="1" x14ac:dyDescent="0.25">
      <c r="A590" s="32"/>
      <c r="C590" s="33"/>
      <c r="D590" s="34"/>
      <c r="E590" s="34"/>
    </row>
    <row r="591" spans="1:5" s="23" customFormat="1" x14ac:dyDescent="0.25">
      <c r="A591" s="32"/>
      <c r="C591" s="33"/>
      <c r="D591" s="34"/>
      <c r="E591" s="34"/>
    </row>
    <row r="592" spans="1:5" s="23" customFormat="1" x14ac:dyDescent="0.25">
      <c r="A592" s="32"/>
      <c r="C592" s="33"/>
      <c r="D592" s="34"/>
      <c r="E592" s="34"/>
    </row>
    <row r="593" spans="1:5" s="23" customFormat="1" x14ac:dyDescent="0.25">
      <c r="A593" s="32"/>
      <c r="C593" s="33"/>
      <c r="D593" s="34"/>
      <c r="E593" s="34"/>
    </row>
    <row r="594" spans="1:5" s="23" customFormat="1" x14ac:dyDescent="0.25">
      <c r="A594" s="32"/>
      <c r="C594" s="33"/>
      <c r="D594" s="34"/>
      <c r="E594" s="34"/>
    </row>
    <row r="595" spans="1:5" s="23" customFormat="1" x14ac:dyDescent="0.25">
      <c r="A595" s="32"/>
      <c r="C595" s="33"/>
      <c r="D595" s="34"/>
      <c r="E595" s="34"/>
    </row>
    <row r="596" spans="1:5" s="23" customFormat="1" x14ac:dyDescent="0.25">
      <c r="A596" s="32"/>
      <c r="C596" s="33"/>
      <c r="D596" s="34"/>
      <c r="E596" s="34"/>
    </row>
    <row r="597" spans="1:5" s="23" customFormat="1" x14ac:dyDescent="0.25">
      <c r="A597" s="32"/>
      <c r="C597" s="33"/>
      <c r="D597" s="34"/>
      <c r="E597" s="34"/>
    </row>
    <row r="598" spans="1:5" s="23" customFormat="1" x14ac:dyDescent="0.25">
      <c r="A598" s="32"/>
      <c r="C598" s="33"/>
      <c r="D598" s="34"/>
      <c r="E598" s="34"/>
    </row>
    <row r="599" spans="1:5" s="23" customFormat="1" x14ac:dyDescent="0.25">
      <c r="A599" s="32"/>
      <c r="C599" s="33"/>
      <c r="D599" s="34"/>
      <c r="E599" s="34"/>
    </row>
    <row r="600" spans="1:5" s="23" customFormat="1" x14ac:dyDescent="0.25">
      <c r="A600" s="32"/>
      <c r="C600" s="33"/>
      <c r="D600" s="34"/>
      <c r="E600" s="34"/>
    </row>
    <row r="601" spans="1:5" s="23" customFormat="1" x14ac:dyDescent="0.25">
      <c r="A601" s="32"/>
      <c r="C601" s="33"/>
      <c r="D601" s="34"/>
      <c r="E601" s="34"/>
    </row>
    <row r="602" spans="1:5" s="23" customFormat="1" x14ac:dyDescent="0.25">
      <c r="A602" s="32"/>
      <c r="C602" s="33"/>
      <c r="D602" s="34"/>
      <c r="E602" s="34"/>
    </row>
    <row r="603" spans="1:5" s="23" customFormat="1" x14ac:dyDescent="0.25">
      <c r="A603" s="32"/>
      <c r="C603" s="33"/>
      <c r="D603" s="34"/>
      <c r="E603" s="34"/>
    </row>
    <row r="604" spans="1:5" s="23" customFormat="1" x14ac:dyDescent="0.25">
      <c r="A604" s="32"/>
      <c r="C604" s="33"/>
      <c r="D604" s="34"/>
      <c r="E604" s="34"/>
    </row>
    <row r="605" spans="1:5" s="23" customFormat="1" x14ac:dyDescent="0.25">
      <c r="A605" s="32"/>
      <c r="C605" s="33"/>
      <c r="D605" s="34"/>
      <c r="E605" s="34"/>
    </row>
    <row r="606" spans="1:5" s="23" customFormat="1" x14ac:dyDescent="0.25">
      <c r="A606" s="32"/>
      <c r="C606" s="33"/>
      <c r="D606" s="34"/>
      <c r="E606" s="34"/>
    </row>
    <row r="607" spans="1:5" s="23" customFormat="1" x14ac:dyDescent="0.25">
      <c r="A607" s="32"/>
      <c r="C607" s="33"/>
      <c r="D607" s="34"/>
      <c r="E607" s="34"/>
    </row>
    <row r="608" spans="1:5" s="23" customFormat="1" x14ac:dyDescent="0.25">
      <c r="A608" s="32"/>
      <c r="C608" s="33"/>
      <c r="D608" s="34"/>
      <c r="E608" s="34"/>
    </row>
    <row r="609" spans="1:6" s="23" customFormat="1" x14ac:dyDescent="0.25">
      <c r="A609" s="20"/>
      <c r="B609" s="1"/>
      <c r="C609" s="21"/>
      <c r="D609" s="22"/>
      <c r="E609" s="22"/>
      <c r="F609" s="1"/>
    </row>
    <row r="610" spans="1:6" s="23" customFormat="1" x14ac:dyDescent="0.25">
      <c r="A610" s="20"/>
      <c r="B610" s="1"/>
      <c r="C610" s="21"/>
      <c r="D610" s="22"/>
      <c r="E610" s="22"/>
      <c r="F610" s="1"/>
    </row>
    <row r="611" spans="1:6" s="23" customFormat="1" x14ac:dyDescent="0.25">
      <c r="A611" s="20"/>
      <c r="B611" s="1"/>
      <c r="C611" s="21"/>
      <c r="D611" s="22"/>
      <c r="E611" s="22"/>
      <c r="F611" s="1"/>
    </row>
    <row r="612" spans="1:6" s="23" customFormat="1" x14ac:dyDescent="0.25">
      <c r="A612" s="20"/>
      <c r="B612" s="1"/>
      <c r="C612" s="21"/>
      <c r="D612" s="22"/>
      <c r="E612" s="22"/>
      <c r="F612" s="1"/>
    </row>
    <row r="613" spans="1:6" s="23" customFormat="1" x14ac:dyDescent="0.25">
      <c r="A613" s="20"/>
      <c r="B613" s="1"/>
      <c r="C613" s="21"/>
      <c r="D613" s="22"/>
      <c r="E613" s="22"/>
      <c r="F613" s="1"/>
    </row>
    <row r="614" spans="1:6" s="23" customFormat="1" x14ac:dyDescent="0.25">
      <c r="A614" s="20"/>
      <c r="B614" s="1"/>
      <c r="C614" s="21"/>
      <c r="D614" s="22"/>
      <c r="E614" s="22"/>
      <c r="F614" s="1"/>
    </row>
    <row r="615" spans="1:6" s="23" customFormat="1" x14ac:dyDescent="0.25">
      <c r="A615" s="20"/>
      <c r="B615" s="1"/>
      <c r="C615" s="21"/>
      <c r="D615" s="22"/>
      <c r="E615" s="22"/>
      <c r="F615" s="1"/>
    </row>
    <row r="616" spans="1:6" s="23" customFormat="1" x14ac:dyDescent="0.25">
      <c r="A616" s="20"/>
      <c r="B616" s="1"/>
      <c r="C616" s="21"/>
      <c r="D616" s="22"/>
      <c r="E616" s="22"/>
      <c r="F616" s="1"/>
    </row>
    <row r="617" spans="1:6" s="23" customFormat="1" x14ac:dyDescent="0.25">
      <c r="A617" s="20"/>
      <c r="B617" s="1"/>
      <c r="C617" s="21"/>
      <c r="D617" s="22"/>
      <c r="E617" s="22"/>
      <c r="F617" s="1"/>
    </row>
    <row r="618" spans="1:6" s="23" customFormat="1" x14ac:dyDescent="0.25">
      <c r="A618" s="20"/>
      <c r="B618" s="1"/>
      <c r="C618" s="21"/>
      <c r="D618" s="22"/>
      <c r="E618" s="22"/>
      <c r="F618" s="1"/>
    </row>
    <row r="619" spans="1:6" s="23" customFormat="1" x14ac:dyDescent="0.25">
      <c r="A619" s="20"/>
      <c r="B619" s="1"/>
      <c r="C619" s="21"/>
      <c r="D619" s="22"/>
      <c r="E619" s="22"/>
      <c r="F619" s="1"/>
    </row>
    <row r="620" spans="1:6" s="23" customFormat="1" x14ac:dyDescent="0.25">
      <c r="A620" s="20"/>
      <c r="B620" s="1"/>
      <c r="C620" s="21"/>
      <c r="D620" s="22"/>
      <c r="E620" s="22"/>
      <c r="F620" s="1"/>
    </row>
    <row r="621" spans="1:6" s="23" customFormat="1" x14ac:dyDescent="0.25">
      <c r="A621" s="20"/>
      <c r="B621" s="1"/>
      <c r="C621" s="21"/>
      <c r="D621" s="22"/>
      <c r="E621" s="22"/>
      <c r="F621" s="1"/>
    </row>
    <row r="622" spans="1:6" s="23" customFormat="1" x14ac:dyDescent="0.25">
      <c r="A622" s="20"/>
      <c r="B622" s="1"/>
      <c r="C622" s="21"/>
      <c r="D622" s="22"/>
      <c r="E622" s="22"/>
      <c r="F622" s="1"/>
    </row>
    <row r="623" spans="1:6" s="23" customFormat="1" x14ac:dyDescent="0.25">
      <c r="A623" s="20"/>
      <c r="B623" s="1"/>
      <c r="C623" s="21"/>
      <c r="D623" s="22"/>
      <c r="E623" s="22"/>
      <c r="F623" s="1"/>
    </row>
    <row r="624" spans="1:6" s="23" customFormat="1" x14ac:dyDescent="0.25">
      <c r="A624" s="20"/>
      <c r="B624" s="1"/>
      <c r="C624" s="21"/>
      <c r="D624" s="22"/>
      <c r="E624" s="22"/>
      <c r="F624" s="1"/>
    </row>
    <row r="625" spans="1:6" s="23" customFormat="1" x14ac:dyDescent="0.25">
      <c r="A625" s="20"/>
      <c r="B625" s="1"/>
      <c r="C625" s="21"/>
      <c r="D625" s="22"/>
      <c r="E625" s="22"/>
      <c r="F625" s="1"/>
    </row>
    <row r="626" spans="1:6" s="23" customFormat="1" x14ac:dyDescent="0.25">
      <c r="A626" s="20"/>
      <c r="B626" s="1"/>
      <c r="C626" s="21"/>
      <c r="D626" s="22"/>
      <c r="E626" s="22"/>
      <c r="F626" s="1"/>
    </row>
    <row r="627" spans="1:6" s="23" customFormat="1" x14ac:dyDescent="0.25">
      <c r="A627" s="20"/>
      <c r="B627" s="1"/>
      <c r="C627" s="21"/>
      <c r="D627" s="22"/>
      <c r="E627" s="22"/>
      <c r="F627" s="1"/>
    </row>
    <row r="628" spans="1:6" s="23" customFormat="1" x14ac:dyDescent="0.25">
      <c r="A628" s="20"/>
      <c r="B628" s="1"/>
      <c r="C628" s="21"/>
      <c r="D628" s="22"/>
      <c r="E628" s="22"/>
      <c r="F628" s="1"/>
    </row>
    <row r="629" spans="1:6" s="23" customFormat="1" x14ac:dyDescent="0.25">
      <c r="A629" s="20"/>
      <c r="B629" s="1"/>
      <c r="C629" s="21"/>
      <c r="D629" s="22"/>
      <c r="E629" s="22"/>
      <c r="F629" s="1"/>
    </row>
  </sheetData>
  <mergeCells count="60">
    <mergeCell ref="A10:F10"/>
    <mergeCell ref="B12:B14"/>
    <mergeCell ref="A1:F1"/>
    <mergeCell ref="A2:F2"/>
    <mergeCell ref="A4:F4"/>
    <mergeCell ref="A6:F6"/>
    <mergeCell ref="A8:F8"/>
    <mergeCell ref="A11:F11"/>
    <mergeCell ref="A12:A14"/>
    <mergeCell ref="C12:C14"/>
    <mergeCell ref="D12:D14"/>
    <mergeCell ref="E12:E14"/>
    <mergeCell ref="F12:F14"/>
    <mergeCell ref="A15:F15"/>
    <mergeCell ref="A28:E28"/>
    <mergeCell ref="A39:E39"/>
    <mergeCell ref="A29:F29"/>
    <mergeCell ref="A44:C44"/>
    <mergeCell ref="A31:E31"/>
    <mergeCell ref="A32:F32"/>
    <mergeCell ref="A34:E34"/>
    <mergeCell ref="A40:E40"/>
    <mergeCell ref="A41:E41"/>
    <mergeCell ref="A42:E42"/>
    <mergeCell ref="A43:D43"/>
    <mergeCell ref="A38:E38"/>
    <mergeCell ref="A35:F35"/>
    <mergeCell ref="A45:B45"/>
    <mergeCell ref="E45:F45"/>
    <mergeCell ref="A46:B46"/>
    <mergeCell ref="E46:F46"/>
    <mergeCell ref="A47:B47"/>
    <mergeCell ref="E47:F47"/>
    <mergeCell ref="A125:E125"/>
    <mergeCell ref="A48:B48"/>
    <mergeCell ref="E48:F48"/>
    <mergeCell ref="A49:F49"/>
    <mergeCell ref="A78:E78"/>
    <mergeCell ref="A79:E79"/>
    <mergeCell ref="A81:E81"/>
    <mergeCell ref="A82:F82"/>
    <mergeCell ref="A89:D89"/>
    <mergeCell ref="A92:D92"/>
    <mergeCell ref="A93:F93"/>
    <mergeCell ref="A112:E112"/>
    <mergeCell ref="A118:E118"/>
    <mergeCell ref="A121:E121"/>
    <mergeCell ref="A124:E124"/>
    <mergeCell ref="A80:E80"/>
    <mergeCell ref="A134:E134"/>
    <mergeCell ref="A135:E135"/>
    <mergeCell ref="A136:D136"/>
    <mergeCell ref="A126:E126"/>
    <mergeCell ref="A127:E127"/>
    <mergeCell ref="A128:E128"/>
    <mergeCell ref="A129:E129"/>
    <mergeCell ref="A130:E130"/>
    <mergeCell ref="A133:E133"/>
    <mergeCell ref="A131:E131"/>
    <mergeCell ref="A132:E132"/>
  </mergeCells>
  <pageMargins left="0.7" right="0.7" top="0.75" bottom="0.75" header="0.3" footer="0.3"/>
  <pageSetup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5"/>
  <sheetViews>
    <sheetView workbookViewId="0">
      <selection activeCell="G44" sqref="G44:H44"/>
    </sheetView>
  </sheetViews>
  <sheetFormatPr baseColWidth="10" defaultRowHeight="12.75" x14ac:dyDescent="0.2"/>
  <cols>
    <col min="1" max="2" width="9.28515625" style="101" customWidth="1"/>
    <col min="3" max="3" width="10.7109375" style="101" customWidth="1"/>
    <col min="4" max="4" width="12.140625" style="101" customWidth="1"/>
    <col min="5" max="6" width="11.42578125" style="101"/>
    <col min="7" max="7" width="11.5703125" style="101" customWidth="1"/>
    <col min="8" max="8" width="9.28515625" style="101" customWidth="1"/>
    <col min="9" max="256" width="11.42578125" style="101"/>
    <col min="257" max="258" width="9.28515625" style="101" customWidth="1"/>
    <col min="259" max="259" width="10.7109375" style="101" customWidth="1"/>
    <col min="260" max="260" width="12.1406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0.7109375" style="101" customWidth="1"/>
    <col min="516" max="516" width="12.1406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0.7109375" style="101" customWidth="1"/>
    <col min="772" max="772" width="12.1406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0.7109375" style="101" customWidth="1"/>
    <col min="1028" max="1028" width="12.1406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0.7109375" style="101" customWidth="1"/>
    <col min="1284" max="1284" width="12.1406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0.7109375" style="101" customWidth="1"/>
    <col min="1540" max="1540" width="12.1406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0.7109375" style="101" customWidth="1"/>
    <col min="1796" max="1796" width="12.1406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0.7109375" style="101" customWidth="1"/>
    <col min="2052" max="2052" width="12.1406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0.7109375" style="101" customWidth="1"/>
    <col min="2308" max="2308" width="12.1406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0.7109375" style="101" customWidth="1"/>
    <col min="2564" max="2564" width="12.1406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0.7109375" style="101" customWidth="1"/>
    <col min="2820" max="2820" width="12.1406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0.7109375" style="101" customWidth="1"/>
    <col min="3076" max="3076" width="12.1406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0.7109375" style="101" customWidth="1"/>
    <col min="3332" max="3332" width="12.1406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0.7109375" style="101" customWidth="1"/>
    <col min="3588" max="3588" width="12.1406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0.7109375" style="101" customWidth="1"/>
    <col min="3844" max="3844" width="12.1406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0.7109375" style="101" customWidth="1"/>
    <col min="4100" max="4100" width="12.1406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0.7109375" style="101" customWidth="1"/>
    <col min="4356" max="4356" width="12.1406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0.7109375" style="101" customWidth="1"/>
    <col min="4612" max="4612" width="12.1406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0.7109375" style="101" customWidth="1"/>
    <col min="4868" max="4868" width="12.1406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0.7109375" style="101" customWidth="1"/>
    <col min="5124" max="5124" width="12.1406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0.7109375" style="101" customWidth="1"/>
    <col min="5380" max="5380" width="12.1406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0.7109375" style="101" customWidth="1"/>
    <col min="5636" max="5636" width="12.1406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0.7109375" style="101" customWidth="1"/>
    <col min="5892" max="5892" width="12.1406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0.7109375" style="101" customWidth="1"/>
    <col min="6148" max="6148" width="12.1406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0.7109375" style="101" customWidth="1"/>
    <col min="6404" max="6404" width="12.1406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0.7109375" style="101" customWidth="1"/>
    <col min="6660" max="6660" width="12.1406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0.7109375" style="101" customWidth="1"/>
    <col min="6916" max="6916" width="12.1406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0.7109375" style="101" customWidth="1"/>
    <col min="7172" max="7172" width="12.1406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0.7109375" style="101" customWidth="1"/>
    <col min="7428" max="7428" width="12.1406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0.7109375" style="101" customWidth="1"/>
    <col min="7684" max="7684" width="12.1406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0.7109375" style="101" customWidth="1"/>
    <col min="7940" max="7940" width="12.1406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0.7109375" style="101" customWidth="1"/>
    <col min="8196" max="8196" width="12.1406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0.7109375" style="101" customWidth="1"/>
    <col min="8452" max="8452" width="12.1406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0.7109375" style="101" customWidth="1"/>
    <col min="8708" max="8708" width="12.1406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0.7109375" style="101" customWidth="1"/>
    <col min="8964" max="8964" width="12.1406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0.7109375" style="101" customWidth="1"/>
    <col min="9220" max="9220" width="12.1406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0.7109375" style="101" customWidth="1"/>
    <col min="9476" max="9476" width="12.1406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0.7109375" style="101" customWidth="1"/>
    <col min="9732" max="9732" width="12.1406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0.7109375" style="101" customWidth="1"/>
    <col min="9988" max="9988" width="12.1406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0.7109375" style="101" customWidth="1"/>
    <col min="10244" max="10244" width="12.1406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0.7109375" style="101" customWidth="1"/>
    <col min="10500" max="10500" width="12.1406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0.7109375" style="101" customWidth="1"/>
    <col min="10756" max="10756" width="12.1406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0.7109375" style="101" customWidth="1"/>
    <col min="11012" max="11012" width="12.1406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0.7109375" style="101" customWidth="1"/>
    <col min="11268" max="11268" width="12.1406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0.7109375" style="101" customWidth="1"/>
    <col min="11524" max="11524" width="12.1406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0.7109375" style="101" customWidth="1"/>
    <col min="11780" max="11780" width="12.1406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0.7109375" style="101" customWidth="1"/>
    <col min="12036" max="12036" width="12.1406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0.7109375" style="101" customWidth="1"/>
    <col min="12292" max="12292" width="12.1406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0.7109375" style="101" customWidth="1"/>
    <col min="12548" max="12548" width="12.1406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0.7109375" style="101" customWidth="1"/>
    <col min="12804" max="12804" width="12.1406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0.7109375" style="101" customWidth="1"/>
    <col min="13060" max="13060" width="12.1406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0.7109375" style="101" customWidth="1"/>
    <col min="13316" max="13316" width="12.1406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0.7109375" style="101" customWidth="1"/>
    <col min="13572" max="13572" width="12.1406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0.7109375" style="101" customWidth="1"/>
    <col min="13828" max="13828" width="12.1406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0.7109375" style="101" customWidth="1"/>
    <col min="14084" max="14084" width="12.1406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0.7109375" style="101" customWidth="1"/>
    <col min="14340" max="14340" width="12.1406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0.7109375" style="101" customWidth="1"/>
    <col min="14596" max="14596" width="12.1406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0.7109375" style="101" customWidth="1"/>
    <col min="14852" max="14852" width="12.1406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0.7109375" style="101" customWidth="1"/>
    <col min="15108" max="15108" width="12.1406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0.7109375" style="101" customWidth="1"/>
    <col min="15364" max="15364" width="12.1406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0.7109375" style="101" customWidth="1"/>
    <col min="15620" max="15620" width="12.1406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0.7109375" style="101" customWidth="1"/>
    <col min="15876" max="15876" width="12.1406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0.7109375" style="101" customWidth="1"/>
    <col min="16132" max="16132" width="12.1406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1" spans="1:8" ht="18" x14ac:dyDescent="0.2">
      <c r="A1" s="494"/>
      <c r="B1" s="495"/>
      <c r="C1" s="549" t="s">
        <v>209</v>
      </c>
      <c r="D1" s="550"/>
      <c r="E1" s="550"/>
      <c r="F1" s="551"/>
      <c r="G1" s="494"/>
      <c r="H1" s="495"/>
    </row>
    <row r="2" spans="1:8" x14ac:dyDescent="0.2">
      <c r="A2" s="496"/>
      <c r="B2" s="497"/>
      <c r="C2" s="552" t="s">
        <v>98</v>
      </c>
      <c r="D2" s="553"/>
      <c r="E2" s="553"/>
      <c r="F2" s="554"/>
      <c r="G2" s="496"/>
      <c r="H2" s="497"/>
    </row>
    <row r="3" spans="1:8" x14ac:dyDescent="0.2">
      <c r="A3" s="496"/>
      <c r="B3" s="497"/>
      <c r="C3" s="129"/>
      <c r="D3" s="130"/>
      <c r="E3" s="130"/>
      <c r="F3" s="131"/>
      <c r="G3" s="496"/>
      <c r="H3" s="497"/>
    </row>
    <row r="4" spans="1:8" x14ac:dyDescent="0.2">
      <c r="A4" s="496"/>
      <c r="B4" s="497"/>
      <c r="C4" s="552" t="s">
        <v>210</v>
      </c>
      <c r="D4" s="553"/>
      <c r="E4" s="553"/>
      <c r="F4" s="554"/>
      <c r="G4" s="496"/>
      <c r="H4" s="497"/>
    </row>
    <row r="5" spans="1:8" x14ac:dyDescent="0.2">
      <c r="A5" s="496"/>
      <c r="B5" s="497"/>
      <c r="C5" s="552" t="s">
        <v>211</v>
      </c>
      <c r="D5" s="553"/>
      <c r="E5" s="553"/>
      <c r="F5" s="554"/>
      <c r="G5" s="496"/>
      <c r="H5" s="497"/>
    </row>
    <row r="6" spans="1:8" ht="13.5" thickBot="1" x14ac:dyDescent="0.25">
      <c r="A6" s="498"/>
      <c r="B6" s="499"/>
      <c r="C6" s="132"/>
      <c r="D6" s="133"/>
      <c r="E6" s="133"/>
      <c r="F6" s="134"/>
      <c r="G6" s="498"/>
      <c r="H6" s="499"/>
    </row>
    <row r="8" spans="1:8" ht="13.5" thickBot="1" x14ac:dyDescent="0.25">
      <c r="A8" s="543" t="s">
        <v>212</v>
      </c>
      <c r="B8" s="543"/>
      <c r="C8" s="543"/>
      <c r="D8" s="543"/>
      <c r="E8" s="543"/>
      <c r="F8" s="543"/>
      <c r="G8" s="543"/>
      <c r="H8" s="543"/>
    </row>
    <row r="9" spans="1:8" ht="13.5" thickBot="1" x14ac:dyDescent="0.25">
      <c r="A9" s="135"/>
      <c r="B9" s="135"/>
      <c r="C9" s="135"/>
      <c r="D9" s="135"/>
      <c r="E9" s="135"/>
      <c r="F9" s="135"/>
      <c r="G9" s="394" t="s">
        <v>279</v>
      </c>
      <c r="H9" s="395"/>
    </row>
    <row r="10" spans="1:8" ht="13.5" thickBot="1" x14ac:dyDescent="0.25"/>
    <row r="11" spans="1:8" ht="69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13.5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103"/>
    </row>
    <row r="15" spans="1:8" x14ac:dyDescent="0.2">
      <c r="A15" s="491" t="s">
        <v>280</v>
      </c>
      <c r="B15" s="528" t="s">
        <v>281</v>
      </c>
      <c r="C15" s="529"/>
      <c r="D15" s="529"/>
      <c r="E15" s="529"/>
      <c r="F15" s="530"/>
      <c r="G15" s="491" t="s">
        <v>216</v>
      </c>
      <c r="H15" s="547" t="s">
        <v>282</v>
      </c>
    </row>
    <row r="16" spans="1:8" ht="13.5" thickBot="1" x14ac:dyDescent="0.25">
      <c r="A16" s="492"/>
      <c r="B16" s="544"/>
      <c r="C16" s="545"/>
      <c r="D16" s="545"/>
      <c r="E16" s="545"/>
      <c r="F16" s="546"/>
      <c r="G16" s="492"/>
      <c r="H16" s="548"/>
    </row>
    <row r="17" spans="1:8" x14ac:dyDescent="0.2">
      <c r="A17" s="136" t="s">
        <v>217</v>
      </c>
      <c r="B17" s="137"/>
      <c r="C17" s="137"/>
      <c r="D17" s="137"/>
      <c r="E17" s="137"/>
      <c r="F17" s="137"/>
      <c r="G17" s="137"/>
      <c r="H17" s="137"/>
    </row>
    <row r="18" spans="1:8" x14ac:dyDescent="0.2">
      <c r="A18" s="539" t="s">
        <v>1</v>
      </c>
      <c r="B18" s="539"/>
      <c r="C18" s="539" t="s">
        <v>218</v>
      </c>
      <c r="D18" s="539"/>
      <c r="E18" s="539" t="s">
        <v>219</v>
      </c>
      <c r="F18" s="539"/>
      <c r="G18" s="539" t="s">
        <v>220</v>
      </c>
      <c r="H18" s="539"/>
    </row>
    <row r="19" spans="1:8" x14ac:dyDescent="0.2">
      <c r="A19" s="540" t="s">
        <v>224</v>
      </c>
      <c r="B19" s="541"/>
      <c r="C19" s="525"/>
      <c r="D19" s="525"/>
      <c r="E19" s="542">
        <v>0.1</v>
      </c>
      <c r="F19" s="525"/>
      <c r="G19" s="388">
        <f>+G41*E19</f>
        <v>129.5</v>
      </c>
      <c r="H19" s="388"/>
    </row>
    <row r="20" spans="1:8" x14ac:dyDescent="0.2">
      <c r="A20" s="540"/>
      <c r="B20" s="541"/>
      <c r="C20" s="525"/>
      <c r="D20" s="525"/>
      <c r="E20" s="525"/>
      <c r="F20" s="525"/>
      <c r="G20" s="388"/>
      <c r="H20" s="388"/>
    </row>
    <row r="21" spans="1:8" x14ac:dyDescent="0.2">
      <c r="A21" s="137"/>
      <c r="B21" s="137"/>
      <c r="C21" s="535" t="s">
        <v>225</v>
      </c>
      <c r="D21" s="535"/>
      <c r="E21" s="535"/>
      <c r="F21" s="535"/>
      <c r="G21" s="388">
        <f>+G19+G20</f>
        <v>129.5</v>
      </c>
      <c r="H21" s="388"/>
    </row>
    <row r="22" spans="1:8" x14ac:dyDescent="0.2">
      <c r="A22" s="137"/>
      <c r="B22" s="137"/>
      <c r="C22" s="148"/>
      <c r="D22" s="148"/>
      <c r="E22" s="148"/>
      <c r="F22" s="148"/>
      <c r="G22" s="149"/>
      <c r="H22" s="149"/>
    </row>
    <row r="23" spans="1:8" x14ac:dyDescent="0.2">
      <c r="A23" s="136" t="s">
        <v>226</v>
      </c>
      <c r="B23" s="137"/>
      <c r="C23" s="137"/>
      <c r="D23" s="137"/>
      <c r="E23" s="137"/>
      <c r="F23" s="137"/>
      <c r="G23" s="137"/>
      <c r="H23" s="137"/>
    </row>
    <row r="24" spans="1:8" x14ac:dyDescent="0.2">
      <c r="A24" s="539" t="s">
        <v>1</v>
      </c>
      <c r="B24" s="539"/>
      <c r="C24" s="139" t="s">
        <v>227</v>
      </c>
      <c r="D24" s="139" t="s">
        <v>228</v>
      </c>
      <c r="E24" s="539" t="s">
        <v>3</v>
      </c>
      <c r="F24" s="539"/>
      <c r="G24" s="539" t="s">
        <v>220</v>
      </c>
      <c r="H24" s="539"/>
    </row>
    <row r="25" spans="1:8" x14ac:dyDescent="0.2">
      <c r="A25" s="427" t="s">
        <v>283</v>
      </c>
      <c r="B25" s="428"/>
      <c r="C25" s="124" t="s">
        <v>282</v>
      </c>
      <c r="D25" s="140">
        <v>2200</v>
      </c>
      <c r="E25" s="506">
        <v>1.05</v>
      </c>
      <c r="F25" s="507"/>
      <c r="G25" s="390">
        <f>+D25*E25</f>
        <v>2310</v>
      </c>
      <c r="H25" s="391"/>
    </row>
    <row r="26" spans="1:8" x14ac:dyDescent="0.2">
      <c r="A26" s="427" t="s">
        <v>284</v>
      </c>
      <c r="B26" s="428"/>
      <c r="C26" s="124" t="s">
        <v>285</v>
      </c>
      <c r="D26" s="140">
        <v>2800</v>
      </c>
      <c r="E26" s="506">
        <v>1.2E-2</v>
      </c>
      <c r="F26" s="507"/>
      <c r="G26" s="390">
        <f>+D26*E26</f>
        <v>33.6</v>
      </c>
      <c r="H26" s="391"/>
    </row>
    <row r="27" spans="1:8" x14ac:dyDescent="0.2">
      <c r="A27" s="386" t="s">
        <v>286</v>
      </c>
      <c r="B27" s="387"/>
      <c r="C27" s="117" t="s">
        <v>74</v>
      </c>
      <c r="D27" s="114">
        <v>600</v>
      </c>
      <c r="E27" s="483">
        <v>4</v>
      </c>
      <c r="F27" s="484"/>
      <c r="G27" s="390">
        <f>+D27*E27</f>
        <v>2400</v>
      </c>
      <c r="H27" s="391"/>
    </row>
    <row r="28" spans="1:8" x14ac:dyDescent="0.2">
      <c r="A28" s="386" t="s">
        <v>287</v>
      </c>
      <c r="B28" s="387"/>
      <c r="C28" s="117" t="s">
        <v>116</v>
      </c>
      <c r="D28" s="114">
        <v>6000</v>
      </c>
      <c r="E28" s="483">
        <v>0.25</v>
      </c>
      <c r="F28" s="484"/>
      <c r="G28" s="390">
        <f>+D28*E28</f>
        <v>1500</v>
      </c>
      <c r="H28" s="391"/>
    </row>
    <row r="29" spans="1:8" x14ac:dyDescent="0.2">
      <c r="A29" s="142"/>
      <c r="B29" s="142"/>
      <c r="C29" s="535" t="s">
        <v>225</v>
      </c>
      <c r="D29" s="535"/>
      <c r="E29" s="535"/>
      <c r="F29" s="535"/>
      <c r="G29" s="388">
        <f>SUM(G25:H28)</f>
        <v>6243.6</v>
      </c>
      <c r="H29" s="388"/>
    </row>
    <row r="30" spans="1:8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x14ac:dyDescent="0.2">
      <c r="A31" s="136" t="s">
        <v>232</v>
      </c>
      <c r="B31" s="137"/>
      <c r="C31" s="137"/>
      <c r="D31" s="137"/>
      <c r="E31" s="137"/>
      <c r="F31" s="137"/>
      <c r="G31" s="137"/>
      <c r="H31" s="137"/>
    </row>
    <row r="32" spans="1:8" x14ac:dyDescent="0.2">
      <c r="A32" s="539" t="s">
        <v>233</v>
      </c>
      <c r="B32" s="539"/>
      <c r="C32" s="139" t="s">
        <v>234</v>
      </c>
      <c r="D32" s="144" t="s">
        <v>235</v>
      </c>
      <c r="E32" s="539" t="s">
        <v>236</v>
      </c>
      <c r="F32" s="539"/>
      <c r="G32" s="539" t="s">
        <v>220</v>
      </c>
      <c r="H32" s="539"/>
    </row>
    <row r="33" spans="1:8" x14ac:dyDescent="0.2">
      <c r="A33" s="427" t="s">
        <v>283</v>
      </c>
      <c r="B33" s="428"/>
      <c r="C33" s="124">
        <v>1</v>
      </c>
      <c r="D33" s="124">
        <v>10</v>
      </c>
      <c r="E33" s="388">
        <v>150</v>
      </c>
      <c r="F33" s="388"/>
      <c r="G33" s="388">
        <f>+(E33*D33)*C33</f>
        <v>1500</v>
      </c>
      <c r="H33" s="388"/>
    </row>
    <row r="34" spans="1:8" x14ac:dyDescent="0.2">
      <c r="A34" s="427" t="s">
        <v>284</v>
      </c>
      <c r="B34" s="428"/>
      <c r="C34" s="124">
        <v>1</v>
      </c>
      <c r="D34" s="124">
        <v>10</v>
      </c>
      <c r="E34" s="388">
        <v>150</v>
      </c>
      <c r="F34" s="388"/>
      <c r="G34" s="388">
        <f>+(E34*D34)*C34</f>
        <v>1500</v>
      </c>
      <c r="H34" s="388"/>
    </row>
    <row r="35" spans="1:8" x14ac:dyDescent="0.2">
      <c r="A35" s="427" t="s">
        <v>287</v>
      </c>
      <c r="B35" s="428"/>
      <c r="C35" s="124">
        <v>1</v>
      </c>
      <c r="D35" s="124">
        <v>10</v>
      </c>
      <c r="E35" s="388">
        <v>1000</v>
      </c>
      <c r="F35" s="388"/>
      <c r="G35" s="388">
        <f>+(E35*D35)*C35</f>
        <v>10000</v>
      </c>
      <c r="H35" s="388"/>
    </row>
    <row r="36" spans="1:8" x14ac:dyDescent="0.2">
      <c r="A36" s="142"/>
      <c r="B36" s="142"/>
      <c r="C36" s="535" t="s">
        <v>225</v>
      </c>
      <c r="D36" s="535"/>
      <c r="E36" s="535"/>
      <c r="F36" s="535"/>
      <c r="G36" s="388">
        <f>SUM(G33:G35)</f>
        <v>13000</v>
      </c>
      <c r="H36" s="388"/>
    </row>
    <row r="37" spans="1:8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x14ac:dyDescent="0.2">
      <c r="A38" s="136" t="s">
        <v>237</v>
      </c>
      <c r="B38" s="137"/>
      <c r="C38" s="137"/>
      <c r="D38" s="137"/>
      <c r="E38" s="137"/>
      <c r="F38" s="137"/>
      <c r="G38" s="137"/>
      <c r="H38" s="137"/>
    </row>
    <row r="39" spans="1:8" x14ac:dyDescent="0.2">
      <c r="A39" s="539" t="s">
        <v>238</v>
      </c>
      <c r="B39" s="539"/>
      <c r="C39" s="139" t="s">
        <v>239</v>
      </c>
      <c r="D39" s="144" t="s">
        <v>240</v>
      </c>
      <c r="E39" s="145" t="s">
        <v>241</v>
      </c>
      <c r="F39" s="146" t="s">
        <v>219</v>
      </c>
      <c r="G39" s="539" t="s">
        <v>220</v>
      </c>
      <c r="H39" s="539"/>
    </row>
    <row r="40" spans="1:8" x14ac:dyDescent="0.2">
      <c r="A40" s="534" t="s">
        <v>258</v>
      </c>
      <c r="B40" s="534"/>
      <c r="C40" s="140">
        <v>70000</v>
      </c>
      <c r="D40" s="150">
        <v>0.85</v>
      </c>
      <c r="E40" s="140">
        <f>+((C40*D40)+C40)</f>
        <v>129500</v>
      </c>
      <c r="F40" s="124">
        <v>100</v>
      </c>
      <c r="G40" s="388">
        <f>+E40/F40</f>
        <v>1295</v>
      </c>
      <c r="H40" s="388"/>
    </row>
    <row r="41" spans="1:8" x14ac:dyDescent="0.2">
      <c r="A41" s="142"/>
      <c r="B41" s="142"/>
      <c r="C41" s="535" t="s">
        <v>225</v>
      </c>
      <c r="D41" s="535"/>
      <c r="E41" s="535"/>
      <c r="F41" s="535"/>
      <c r="G41" s="388">
        <f>SUM(G40:G40)</f>
        <v>1295</v>
      </c>
      <c r="H41" s="388"/>
    </row>
    <row r="42" spans="1:8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536" t="s">
        <v>244</v>
      </c>
      <c r="B44" s="536"/>
      <c r="C44" s="536"/>
      <c r="D44" s="536"/>
      <c r="E44" s="536"/>
      <c r="F44" s="536"/>
      <c r="G44" s="555">
        <f>+ROUND(G21+G29+G36+G41,0)</f>
        <v>20668</v>
      </c>
      <c r="H44" s="555"/>
    </row>
    <row r="45" spans="1:8" x14ac:dyDescent="0.2">
      <c r="G45" s="189">
        <f>+G44</f>
        <v>20668</v>
      </c>
    </row>
  </sheetData>
  <mergeCells count="66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C21:F21"/>
    <mergeCell ref="G21:H21"/>
    <mergeCell ref="A24:B24"/>
    <mergeCell ref="E24:F24"/>
    <mergeCell ref="G24:H24"/>
    <mergeCell ref="A25:B25"/>
    <mergeCell ref="E25:F25"/>
    <mergeCell ref="G25:H25"/>
    <mergeCell ref="A32:B32"/>
    <mergeCell ref="E32:F32"/>
    <mergeCell ref="G32:H32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C29:F29"/>
    <mergeCell ref="G29:H29"/>
    <mergeCell ref="A39:B39"/>
    <mergeCell ref="G39:H39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40:B40"/>
    <mergeCell ref="G40:H40"/>
    <mergeCell ref="C41:F41"/>
    <mergeCell ref="G41:H41"/>
    <mergeCell ref="A44:F44"/>
    <mergeCell ref="G44:H4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50"/>
  <sheetViews>
    <sheetView zoomScaleNormal="100" workbookViewId="0">
      <selection activeCell="I10" sqref="I10"/>
    </sheetView>
  </sheetViews>
  <sheetFormatPr baseColWidth="10" defaultRowHeight="12.75" x14ac:dyDescent="0.2"/>
  <cols>
    <col min="1" max="2" width="9.28515625" style="101" customWidth="1"/>
    <col min="3" max="3" width="11.42578125" style="101"/>
    <col min="4" max="4" width="11.42578125" style="101" customWidth="1"/>
    <col min="5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59" width="11.42578125" style="101"/>
    <col min="260" max="260" width="11.425781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1.42578125" style="101"/>
    <col min="516" max="516" width="11.425781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1.42578125" style="101"/>
    <col min="772" max="772" width="11.425781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1.42578125" style="101"/>
    <col min="1028" max="1028" width="11.425781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1.42578125" style="101"/>
    <col min="1284" max="1284" width="11.425781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1.42578125" style="101"/>
    <col min="1540" max="1540" width="11.425781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1.42578125" style="101"/>
    <col min="1796" max="1796" width="11.425781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1.42578125" style="101"/>
    <col min="2052" max="2052" width="11.425781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1.42578125" style="101"/>
    <col min="2308" max="2308" width="11.425781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1.42578125" style="101"/>
    <col min="2564" max="2564" width="11.425781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1.42578125" style="101"/>
    <col min="2820" max="2820" width="11.425781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1.42578125" style="101"/>
    <col min="3076" max="3076" width="11.425781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1.42578125" style="101"/>
    <col min="3332" max="3332" width="11.425781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1.42578125" style="101"/>
    <col min="3588" max="3588" width="11.425781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1.42578125" style="101"/>
    <col min="3844" max="3844" width="11.425781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1.42578125" style="101"/>
    <col min="4100" max="4100" width="11.425781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1.42578125" style="101"/>
    <col min="4356" max="4356" width="11.425781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1.42578125" style="101"/>
    <col min="4612" max="4612" width="11.425781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1.42578125" style="101"/>
    <col min="4868" max="4868" width="11.425781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1.42578125" style="101"/>
    <col min="5124" max="5124" width="11.425781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1.42578125" style="101"/>
    <col min="5380" max="5380" width="11.425781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1.42578125" style="101"/>
    <col min="5636" max="5636" width="11.425781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1.42578125" style="101"/>
    <col min="5892" max="5892" width="11.425781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1.42578125" style="101"/>
    <col min="6148" max="6148" width="11.425781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1.42578125" style="101"/>
    <col min="6404" max="6404" width="11.425781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1.42578125" style="101"/>
    <col min="6660" max="6660" width="11.425781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1.42578125" style="101"/>
    <col min="6916" max="6916" width="11.425781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1.42578125" style="101"/>
    <col min="7172" max="7172" width="11.425781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1.42578125" style="101"/>
    <col min="7428" max="7428" width="11.425781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1.42578125" style="101"/>
    <col min="7684" max="7684" width="11.425781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1.42578125" style="101"/>
    <col min="7940" max="7940" width="11.425781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1.42578125" style="101"/>
    <col min="8196" max="8196" width="11.425781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1.42578125" style="101"/>
    <col min="8452" max="8452" width="11.425781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1.42578125" style="101"/>
    <col min="8708" max="8708" width="11.425781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1.42578125" style="101"/>
    <col min="8964" max="8964" width="11.425781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1.42578125" style="101"/>
    <col min="9220" max="9220" width="11.425781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1.42578125" style="101"/>
    <col min="9476" max="9476" width="11.425781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1.42578125" style="101"/>
    <col min="9732" max="9732" width="11.425781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1.42578125" style="101"/>
    <col min="9988" max="9988" width="11.425781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1.42578125" style="101"/>
    <col min="10244" max="10244" width="11.425781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1.42578125" style="101"/>
    <col min="10500" max="10500" width="11.425781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1.42578125" style="101"/>
    <col min="10756" max="10756" width="11.425781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1.42578125" style="101"/>
    <col min="11012" max="11012" width="11.425781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1.42578125" style="101"/>
    <col min="11268" max="11268" width="11.425781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1.42578125" style="101"/>
    <col min="11524" max="11524" width="11.425781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1.42578125" style="101"/>
    <col min="11780" max="11780" width="11.425781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1.42578125" style="101"/>
    <col min="12036" max="12036" width="11.425781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1.42578125" style="101"/>
    <col min="12292" max="12292" width="11.425781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1.42578125" style="101"/>
    <col min="12548" max="12548" width="11.425781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1.42578125" style="101"/>
    <col min="12804" max="12804" width="11.425781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1.42578125" style="101"/>
    <col min="13060" max="13060" width="11.425781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1.42578125" style="101"/>
    <col min="13316" max="13316" width="11.425781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1.42578125" style="101"/>
    <col min="13572" max="13572" width="11.425781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1.42578125" style="101"/>
    <col min="13828" max="13828" width="11.425781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1.42578125" style="101"/>
    <col min="14084" max="14084" width="11.425781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1.42578125" style="101"/>
    <col min="14340" max="14340" width="11.425781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1.42578125" style="101"/>
    <col min="14596" max="14596" width="11.425781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1.42578125" style="101"/>
    <col min="14852" max="14852" width="11.425781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1.42578125" style="101"/>
    <col min="15108" max="15108" width="11.425781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1.42578125" style="101"/>
    <col min="15364" max="15364" width="11.425781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1.42578125" style="101"/>
    <col min="15620" max="15620" width="11.425781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1.42578125" style="101"/>
    <col min="15876" max="15876" width="11.425781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1.42578125" style="101"/>
    <col min="16132" max="16132" width="11.425781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1" spans="1:8" ht="13.5" thickBot="1" x14ac:dyDescent="0.25"/>
    <row r="2" spans="1:8" ht="18" x14ac:dyDescent="0.25">
      <c r="A2" s="494"/>
      <c r="B2" s="495"/>
      <c r="C2" s="500" t="s">
        <v>209</v>
      </c>
      <c r="D2" s="501"/>
      <c r="E2" s="501"/>
      <c r="F2" s="502"/>
      <c r="G2" s="494"/>
      <c r="H2" s="495"/>
    </row>
    <row r="3" spans="1:8" x14ac:dyDescent="0.2">
      <c r="A3" s="496"/>
      <c r="B3" s="497"/>
      <c r="C3" s="503" t="s">
        <v>98</v>
      </c>
      <c r="D3" s="504"/>
      <c r="E3" s="504"/>
      <c r="F3" s="505"/>
      <c r="G3" s="496"/>
      <c r="H3" s="497"/>
    </row>
    <row r="4" spans="1:8" x14ac:dyDescent="0.2">
      <c r="A4" s="496"/>
      <c r="B4" s="497"/>
      <c r="C4" s="102"/>
      <c r="D4" s="103"/>
      <c r="E4" s="103"/>
      <c r="F4" s="104"/>
      <c r="G4" s="496"/>
      <c r="H4" s="497"/>
    </row>
    <row r="5" spans="1:8" x14ac:dyDescent="0.2">
      <c r="A5" s="496"/>
      <c r="B5" s="497"/>
      <c r="C5" s="503" t="s">
        <v>210</v>
      </c>
      <c r="D5" s="504"/>
      <c r="E5" s="504"/>
      <c r="F5" s="505"/>
      <c r="G5" s="496"/>
      <c r="H5" s="497"/>
    </row>
    <row r="6" spans="1:8" x14ac:dyDescent="0.2">
      <c r="A6" s="496"/>
      <c r="B6" s="497"/>
      <c r="C6" s="503" t="s">
        <v>211</v>
      </c>
      <c r="D6" s="504"/>
      <c r="E6" s="504"/>
      <c r="F6" s="505"/>
      <c r="G6" s="496"/>
      <c r="H6" s="497"/>
    </row>
    <row r="7" spans="1:8" ht="13.5" thickBot="1" x14ac:dyDescent="0.25">
      <c r="A7" s="498"/>
      <c r="B7" s="499"/>
      <c r="C7" s="105"/>
      <c r="D7" s="106"/>
      <c r="E7" s="106"/>
      <c r="F7" s="107"/>
      <c r="G7" s="498"/>
      <c r="H7" s="499"/>
    </row>
    <row r="9" spans="1:8" ht="13.5" thickBot="1" x14ac:dyDescent="0.25">
      <c r="A9" s="490" t="s">
        <v>212</v>
      </c>
      <c r="B9" s="490"/>
      <c r="C9" s="490"/>
      <c r="D9" s="490"/>
      <c r="E9" s="490"/>
      <c r="F9" s="490"/>
      <c r="G9" s="490"/>
      <c r="H9" s="490"/>
    </row>
    <row r="10" spans="1:8" ht="13.5" thickBot="1" x14ac:dyDescent="0.25">
      <c r="A10" s="108"/>
      <c r="B10" s="108"/>
      <c r="C10" s="108"/>
      <c r="D10" s="108"/>
      <c r="E10" s="108"/>
      <c r="F10" s="108"/>
      <c r="G10" s="394" t="s">
        <v>213</v>
      </c>
      <c r="H10" s="395"/>
    </row>
    <row r="11" spans="1:8" ht="13.5" thickBot="1" x14ac:dyDescent="0.25"/>
    <row r="12" spans="1:8" ht="12.75" customHeight="1" x14ac:dyDescent="0.2">
      <c r="A12" s="396" t="s">
        <v>518</v>
      </c>
      <c r="B12" s="397"/>
      <c r="C12" s="397"/>
      <c r="D12" s="397"/>
      <c r="E12" s="397"/>
      <c r="F12" s="397"/>
      <c r="G12" s="397"/>
      <c r="H12" s="398"/>
    </row>
    <row r="13" spans="1:8" x14ac:dyDescent="0.2">
      <c r="A13" s="399"/>
      <c r="B13" s="400"/>
      <c r="C13" s="400"/>
      <c r="D13" s="400"/>
      <c r="E13" s="400"/>
      <c r="F13" s="400"/>
      <c r="G13" s="400"/>
      <c r="H13" s="401"/>
    </row>
    <row r="14" spans="1:8" ht="64.5" customHeight="1" thickBot="1" x14ac:dyDescent="0.25">
      <c r="A14" s="402"/>
      <c r="B14" s="403"/>
      <c r="C14" s="403"/>
      <c r="D14" s="403"/>
      <c r="E14" s="403"/>
      <c r="F14" s="403"/>
      <c r="G14" s="403"/>
      <c r="H14" s="404"/>
    </row>
    <row r="15" spans="1:8" ht="13.5" thickBot="1" x14ac:dyDescent="0.25">
      <c r="A15" s="103"/>
    </row>
    <row r="16" spans="1:8" x14ac:dyDescent="0.2">
      <c r="A16" s="491" t="s">
        <v>288</v>
      </c>
      <c r="B16" s="528" t="s">
        <v>289</v>
      </c>
      <c r="C16" s="529"/>
      <c r="D16" s="529"/>
      <c r="E16" s="529"/>
      <c r="F16" s="530"/>
      <c r="G16" s="491" t="s">
        <v>216</v>
      </c>
      <c r="H16" s="493" t="s">
        <v>116</v>
      </c>
    </row>
    <row r="17" spans="1:17" ht="13.5" thickBot="1" x14ac:dyDescent="0.25">
      <c r="A17" s="492"/>
      <c r="B17" s="544"/>
      <c r="C17" s="545"/>
      <c r="D17" s="545"/>
      <c r="E17" s="545"/>
      <c r="F17" s="546"/>
      <c r="G17" s="492"/>
      <c r="H17" s="492"/>
    </row>
    <row r="18" spans="1:17" x14ac:dyDescent="0.2">
      <c r="A18" s="109" t="s">
        <v>217</v>
      </c>
    </row>
    <row r="19" spans="1:17" x14ac:dyDescent="0.2">
      <c r="A19" s="480" t="s">
        <v>1</v>
      </c>
      <c r="B19" s="480"/>
      <c r="C19" s="480" t="s">
        <v>218</v>
      </c>
      <c r="D19" s="480"/>
      <c r="E19" s="480" t="s">
        <v>219</v>
      </c>
      <c r="F19" s="480"/>
      <c r="G19" s="480" t="s">
        <v>220</v>
      </c>
      <c r="H19" s="480"/>
    </row>
    <row r="20" spans="1:17" x14ac:dyDescent="0.2">
      <c r="A20" s="487" t="s">
        <v>224</v>
      </c>
      <c r="B20" s="488"/>
      <c r="C20" s="452"/>
      <c r="D20" s="452"/>
      <c r="E20" s="526">
        <v>0.1</v>
      </c>
      <c r="F20" s="527"/>
      <c r="G20" s="452">
        <f>+G46*E20</f>
        <v>6243.75</v>
      </c>
      <c r="H20" s="452"/>
    </row>
    <row r="21" spans="1:17" x14ac:dyDescent="0.2">
      <c r="A21" s="487" t="s">
        <v>290</v>
      </c>
      <c r="B21" s="488"/>
      <c r="C21" s="452">
        <v>12000</v>
      </c>
      <c r="D21" s="452"/>
      <c r="E21" s="527">
        <v>1</v>
      </c>
      <c r="F21" s="527"/>
      <c r="G21" s="452">
        <f>+C21*E21</f>
        <v>12000</v>
      </c>
      <c r="H21" s="452"/>
    </row>
    <row r="22" spans="1:17" x14ac:dyDescent="0.2">
      <c r="A22" s="487"/>
      <c r="B22" s="488"/>
      <c r="C22" s="527"/>
      <c r="D22" s="527"/>
      <c r="E22" s="527"/>
      <c r="F22" s="527"/>
      <c r="G22" s="452"/>
      <c r="H22" s="452"/>
    </row>
    <row r="23" spans="1:17" x14ac:dyDescent="0.2">
      <c r="C23" s="478" t="s">
        <v>225</v>
      </c>
      <c r="D23" s="478"/>
      <c r="E23" s="478"/>
      <c r="F23" s="478"/>
      <c r="G23" s="452">
        <f>+G20+G21+G22</f>
        <v>18243.75</v>
      </c>
      <c r="H23" s="452"/>
    </row>
    <row r="24" spans="1:17" x14ac:dyDescent="0.2">
      <c r="C24" s="110"/>
      <c r="D24" s="110"/>
      <c r="E24" s="110"/>
      <c r="F24" s="110"/>
      <c r="G24" s="111"/>
      <c r="H24" s="111"/>
      <c r="K24" s="151"/>
      <c r="L24" s="152"/>
      <c r="M24" s="152"/>
      <c r="N24" s="152"/>
      <c r="O24" s="152"/>
      <c r="P24" s="152"/>
      <c r="Q24" s="152"/>
    </row>
    <row r="25" spans="1:17" x14ac:dyDescent="0.2">
      <c r="A25" s="109" t="s">
        <v>226</v>
      </c>
      <c r="K25" s="153"/>
      <c r="L25" s="151"/>
      <c r="M25" s="154"/>
      <c r="N25" s="152"/>
      <c r="O25" s="152"/>
      <c r="P25" s="152"/>
      <c r="Q25" s="155"/>
    </row>
    <row r="26" spans="1:17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  <c r="K26" s="156"/>
      <c r="L26" s="157"/>
      <c r="M26" s="157"/>
      <c r="N26" s="158"/>
      <c r="O26" s="159"/>
      <c r="P26" s="160"/>
      <c r="Q26" s="160"/>
    </row>
    <row r="27" spans="1:17" x14ac:dyDescent="0.2">
      <c r="A27" s="482" t="s">
        <v>254</v>
      </c>
      <c r="B27" s="482"/>
      <c r="C27" s="113" t="s">
        <v>255</v>
      </c>
      <c r="D27" s="114">
        <v>40</v>
      </c>
      <c r="E27" s="483">
        <v>185</v>
      </c>
      <c r="F27" s="484"/>
      <c r="G27" s="485">
        <f>+D27*E27</f>
        <v>7400</v>
      </c>
      <c r="H27" s="486"/>
      <c r="K27" s="156"/>
      <c r="L27" s="157"/>
      <c r="M27" s="157"/>
      <c r="N27" s="158"/>
      <c r="O27" s="159"/>
      <c r="P27" s="160"/>
      <c r="Q27" s="160"/>
    </row>
    <row r="28" spans="1:17" x14ac:dyDescent="0.2">
      <c r="A28" s="482" t="s">
        <v>291</v>
      </c>
      <c r="B28" s="482"/>
      <c r="C28" s="113" t="s">
        <v>116</v>
      </c>
      <c r="D28" s="114">
        <v>60000</v>
      </c>
      <c r="E28" s="483">
        <v>0.63</v>
      </c>
      <c r="F28" s="484"/>
      <c r="G28" s="485">
        <f>+D28*E28</f>
        <v>37800</v>
      </c>
      <c r="H28" s="486"/>
      <c r="K28" s="156"/>
      <c r="L28" s="157"/>
      <c r="M28" s="157"/>
      <c r="N28" s="158"/>
      <c r="O28" s="159"/>
      <c r="P28" s="160"/>
      <c r="Q28" s="160"/>
    </row>
    <row r="29" spans="1:17" x14ac:dyDescent="0.2">
      <c r="A29" s="482" t="s">
        <v>292</v>
      </c>
      <c r="B29" s="482"/>
      <c r="C29" s="113" t="s">
        <v>116</v>
      </c>
      <c r="D29" s="114">
        <v>75000</v>
      </c>
      <c r="E29" s="483">
        <v>0.84</v>
      </c>
      <c r="F29" s="484"/>
      <c r="G29" s="485">
        <f>+D29*E29</f>
        <v>63000</v>
      </c>
      <c r="H29" s="486"/>
      <c r="K29" s="156"/>
      <c r="L29" s="157"/>
      <c r="M29" s="157"/>
      <c r="N29" s="158"/>
      <c r="O29" s="159"/>
      <c r="P29" s="160"/>
      <c r="Q29" s="160"/>
    </row>
    <row r="30" spans="1:17" x14ac:dyDescent="0.2">
      <c r="A30" s="482" t="s">
        <v>293</v>
      </c>
      <c r="B30" s="482"/>
      <c r="C30" s="113" t="s">
        <v>294</v>
      </c>
      <c r="D30" s="114">
        <v>26000</v>
      </c>
      <c r="E30" s="483">
        <v>5.2</v>
      </c>
      <c r="F30" s="484"/>
      <c r="G30" s="485">
        <f>+D30*E30</f>
        <v>135200</v>
      </c>
      <c r="H30" s="486"/>
      <c r="K30" s="156"/>
      <c r="L30" s="157"/>
      <c r="M30" s="157"/>
      <c r="N30" s="158"/>
      <c r="O30" s="159"/>
      <c r="P30" s="160"/>
      <c r="Q30" s="160"/>
    </row>
    <row r="31" spans="1:17" x14ac:dyDescent="0.2">
      <c r="A31" s="482" t="s">
        <v>295</v>
      </c>
      <c r="B31" s="482"/>
      <c r="C31" s="122">
        <v>0.05</v>
      </c>
      <c r="D31" s="114"/>
      <c r="E31" s="483"/>
      <c r="F31" s="484"/>
      <c r="G31" s="485">
        <f>0.05*SUM(G27:H30)</f>
        <v>12170</v>
      </c>
      <c r="H31" s="486"/>
      <c r="K31" s="156"/>
      <c r="L31" s="157"/>
      <c r="M31" s="157"/>
      <c r="N31" s="158"/>
      <c r="O31" s="159"/>
      <c r="P31" s="160"/>
      <c r="Q31" s="160"/>
    </row>
    <row r="32" spans="1:17" x14ac:dyDescent="0.2">
      <c r="A32" s="115"/>
      <c r="B32" s="115"/>
      <c r="C32" s="478" t="s">
        <v>225</v>
      </c>
      <c r="D32" s="478"/>
      <c r="E32" s="478"/>
      <c r="F32" s="478"/>
      <c r="G32" s="452">
        <f>SUM(G27:H31)</f>
        <v>255570</v>
      </c>
      <c r="H32" s="452"/>
      <c r="K32" s="156"/>
      <c r="L32" s="157"/>
      <c r="M32" s="157"/>
      <c r="N32" s="158"/>
      <c r="O32" s="159"/>
      <c r="P32" s="160"/>
      <c r="Q32" s="160"/>
    </row>
    <row r="33" spans="1:17" x14ac:dyDescent="0.2">
      <c r="K33" s="156"/>
      <c r="L33" s="157"/>
      <c r="M33" s="157"/>
      <c r="N33" s="158"/>
      <c r="O33" s="159"/>
      <c r="P33" s="160"/>
      <c r="Q33" s="160"/>
    </row>
    <row r="34" spans="1:17" x14ac:dyDescent="0.2">
      <c r="A34" s="109" t="s">
        <v>256</v>
      </c>
      <c r="K34" s="156"/>
      <c r="L34" s="157"/>
      <c r="M34" s="157"/>
      <c r="N34" s="158"/>
      <c r="O34" s="159"/>
      <c r="P34" s="160"/>
      <c r="Q34" s="160"/>
    </row>
    <row r="35" spans="1:17" x14ac:dyDescent="0.2">
      <c r="A35" s="480" t="s">
        <v>233</v>
      </c>
      <c r="B35" s="480"/>
      <c r="C35" s="112" t="s">
        <v>234</v>
      </c>
      <c r="D35" s="116" t="s">
        <v>235</v>
      </c>
      <c r="E35" s="480" t="s">
        <v>236</v>
      </c>
      <c r="F35" s="480"/>
      <c r="G35" s="480" t="s">
        <v>220</v>
      </c>
      <c r="H35" s="480"/>
      <c r="K35" s="156"/>
      <c r="L35" s="157"/>
      <c r="M35" s="157"/>
      <c r="N35" s="158"/>
      <c r="O35" s="159"/>
      <c r="P35" s="160"/>
      <c r="Q35" s="160"/>
    </row>
    <row r="36" spans="1:17" x14ac:dyDescent="0.2">
      <c r="A36" s="482" t="s">
        <v>291</v>
      </c>
      <c r="B36" s="482"/>
      <c r="C36" s="124">
        <v>0.63</v>
      </c>
      <c r="D36" s="117">
        <v>30</v>
      </c>
      <c r="E36" s="452">
        <v>1000</v>
      </c>
      <c r="F36" s="452"/>
      <c r="G36" s="452">
        <f>+C36*D36*E36</f>
        <v>18900</v>
      </c>
      <c r="H36" s="452"/>
    </row>
    <row r="37" spans="1:17" x14ac:dyDescent="0.2">
      <c r="A37" s="482" t="s">
        <v>292</v>
      </c>
      <c r="B37" s="482"/>
      <c r="C37" s="124">
        <v>0.84</v>
      </c>
      <c r="D37" s="117">
        <v>30</v>
      </c>
      <c r="E37" s="452">
        <v>10000</v>
      </c>
      <c r="F37" s="452"/>
      <c r="G37" s="452">
        <f>+C37*D37*E37</f>
        <v>252000</v>
      </c>
      <c r="H37" s="452"/>
    </row>
    <row r="38" spans="1:17" x14ac:dyDescent="0.2">
      <c r="A38" s="482" t="s">
        <v>293</v>
      </c>
      <c r="B38" s="482"/>
      <c r="C38" s="124">
        <v>5.2</v>
      </c>
      <c r="D38" s="117">
        <v>20</v>
      </c>
      <c r="E38" s="452">
        <v>15</v>
      </c>
      <c r="F38" s="452"/>
      <c r="G38" s="452">
        <f>+C38*D38*E38</f>
        <v>1560</v>
      </c>
      <c r="H38" s="452"/>
    </row>
    <row r="39" spans="1:17" x14ac:dyDescent="0.2">
      <c r="A39" s="115"/>
      <c r="B39" s="115"/>
      <c r="C39" s="478" t="s">
        <v>225</v>
      </c>
      <c r="D39" s="478"/>
      <c r="E39" s="478"/>
      <c r="F39" s="478"/>
      <c r="G39" s="452">
        <f>SUM(G36:G38)</f>
        <v>272460</v>
      </c>
      <c r="H39" s="452"/>
    </row>
    <row r="41" spans="1:17" x14ac:dyDescent="0.2">
      <c r="A41" s="109" t="s">
        <v>257</v>
      </c>
    </row>
    <row r="42" spans="1:17" x14ac:dyDescent="0.2">
      <c r="A42" s="480" t="s">
        <v>238</v>
      </c>
      <c r="B42" s="480"/>
      <c r="C42" s="128" t="s">
        <v>239</v>
      </c>
      <c r="D42" s="116" t="s">
        <v>240</v>
      </c>
      <c r="E42" s="119" t="s">
        <v>241</v>
      </c>
      <c r="F42" s="120" t="s">
        <v>219</v>
      </c>
      <c r="G42" s="480" t="s">
        <v>220</v>
      </c>
      <c r="H42" s="480"/>
    </row>
    <row r="43" spans="1:17" x14ac:dyDescent="0.2">
      <c r="A43" s="487" t="s">
        <v>242</v>
      </c>
      <c r="B43" s="488"/>
      <c r="C43" s="121">
        <v>60000</v>
      </c>
      <c r="D43" s="161">
        <v>0.85</v>
      </c>
      <c r="E43" s="121">
        <f>+C43*(1+D43)</f>
        <v>111000</v>
      </c>
      <c r="F43" s="162">
        <v>8</v>
      </c>
      <c r="G43" s="452">
        <f>+E43/F43</f>
        <v>13875</v>
      </c>
      <c r="H43" s="452"/>
    </row>
    <row r="44" spans="1:17" x14ac:dyDescent="0.2">
      <c r="A44" s="482" t="s">
        <v>296</v>
      </c>
      <c r="B44" s="482"/>
      <c r="C44" s="121">
        <f>35000*6</f>
        <v>210000</v>
      </c>
      <c r="D44" s="161">
        <v>0.85</v>
      </c>
      <c r="E44" s="121">
        <f>+C44*(1+D44)</f>
        <v>388500</v>
      </c>
      <c r="F44" s="162">
        <v>8</v>
      </c>
      <c r="G44" s="452">
        <f>+E44/F44</f>
        <v>48562.5</v>
      </c>
      <c r="H44" s="452"/>
    </row>
    <row r="45" spans="1:17" x14ac:dyDescent="0.2">
      <c r="A45" s="482"/>
      <c r="B45" s="482"/>
      <c r="C45" s="121"/>
      <c r="D45" s="118"/>
      <c r="E45" s="121"/>
      <c r="F45" s="118"/>
      <c r="G45" s="452"/>
      <c r="H45" s="452"/>
    </row>
    <row r="46" spans="1:17" x14ac:dyDescent="0.2">
      <c r="A46" s="115"/>
      <c r="B46" s="115"/>
      <c r="C46" s="478" t="s">
        <v>225</v>
      </c>
      <c r="D46" s="478"/>
      <c r="E46" s="478"/>
      <c r="F46" s="478"/>
      <c r="G46" s="452">
        <f>+G43+G44+G45</f>
        <v>62437.5</v>
      </c>
      <c r="H46" s="452"/>
    </row>
    <row r="49" spans="1:8" x14ac:dyDescent="0.2">
      <c r="A49" s="479" t="s">
        <v>244</v>
      </c>
      <c r="B49" s="479"/>
      <c r="C49" s="479"/>
      <c r="D49" s="479"/>
      <c r="E49" s="479"/>
      <c r="F49" s="479"/>
      <c r="G49" s="556">
        <f>ROUND(G23+G32+G39+G46,0)</f>
        <v>608711</v>
      </c>
      <c r="H49" s="556"/>
    </row>
    <row r="50" spans="1:8" x14ac:dyDescent="0.2">
      <c r="G50" s="188">
        <f>+G49</f>
        <v>608711</v>
      </c>
    </row>
  </sheetData>
  <mergeCells count="77">
    <mergeCell ref="A2:B7"/>
    <mergeCell ref="C2:F2"/>
    <mergeCell ref="G2:H7"/>
    <mergeCell ref="C3:F3"/>
    <mergeCell ref="C5:F5"/>
    <mergeCell ref="C6:F6"/>
    <mergeCell ref="A9:H9"/>
    <mergeCell ref="G10:H10"/>
    <mergeCell ref="A12:H14"/>
    <mergeCell ref="A16:A17"/>
    <mergeCell ref="B16:F17"/>
    <mergeCell ref="G16:G17"/>
    <mergeCell ref="H16:H17"/>
    <mergeCell ref="A19:B19"/>
    <mergeCell ref="C19:D19"/>
    <mergeCell ref="E19:F19"/>
    <mergeCell ref="G19:H19"/>
    <mergeCell ref="A20:B20"/>
    <mergeCell ref="C20:D20"/>
    <mergeCell ref="E20:F20"/>
    <mergeCell ref="G20:H20"/>
    <mergeCell ref="A27:B27"/>
    <mergeCell ref="E27:F27"/>
    <mergeCell ref="G27:H27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8:B28"/>
    <mergeCell ref="E28:F28"/>
    <mergeCell ref="G28:H28"/>
    <mergeCell ref="A29:B29"/>
    <mergeCell ref="E29:F29"/>
    <mergeCell ref="G29:H29"/>
    <mergeCell ref="A36:B36"/>
    <mergeCell ref="E36:F36"/>
    <mergeCell ref="G36:H36"/>
    <mergeCell ref="A30:B30"/>
    <mergeCell ref="E30:F30"/>
    <mergeCell ref="G30:H30"/>
    <mergeCell ref="A31:B31"/>
    <mergeCell ref="E31:F31"/>
    <mergeCell ref="G31:H31"/>
    <mergeCell ref="C32:F32"/>
    <mergeCell ref="G32:H32"/>
    <mergeCell ref="A35:B35"/>
    <mergeCell ref="E35:F35"/>
    <mergeCell ref="G35:H35"/>
    <mergeCell ref="A37:B37"/>
    <mergeCell ref="E37:F37"/>
    <mergeCell ref="G37:H37"/>
    <mergeCell ref="A38:B38"/>
    <mergeCell ref="E38:F38"/>
    <mergeCell ref="G38:H38"/>
    <mergeCell ref="C39:F39"/>
    <mergeCell ref="G39:H39"/>
    <mergeCell ref="A42:B42"/>
    <mergeCell ref="G42:H42"/>
    <mergeCell ref="A43:B43"/>
    <mergeCell ref="G43:H43"/>
    <mergeCell ref="A49:F49"/>
    <mergeCell ref="G49:H49"/>
    <mergeCell ref="A44:B44"/>
    <mergeCell ref="G44:H44"/>
    <mergeCell ref="A45:B45"/>
    <mergeCell ref="G45:H45"/>
    <mergeCell ref="C46:F46"/>
    <mergeCell ref="G46:H4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J46"/>
  <sheetViews>
    <sheetView zoomScaleNormal="100" workbookViewId="0">
      <selection activeCell="G11" sqref="G11:H11"/>
    </sheetView>
  </sheetViews>
  <sheetFormatPr baseColWidth="10" defaultRowHeight="12.75" x14ac:dyDescent="0.2"/>
  <cols>
    <col min="1" max="2" width="9.28515625" style="101" customWidth="1"/>
    <col min="3" max="3" width="11.42578125" style="101"/>
    <col min="4" max="4" width="11.42578125" style="101" customWidth="1"/>
    <col min="5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59" width="11.42578125" style="101"/>
    <col min="260" max="260" width="11.425781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1.42578125" style="101"/>
    <col min="516" max="516" width="11.425781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1.42578125" style="101"/>
    <col min="772" max="772" width="11.425781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1.42578125" style="101"/>
    <col min="1028" max="1028" width="11.425781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1.42578125" style="101"/>
    <col min="1284" max="1284" width="11.425781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1.42578125" style="101"/>
    <col min="1540" max="1540" width="11.425781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1.42578125" style="101"/>
    <col min="1796" max="1796" width="11.425781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1.42578125" style="101"/>
    <col min="2052" max="2052" width="11.425781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1.42578125" style="101"/>
    <col min="2308" max="2308" width="11.425781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1.42578125" style="101"/>
    <col min="2564" max="2564" width="11.425781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1.42578125" style="101"/>
    <col min="2820" max="2820" width="11.425781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1.42578125" style="101"/>
    <col min="3076" max="3076" width="11.425781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1.42578125" style="101"/>
    <col min="3332" max="3332" width="11.425781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1.42578125" style="101"/>
    <col min="3588" max="3588" width="11.425781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1.42578125" style="101"/>
    <col min="3844" max="3844" width="11.425781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1.42578125" style="101"/>
    <col min="4100" max="4100" width="11.425781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1.42578125" style="101"/>
    <col min="4356" max="4356" width="11.425781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1.42578125" style="101"/>
    <col min="4612" max="4612" width="11.425781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1.42578125" style="101"/>
    <col min="4868" max="4868" width="11.425781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1.42578125" style="101"/>
    <col min="5124" max="5124" width="11.425781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1.42578125" style="101"/>
    <col min="5380" max="5380" width="11.425781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1.42578125" style="101"/>
    <col min="5636" max="5636" width="11.425781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1.42578125" style="101"/>
    <col min="5892" max="5892" width="11.425781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1.42578125" style="101"/>
    <col min="6148" max="6148" width="11.425781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1.42578125" style="101"/>
    <col min="6404" max="6404" width="11.425781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1.42578125" style="101"/>
    <col min="6660" max="6660" width="11.425781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1.42578125" style="101"/>
    <col min="6916" max="6916" width="11.425781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1.42578125" style="101"/>
    <col min="7172" max="7172" width="11.425781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1.42578125" style="101"/>
    <col min="7428" max="7428" width="11.425781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1.42578125" style="101"/>
    <col min="7684" max="7684" width="11.425781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1.42578125" style="101"/>
    <col min="7940" max="7940" width="11.425781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1.42578125" style="101"/>
    <col min="8196" max="8196" width="11.425781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1.42578125" style="101"/>
    <col min="8452" max="8452" width="11.425781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1.42578125" style="101"/>
    <col min="8708" max="8708" width="11.425781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1.42578125" style="101"/>
    <col min="8964" max="8964" width="11.425781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1.42578125" style="101"/>
    <col min="9220" max="9220" width="11.425781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1.42578125" style="101"/>
    <col min="9476" max="9476" width="11.425781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1.42578125" style="101"/>
    <col min="9732" max="9732" width="11.425781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1.42578125" style="101"/>
    <col min="9988" max="9988" width="11.425781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1.42578125" style="101"/>
    <col min="10244" max="10244" width="11.425781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1.42578125" style="101"/>
    <col min="10500" max="10500" width="11.425781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1.42578125" style="101"/>
    <col min="10756" max="10756" width="11.425781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1.42578125" style="101"/>
    <col min="11012" max="11012" width="11.425781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1.42578125" style="101"/>
    <col min="11268" max="11268" width="11.425781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1.42578125" style="101"/>
    <col min="11524" max="11524" width="11.425781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1.42578125" style="101"/>
    <col min="11780" max="11780" width="11.425781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1.42578125" style="101"/>
    <col min="12036" max="12036" width="11.425781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1.42578125" style="101"/>
    <col min="12292" max="12292" width="11.425781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1.42578125" style="101"/>
    <col min="12548" max="12548" width="11.425781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1.42578125" style="101"/>
    <col min="12804" max="12804" width="11.425781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1.42578125" style="101"/>
    <col min="13060" max="13060" width="11.425781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1.42578125" style="101"/>
    <col min="13316" max="13316" width="11.425781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1.42578125" style="101"/>
    <col min="13572" max="13572" width="11.425781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1.42578125" style="101"/>
    <col min="13828" max="13828" width="11.425781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1.42578125" style="101"/>
    <col min="14084" max="14084" width="11.425781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1.42578125" style="101"/>
    <col min="14340" max="14340" width="11.425781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1.42578125" style="101"/>
    <col min="14596" max="14596" width="11.425781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1.42578125" style="101"/>
    <col min="14852" max="14852" width="11.425781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1.42578125" style="101"/>
    <col min="15108" max="15108" width="11.425781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1.42578125" style="101"/>
    <col min="15364" max="15364" width="11.425781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1.42578125" style="101"/>
    <col min="15620" max="15620" width="11.425781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1.42578125" style="101"/>
    <col min="15876" max="15876" width="11.425781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1.42578125" style="101"/>
    <col min="16132" max="16132" width="11.425781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2" spans="1:10" ht="13.5" thickBot="1" x14ac:dyDescent="0.25"/>
    <row r="3" spans="1:10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10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10" x14ac:dyDescent="0.2">
      <c r="A5" s="496"/>
      <c r="B5" s="497"/>
      <c r="C5" s="102"/>
      <c r="D5" s="103"/>
      <c r="E5" s="103"/>
      <c r="F5" s="104"/>
      <c r="G5" s="496"/>
      <c r="H5" s="497"/>
    </row>
    <row r="6" spans="1:10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10" x14ac:dyDescent="0.2">
      <c r="A7" s="496"/>
      <c r="B7" s="497"/>
      <c r="C7" s="503" t="s">
        <v>211</v>
      </c>
      <c r="D7" s="504"/>
      <c r="E7" s="504"/>
      <c r="F7" s="505"/>
      <c r="G7" s="496"/>
      <c r="H7" s="497"/>
      <c r="J7" s="163"/>
    </row>
    <row r="8" spans="1:10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10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10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10" ht="13.5" thickBot="1" x14ac:dyDescent="0.25"/>
    <row r="13" spans="1:10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10" x14ac:dyDescent="0.2">
      <c r="A14" s="399"/>
      <c r="B14" s="400"/>
      <c r="C14" s="400"/>
      <c r="D14" s="400"/>
      <c r="E14" s="400"/>
      <c r="F14" s="400"/>
      <c r="G14" s="400"/>
      <c r="H14" s="401"/>
    </row>
    <row r="15" spans="1:10" ht="71.2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10" ht="13.5" thickBot="1" x14ac:dyDescent="0.25">
      <c r="A16" s="103"/>
    </row>
    <row r="17" spans="1:8" x14ac:dyDescent="0.2">
      <c r="A17" s="491" t="s">
        <v>297</v>
      </c>
      <c r="B17" s="528" t="s">
        <v>525</v>
      </c>
      <c r="C17" s="529"/>
      <c r="D17" s="529"/>
      <c r="E17" s="529"/>
      <c r="F17" s="530"/>
      <c r="G17" s="491" t="s">
        <v>216</v>
      </c>
      <c r="H17" s="493" t="s">
        <v>282</v>
      </c>
    </row>
    <row r="18" spans="1:8" ht="13.5" thickBot="1" x14ac:dyDescent="0.25">
      <c r="A18" s="492"/>
      <c r="B18" s="531"/>
      <c r="C18" s="532"/>
      <c r="D18" s="532"/>
      <c r="E18" s="532"/>
      <c r="F18" s="533"/>
      <c r="G18" s="492"/>
      <c r="H18" s="492"/>
    </row>
    <row r="19" spans="1:8" x14ac:dyDescent="0.2">
      <c r="A19" s="109" t="s">
        <v>217</v>
      </c>
    </row>
    <row r="20" spans="1:8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8" x14ac:dyDescent="0.2">
      <c r="A21" s="487" t="s">
        <v>224</v>
      </c>
      <c r="B21" s="488"/>
      <c r="C21" s="452"/>
      <c r="D21" s="452"/>
      <c r="E21" s="526">
        <v>0.1</v>
      </c>
      <c r="F21" s="527"/>
      <c r="G21" s="452">
        <f>+G42*E21</f>
        <v>647.5</v>
      </c>
      <c r="H21" s="452"/>
    </row>
    <row r="22" spans="1:8" ht="37.5" customHeight="1" x14ac:dyDescent="0.2">
      <c r="A22" s="427" t="s">
        <v>250</v>
      </c>
      <c r="B22" s="428"/>
      <c r="C22" s="388">
        <v>150000</v>
      </c>
      <c r="D22" s="388"/>
      <c r="E22" s="525">
        <v>10</v>
      </c>
      <c r="F22" s="525"/>
      <c r="G22" s="388">
        <f>+C22/E22</f>
        <v>15000</v>
      </c>
      <c r="H22" s="388"/>
    </row>
    <row r="23" spans="1:8" x14ac:dyDescent="0.2">
      <c r="C23" s="478" t="s">
        <v>225</v>
      </c>
      <c r="D23" s="478"/>
      <c r="E23" s="478"/>
      <c r="F23" s="478"/>
      <c r="G23" s="452">
        <f>+G21+G22</f>
        <v>15647.5</v>
      </c>
      <c r="H23" s="452"/>
    </row>
    <row r="24" spans="1:8" x14ac:dyDescent="0.2">
      <c r="C24" s="110"/>
      <c r="D24" s="110"/>
      <c r="E24" s="110"/>
      <c r="F24" s="110"/>
      <c r="G24" s="111"/>
      <c r="H24" s="111"/>
    </row>
    <row r="25" spans="1:8" x14ac:dyDescent="0.2">
      <c r="A25" s="109" t="s">
        <v>226</v>
      </c>
    </row>
    <row r="26" spans="1:8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</row>
    <row r="27" spans="1:8" x14ac:dyDescent="0.2">
      <c r="A27" s="386"/>
      <c r="B27" s="387"/>
      <c r="C27" s="117"/>
      <c r="D27" s="126"/>
      <c r="E27" s="483"/>
      <c r="F27" s="484"/>
      <c r="G27" s="485"/>
      <c r="H27" s="486"/>
    </row>
    <row r="28" spans="1:8" x14ac:dyDescent="0.2">
      <c r="A28" s="487"/>
      <c r="B28" s="488"/>
      <c r="C28" s="117"/>
      <c r="D28" s="126"/>
      <c r="E28" s="483"/>
      <c r="F28" s="484"/>
      <c r="G28" s="485"/>
      <c r="H28" s="486"/>
    </row>
    <row r="29" spans="1:8" x14ac:dyDescent="0.2">
      <c r="A29" s="487"/>
      <c r="B29" s="488"/>
      <c r="C29" s="117"/>
      <c r="D29" s="126"/>
      <c r="E29" s="483"/>
      <c r="F29" s="484"/>
      <c r="G29" s="485"/>
      <c r="H29" s="486"/>
    </row>
    <row r="30" spans="1:8" x14ac:dyDescent="0.2">
      <c r="A30" s="115"/>
      <c r="B30" s="115"/>
      <c r="C30" s="478" t="s">
        <v>225</v>
      </c>
      <c r="D30" s="478"/>
      <c r="E30" s="478"/>
      <c r="F30" s="478"/>
      <c r="G30" s="452"/>
      <c r="H30" s="452"/>
    </row>
    <row r="32" spans="1:8" x14ac:dyDescent="0.2">
      <c r="A32" s="109" t="s">
        <v>256</v>
      </c>
    </row>
    <row r="33" spans="1:8" x14ac:dyDescent="0.2">
      <c r="A33" s="480" t="s">
        <v>233</v>
      </c>
      <c r="B33" s="480"/>
      <c r="C33" s="112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</row>
    <row r="34" spans="1:8" x14ac:dyDescent="0.2">
      <c r="A34" s="487"/>
      <c r="B34" s="488"/>
      <c r="C34" s="118"/>
      <c r="D34" s="118"/>
      <c r="E34" s="452"/>
      <c r="F34" s="452"/>
      <c r="G34" s="452"/>
      <c r="H34" s="452"/>
    </row>
    <row r="35" spans="1:8" x14ac:dyDescent="0.2">
      <c r="A35" s="482"/>
      <c r="B35" s="482"/>
      <c r="C35" s="118"/>
      <c r="D35" s="118"/>
      <c r="E35" s="452"/>
      <c r="F35" s="452"/>
      <c r="G35" s="452"/>
      <c r="H35" s="452"/>
    </row>
    <row r="36" spans="1:8" x14ac:dyDescent="0.2">
      <c r="A36" s="115"/>
      <c r="B36" s="115"/>
      <c r="C36" s="478" t="s">
        <v>225</v>
      </c>
      <c r="D36" s="478"/>
      <c r="E36" s="478"/>
      <c r="F36" s="478"/>
      <c r="G36" s="452"/>
      <c r="H36" s="452"/>
    </row>
    <row r="38" spans="1:8" x14ac:dyDescent="0.2">
      <c r="A38" s="109" t="s">
        <v>257</v>
      </c>
    </row>
    <row r="39" spans="1:8" x14ac:dyDescent="0.2">
      <c r="A39" s="480" t="s">
        <v>238</v>
      </c>
      <c r="B39" s="480"/>
      <c r="C39" s="128" t="s">
        <v>239</v>
      </c>
      <c r="D39" s="116" t="s">
        <v>240</v>
      </c>
      <c r="E39" s="119" t="s">
        <v>241</v>
      </c>
      <c r="F39" s="120" t="s">
        <v>219</v>
      </c>
      <c r="G39" s="480" t="s">
        <v>220</v>
      </c>
      <c r="H39" s="480"/>
    </row>
    <row r="40" spans="1:8" x14ac:dyDescent="0.2">
      <c r="A40" s="482" t="s">
        <v>298</v>
      </c>
      <c r="B40" s="482"/>
      <c r="C40" s="121">
        <v>35000</v>
      </c>
      <c r="D40" s="122">
        <v>0.85</v>
      </c>
      <c r="E40" s="121">
        <f>+((C40*D40)+C40)</f>
        <v>64750</v>
      </c>
      <c r="F40" s="117">
        <v>10</v>
      </c>
      <c r="G40" s="452">
        <f>+E40/F40</f>
        <v>6475</v>
      </c>
      <c r="H40" s="452"/>
    </row>
    <row r="41" spans="1:8" x14ac:dyDescent="0.2">
      <c r="A41" s="482"/>
      <c r="B41" s="482"/>
      <c r="C41" s="121"/>
      <c r="D41" s="123"/>
      <c r="E41" s="121"/>
      <c r="F41" s="118"/>
      <c r="G41" s="452"/>
      <c r="H41" s="452"/>
    </row>
    <row r="42" spans="1:8" x14ac:dyDescent="0.2">
      <c r="A42" s="115"/>
      <c r="B42" s="115"/>
      <c r="C42" s="478" t="s">
        <v>225</v>
      </c>
      <c r="D42" s="478"/>
      <c r="E42" s="478"/>
      <c r="F42" s="478"/>
      <c r="G42" s="452">
        <f>+G40+G41</f>
        <v>6475</v>
      </c>
      <c r="H42" s="452"/>
    </row>
    <row r="45" spans="1:8" x14ac:dyDescent="0.2">
      <c r="A45" s="479" t="s">
        <v>244</v>
      </c>
      <c r="B45" s="479"/>
      <c r="C45" s="479"/>
      <c r="D45" s="479"/>
      <c r="E45" s="479"/>
      <c r="F45" s="479"/>
      <c r="G45" s="556">
        <f>ROUND(G23+G30+G36+G42,0)</f>
        <v>22123</v>
      </c>
      <c r="H45" s="556"/>
    </row>
    <row r="46" spans="1:8" x14ac:dyDescent="0.2">
      <c r="G46" s="188">
        <f>+G45</f>
        <v>22123</v>
      </c>
    </row>
  </sheetData>
  <mergeCells count="62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A39:B39"/>
    <mergeCell ref="G39:H39"/>
    <mergeCell ref="C30:F30"/>
    <mergeCell ref="G30:H30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45:F45"/>
    <mergeCell ref="G45:H45"/>
    <mergeCell ref="A40:B40"/>
    <mergeCell ref="G40:H40"/>
    <mergeCell ref="A41:B41"/>
    <mergeCell ref="G41:H41"/>
    <mergeCell ref="C42:F42"/>
    <mergeCell ref="G42:H4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7"/>
  <sheetViews>
    <sheetView topLeftCell="A19" zoomScaleNormal="100" workbookViewId="0">
      <selection activeCell="G43" sqref="G43:H43"/>
    </sheetView>
  </sheetViews>
  <sheetFormatPr baseColWidth="10" defaultRowHeight="12.75" x14ac:dyDescent="0.2"/>
  <cols>
    <col min="1" max="2" width="9.28515625" style="101" customWidth="1"/>
    <col min="3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4" width="11.42578125" style="101"/>
    <col min="16135" max="16136" width="9.28515625" style="101" customWidth="1"/>
    <col min="16137" max="16384" width="11.42578125" style="101"/>
  </cols>
  <sheetData>
    <row r="1" spans="1:15" ht="13.5" thickBot="1" x14ac:dyDescent="0.25"/>
    <row r="2" spans="1:15" ht="18" x14ac:dyDescent="0.25">
      <c r="A2" s="494"/>
      <c r="B2" s="495"/>
      <c r="C2" s="500" t="s">
        <v>209</v>
      </c>
      <c r="D2" s="501"/>
      <c r="E2" s="501"/>
      <c r="F2" s="502"/>
      <c r="G2" s="494"/>
      <c r="H2" s="495"/>
    </row>
    <row r="3" spans="1:15" x14ac:dyDescent="0.2">
      <c r="A3" s="496"/>
      <c r="B3" s="497"/>
      <c r="C3" s="503" t="s">
        <v>98</v>
      </c>
      <c r="D3" s="504"/>
      <c r="E3" s="504"/>
      <c r="F3" s="505"/>
      <c r="G3" s="496"/>
      <c r="H3" s="497"/>
    </row>
    <row r="4" spans="1:15" x14ac:dyDescent="0.2">
      <c r="A4" s="496"/>
      <c r="B4" s="497"/>
      <c r="C4" s="102"/>
      <c r="D4" s="103"/>
      <c r="E4" s="103"/>
      <c r="F4" s="104"/>
      <c r="G4" s="496"/>
      <c r="H4" s="497"/>
    </row>
    <row r="5" spans="1:15" x14ac:dyDescent="0.2">
      <c r="A5" s="496"/>
      <c r="B5" s="497"/>
      <c r="C5" s="503" t="s">
        <v>210</v>
      </c>
      <c r="D5" s="504"/>
      <c r="E5" s="504"/>
      <c r="F5" s="505"/>
      <c r="G5" s="496"/>
      <c r="H5" s="497"/>
    </row>
    <row r="6" spans="1:15" x14ac:dyDescent="0.2">
      <c r="A6" s="496"/>
      <c r="B6" s="497"/>
      <c r="C6" s="503" t="s">
        <v>211</v>
      </c>
      <c r="D6" s="504"/>
      <c r="E6" s="504"/>
      <c r="F6" s="505"/>
      <c r="G6" s="496"/>
      <c r="H6" s="497"/>
    </row>
    <row r="7" spans="1:15" ht="13.5" thickBot="1" x14ac:dyDescent="0.25">
      <c r="A7" s="498"/>
      <c r="B7" s="499"/>
      <c r="C7" s="105"/>
      <c r="D7" s="106"/>
      <c r="E7" s="106"/>
      <c r="F7" s="107"/>
      <c r="G7" s="498"/>
      <c r="H7" s="499"/>
    </row>
    <row r="9" spans="1:15" ht="13.5" thickBot="1" x14ac:dyDescent="0.25">
      <c r="A9" s="490" t="s">
        <v>212</v>
      </c>
      <c r="B9" s="490"/>
      <c r="C9" s="490"/>
      <c r="D9" s="490"/>
      <c r="E9" s="490"/>
      <c r="F9" s="490"/>
      <c r="G9" s="490"/>
      <c r="H9" s="490"/>
    </row>
    <row r="10" spans="1:15" ht="13.5" thickBot="1" x14ac:dyDescent="0.25">
      <c r="A10" s="108"/>
      <c r="B10" s="108"/>
      <c r="C10" s="108"/>
      <c r="D10" s="108"/>
      <c r="E10" s="108"/>
      <c r="F10" s="108"/>
      <c r="G10" s="394" t="s">
        <v>213</v>
      </c>
      <c r="H10" s="395"/>
    </row>
    <row r="11" spans="1:15" ht="13.5" thickBot="1" x14ac:dyDescent="0.25"/>
    <row r="12" spans="1:15" ht="12.75" customHeight="1" x14ac:dyDescent="0.2">
      <c r="A12" s="396" t="s">
        <v>518</v>
      </c>
      <c r="B12" s="397"/>
      <c r="C12" s="397"/>
      <c r="D12" s="397"/>
      <c r="E12" s="397"/>
      <c r="F12" s="397"/>
      <c r="G12" s="397"/>
      <c r="H12" s="398"/>
    </row>
    <row r="13" spans="1:15" ht="12.75" customHeight="1" x14ac:dyDescent="0.2">
      <c r="A13" s="399"/>
      <c r="B13" s="400"/>
      <c r="C13" s="400"/>
      <c r="D13" s="400"/>
      <c r="E13" s="400"/>
      <c r="F13" s="400"/>
      <c r="G13" s="400"/>
      <c r="H13" s="401"/>
      <c r="J13" s="164"/>
      <c r="K13" s="165"/>
      <c r="L13" s="166"/>
      <c r="M13" s="166"/>
      <c r="N13" s="166"/>
      <c r="O13" s="167"/>
    </row>
    <row r="14" spans="1:15" ht="66.75" customHeight="1" thickBot="1" x14ac:dyDescent="0.25">
      <c r="A14" s="402"/>
      <c r="B14" s="403"/>
      <c r="C14" s="403"/>
      <c r="D14" s="403"/>
      <c r="E14" s="403"/>
      <c r="F14" s="403"/>
      <c r="G14" s="403"/>
      <c r="H14" s="404"/>
      <c r="J14" s="168"/>
      <c r="K14" s="168"/>
      <c r="L14" s="169"/>
      <c r="M14" s="170"/>
      <c r="N14" s="171"/>
      <c r="O14" s="171"/>
    </row>
    <row r="15" spans="1:15" ht="13.5" thickBot="1" x14ac:dyDescent="0.25">
      <c r="A15" s="103"/>
      <c r="J15" s="172"/>
      <c r="K15" s="168"/>
      <c r="L15" s="169"/>
      <c r="M15" s="170"/>
      <c r="N15" s="171"/>
      <c r="O15" s="171"/>
    </row>
    <row r="16" spans="1:15" x14ac:dyDescent="0.2">
      <c r="A16" s="491" t="s">
        <v>299</v>
      </c>
      <c r="B16" s="528" t="s">
        <v>300</v>
      </c>
      <c r="C16" s="529"/>
      <c r="D16" s="529"/>
      <c r="E16" s="529"/>
      <c r="F16" s="530"/>
      <c r="G16" s="491" t="s">
        <v>216</v>
      </c>
      <c r="H16" s="493" t="s">
        <v>116</v>
      </c>
      <c r="J16" s="172"/>
      <c r="K16" s="168"/>
      <c r="L16" s="169"/>
      <c r="M16" s="170"/>
      <c r="N16" s="171"/>
      <c r="O16" s="171"/>
    </row>
    <row r="17" spans="1:15" ht="13.5" thickBot="1" x14ac:dyDescent="0.25">
      <c r="A17" s="492"/>
      <c r="B17" s="544"/>
      <c r="C17" s="545"/>
      <c r="D17" s="545"/>
      <c r="E17" s="545"/>
      <c r="F17" s="546"/>
      <c r="G17" s="492"/>
      <c r="H17" s="492"/>
      <c r="J17" s="168"/>
      <c r="K17" s="168"/>
      <c r="L17" s="169"/>
      <c r="M17" s="170"/>
      <c r="N17" s="171"/>
      <c r="O17" s="171"/>
    </row>
    <row r="18" spans="1:15" x14ac:dyDescent="0.2">
      <c r="A18" s="109" t="s">
        <v>217</v>
      </c>
      <c r="J18" s="168"/>
      <c r="K18" s="168"/>
      <c r="L18" s="169"/>
      <c r="M18" s="170"/>
      <c r="N18" s="171"/>
      <c r="O18" s="171"/>
    </row>
    <row r="19" spans="1:15" x14ac:dyDescent="0.2">
      <c r="A19" s="480" t="s">
        <v>1</v>
      </c>
      <c r="B19" s="480"/>
      <c r="C19" s="480" t="s">
        <v>218</v>
      </c>
      <c r="D19" s="480"/>
      <c r="E19" s="480" t="s">
        <v>219</v>
      </c>
      <c r="F19" s="480"/>
      <c r="G19" s="558" t="s">
        <v>220</v>
      </c>
      <c r="H19" s="559"/>
      <c r="J19" s="168"/>
      <c r="K19" s="168"/>
      <c r="L19" s="169"/>
      <c r="M19" s="170"/>
      <c r="N19" s="171"/>
      <c r="O19" s="171"/>
    </row>
    <row r="20" spans="1:15" x14ac:dyDescent="0.2">
      <c r="A20" s="487" t="s">
        <v>224</v>
      </c>
      <c r="B20" s="488"/>
      <c r="C20" s="483"/>
      <c r="D20" s="484"/>
      <c r="E20" s="560">
        <v>0.1</v>
      </c>
      <c r="F20" s="484"/>
      <c r="G20" s="452">
        <f>+G43*E20</f>
        <v>3006.25</v>
      </c>
      <c r="H20" s="452"/>
      <c r="J20" s="168"/>
      <c r="K20" s="168"/>
      <c r="L20" s="169"/>
      <c r="M20" s="170"/>
      <c r="N20" s="171"/>
      <c r="O20" s="171"/>
    </row>
    <row r="21" spans="1:15" x14ac:dyDescent="0.2">
      <c r="A21" s="487" t="s">
        <v>301</v>
      </c>
      <c r="B21" s="488"/>
      <c r="C21" s="452">
        <v>70000</v>
      </c>
      <c r="D21" s="452"/>
      <c r="E21" s="527">
        <v>12</v>
      </c>
      <c r="F21" s="527"/>
      <c r="G21" s="452">
        <f>+C21/E21</f>
        <v>5833.333333333333</v>
      </c>
      <c r="H21" s="452"/>
      <c r="J21" s="168"/>
      <c r="K21" s="168"/>
      <c r="L21" s="169"/>
      <c r="M21" s="170"/>
      <c r="N21" s="171"/>
      <c r="O21" s="171"/>
    </row>
    <row r="22" spans="1:15" ht="71.25" customHeight="1" x14ac:dyDescent="0.2">
      <c r="A22" s="427" t="s">
        <v>302</v>
      </c>
      <c r="B22" s="428"/>
      <c r="C22" s="388">
        <v>240000</v>
      </c>
      <c r="D22" s="388"/>
      <c r="E22" s="525">
        <v>12</v>
      </c>
      <c r="F22" s="525"/>
      <c r="G22" s="388">
        <f>+C22/E22</f>
        <v>20000</v>
      </c>
      <c r="H22" s="388"/>
      <c r="J22" s="168"/>
      <c r="K22" s="168"/>
      <c r="L22" s="169"/>
      <c r="M22" s="170"/>
      <c r="N22" s="171"/>
      <c r="O22" s="171"/>
    </row>
    <row r="23" spans="1:15" x14ac:dyDescent="0.2">
      <c r="C23" s="478" t="s">
        <v>225</v>
      </c>
      <c r="D23" s="478"/>
      <c r="E23" s="478"/>
      <c r="F23" s="478"/>
      <c r="G23" s="452">
        <f>+G21+G22+G20</f>
        <v>28839.583333333332</v>
      </c>
      <c r="H23" s="452"/>
    </row>
    <row r="24" spans="1:15" x14ac:dyDescent="0.2">
      <c r="C24" s="110"/>
      <c r="D24" s="110"/>
      <c r="E24" s="110"/>
      <c r="F24" s="110"/>
      <c r="G24" s="111"/>
      <c r="H24" s="111"/>
    </row>
    <row r="25" spans="1:15" x14ac:dyDescent="0.2">
      <c r="A25" s="109" t="s">
        <v>226</v>
      </c>
    </row>
    <row r="26" spans="1:15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</row>
    <row r="27" spans="1:15" x14ac:dyDescent="0.2">
      <c r="A27" s="482"/>
      <c r="B27" s="482"/>
      <c r="C27" s="113"/>
      <c r="D27" s="114"/>
      <c r="E27" s="483"/>
      <c r="F27" s="484"/>
      <c r="G27" s="485"/>
      <c r="H27" s="486"/>
    </row>
    <row r="28" spans="1:15" x14ac:dyDescent="0.2">
      <c r="A28" s="482"/>
      <c r="B28" s="482"/>
      <c r="C28" s="113"/>
      <c r="D28" s="114"/>
      <c r="E28" s="483"/>
      <c r="F28" s="484"/>
      <c r="G28" s="485"/>
      <c r="H28" s="486"/>
    </row>
    <row r="29" spans="1:15" x14ac:dyDescent="0.2">
      <c r="A29" s="482"/>
      <c r="B29" s="482"/>
      <c r="C29" s="113"/>
      <c r="D29" s="114"/>
      <c r="E29" s="483"/>
      <c r="F29" s="484"/>
      <c r="G29" s="485"/>
      <c r="H29" s="486"/>
    </row>
    <row r="30" spans="1:15" x14ac:dyDescent="0.2">
      <c r="A30" s="115"/>
      <c r="B30" s="115"/>
      <c r="C30" s="478" t="s">
        <v>225</v>
      </c>
      <c r="D30" s="478"/>
      <c r="E30" s="478"/>
      <c r="F30" s="478"/>
      <c r="G30" s="452"/>
      <c r="H30" s="452"/>
    </row>
    <row r="32" spans="1:15" x14ac:dyDescent="0.2">
      <c r="A32" s="109" t="s">
        <v>256</v>
      </c>
    </row>
    <row r="33" spans="1:8" x14ac:dyDescent="0.2">
      <c r="A33" s="480" t="s">
        <v>233</v>
      </c>
      <c r="B33" s="480"/>
      <c r="C33" s="128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</row>
    <row r="34" spans="1:8" ht="34.5" customHeight="1" x14ac:dyDescent="0.2">
      <c r="A34" s="386" t="s">
        <v>303</v>
      </c>
      <c r="B34" s="387"/>
      <c r="C34" s="124">
        <v>1</v>
      </c>
      <c r="D34" s="124">
        <v>10</v>
      </c>
      <c r="E34" s="557">
        <v>1000</v>
      </c>
      <c r="F34" s="557"/>
      <c r="G34" s="388">
        <f>+E34*D34*C34</f>
        <v>10000</v>
      </c>
      <c r="H34" s="388"/>
    </row>
    <row r="35" spans="1:8" x14ac:dyDescent="0.2">
      <c r="A35" s="482"/>
      <c r="B35" s="482"/>
      <c r="C35" s="118"/>
      <c r="D35" s="118"/>
      <c r="E35" s="452"/>
      <c r="F35" s="452"/>
      <c r="G35" s="452"/>
      <c r="H35" s="452"/>
    </row>
    <row r="36" spans="1:8" x14ac:dyDescent="0.2">
      <c r="A36" s="115"/>
      <c r="B36" s="115"/>
      <c r="C36" s="478" t="s">
        <v>225</v>
      </c>
      <c r="D36" s="478"/>
      <c r="E36" s="478"/>
      <c r="F36" s="478"/>
      <c r="G36" s="452">
        <f>SUM(G34:G35)</f>
        <v>10000</v>
      </c>
      <c r="H36" s="452"/>
    </row>
    <row r="38" spans="1:8" x14ac:dyDescent="0.2">
      <c r="A38" s="109" t="s">
        <v>257</v>
      </c>
    </row>
    <row r="39" spans="1:8" x14ac:dyDescent="0.2">
      <c r="A39" s="480" t="s">
        <v>238</v>
      </c>
      <c r="B39" s="480"/>
      <c r="C39" s="128" t="s">
        <v>239</v>
      </c>
      <c r="D39" s="116" t="s">
        <v>240</v>
      </c>
      <c r="E39" s="119" t="s">
        <v>241</v>
      </c>
      <c r="F39" s="120" t="s">
        <v>219</v>
      </c>
      <c r="G39" s="480" t="s">
        <v>220</v>
      </c>
      <c r="H39" s="480"/>
    </row>
    <row r="40" spans="1:8" x14ac:dyDescent="0.2">
      <c r="A40" s="487" t="s">
        <v>304</v>
      </c>
      <c r="B40" s="488"/>
      <c r="C40" s="121">
        <v>70000</v>
      </c>
      <c r="D40" s="161">
        <v>0.85</v>
      </c>
      <c r="E40" s="121">
        <f>+((C40*D40)+C40)</f>
        <v>129500</v>
      </c>
      <c r="F40" s="117">
        <v>8</v>
      </c>
      <c r="G40" s="452">
        <f>+E40/F40</f>
        <v>16187.5</v>
      </c>
      <c r="H40" s="452"/>
    </row>
    <row r="41" spans="1:8" x14ac:dyDescent="0.2">
      <c r="A41" s="482" t="s">
        <v>242</v>
      </c>
      <c r="B41" s="482"/>
      <c r="C41" s="121">
        <v>60000</v>
      </c>
      <c r="D41" s="161">
        <v>0.85</v>
      </c>
      <c r="E41" s="121">
        <f>+((C41*D41)+C41)</f>
        <v>111000</v>
      </c>
      <c r="F41" s="117">
        <v>8</v>
      </c>
      <c r="G41" s="452">
        <f>+E41/F41</f>
        <v>13875</v>
      </c>
      <c r="H41" s="452"/>
    </row>
    <row r="42" spans="1:8" x14ac:dyDescent="0.2">
      <c r="A42" s="482"/>
      <c r="B42" s="482"/>
      <c r="C42" s="121"/>
      <c r="D42" s="118"/>
      <c r="E42" s="121"/>
      <c r="F42" s="118"/>
      <c r="G42" s="452"/>
      <c r="H42" s="452"/>
    </row>
    <row r="43" spans="1:8" x14ac:dyDescent="0.2">
      <c r="A43" s="115"/>
      <c r="B43" s="115"/>
      <c r="C43" s="478" t="s">
        <v>225</v>
      </c>
      <c r="D43" s="478"/>
      <c r="E43" s="478"/>
      <c r="F43" s="478"/>
      <c r="G43" s="452">
        <f>+G40+G41+G42</f>
        <v>30062.5</v>
      </c>
      <c r="H43" s="452"/>
    </row>
    <row r="46" spans="1:8" x14ac:dyDescent="0.2">
      <c r="A46" s="479" t="s">
        <v>244</v>
      </c>
      <c r="B46" s="479"/>
      <c r="C46" s="479"/>
      <c r="D46" s="479"/>
      <c r="E46" s="479"/>
      <c r="F46" s="479"/>
      <c r="G46" s="556">
        <f>ROUND(G23+G30+G36+G43,0)</f>
        <v>68902</v>
      </c>
      <c r="H46" s="556"/>
    </row>
    <row r="47" spans="1:8" x14ac:dyDescent="0.2">
      <c r="G47" s="188">
        <f>+G46</f>
        <v>68902</v>
      </c>
    </row>
  </sheetData>
  <mergeCells count="68">
    <mergeCell ref="A2:B7"/>
    <mergeCell ref="C2:F2"/>
    <mergeCell ref="G2:H7"/>
    <mergeCell ref="C3:F3"/>
    <mergeCell ref="C5:F5"/>
    <mergeCell ref="C6:F6"/>
    <mergeCell ref="A9:H9"/>
    <mergeCell ref="G10:H10"/>
    <mergeCell ref="A12:H14"/>
    <mergeCell ref="A16:A17"/>
    <mergeCell ref="B16:F17"/>
    <mergeCell ref="G16:G17"/>
    <mergeCell ref="H16:H17"/>
    <mergeCell ref="A19:B19"/>
    <mergeCell ref="C19:D19"/>
    <mergeCell ref="E19:F19"/>
    <mergeCell ref="G19:H19"/>
    <mergeCell ref="A20:B20"/>
    <mergeCell ref="C20:D20"/>
    <mergeCell ref="E20:F20"/>
    <mergeCell ref="G20:H20"/>
    <mergeCell ref="A27:B27"/>
    <mergeCell ref="E27:F27"/>
    <mergeCell ref="G27:H27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8:B28"/>
    <mergeCell ref="E28:F28"/>
    <mergeCell ref="G28:H28"/>
    <mergeCell ref="A29:B29"/>
    <mergeCell ref="E29:F29"/>
    <mergeCell ref="G29:H29"/>
    <mergeCell ref="A39:B39"/>
    <mergeCell ref="G39:H39"/>
    <mergeCell ref="C30:F30"/>
    <mergeCell ref="G30:H30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C43:F43"/>
    <mergeCell ref="G43:H43"/>
    <mergeCell ref="A46:F46"/>
    <mergeCell ref="G46:H46"/>
    <mergeCell ref="A40:B40"/>
    <mergeCell ref="G40:H40"/>
    <mergeCell ref="A41:B41"/>
    <mergeCell ref="G41:H41"/>
    <mergeCell ref="A42:B42"/>
    <mergeCell ref="G42:H4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2"/>
  <sheetViews>
    <sheetView workbookViewId="0">
      <selection activeCell="G51" sqref="G51:H51"/>
    </sheetView>
  </sheetViews>
  <sheetFormatPr baseColWidth="10" defaultRowHeight="15" x14ac:dyDescent="0.25"/>
  <cols>
    <col min="11" max="11" width="28.140625" bestFit="1" customWidth="1"/>
  </cols>
  <sheetData>
    <row r="1" spans="1:8" ht="18" x14ac:dyDescent="0.25">
      <c r="A1" s="466"/>
      <c r="B1" s="467"/>
      <c r="C1" s="472" t="s">
        <v>209</v>
      </c>
      <c r="D1" s="473"/>
      <c r="E1" s="473"/>
      <c r="F1" s="474"/>
      <c r="G1" s="466"/>
      <c r="H1" s="467"/>
    </row>
    <row r="2" spans="1:8" x14ac:dyDescent="0.25">
      <c r="A2" s="468"/>
      <c r="B2" s="469"/>
      <c r="C2" s="475" t="s">
        <v>98</v>
      </c>
      <c r="D2" s="476"/>
      <c r="E2" s="476"/>
      <c r="F2" s="477"/>
      <c r="G2" s="468"/>
      <c r="H2" s="469"/>
    </row>
    <row r="3" spans="1:8" x14ac:dyDescent="0.25">
      <c r="A3" s="468"/>
      <c r="B3" s="469"/>
      <c r="C3" s="192"/>
      <c r="D3" s="193"/>
      <c r="E3" s="193"/>
      <c r="F3" s="194"/>
      <c r="G3" s="468"/>
      <c r="H3" s="469"/>
    </row>
    <row r="4" spans="1:8" x14ac:dyDescent="0.25">
      <c r="A4" s="468"/>
      <c r="B4" s="469"/>
      <c r="C4" s="475" t="s">
        <v>210</v>
      </c>
      <c r="D4" s="476"/>
      <c r="E4" s="476"/>
      <c r="F4" s="477"/>
      <c r="G4" s="468"/>
      <c r="H4" s="469"/>
    </row>
    <row r="5" spans="1:8" x14ac:dyDescent="0.25">
      <c r="A5" s="468"/>
      <c r="B5" s="469"/>
      <c r="C5" s="475" t="s">
        <v>211</v>
      </c>
      <c r="D5" s="476"/>
      <c r="E5" s="476"/>
      <c r="F5" s="477"/>
      <c r="G5" s="468"/>
      <c r="H5" s="469"/>
    </row>
    <row r="6" spans="1:8" ht="15.75" thickBot="1" x14ac:dyDescent="0.3">
      <c r="A6" s="470"/>
      <c r="B6" s="471"/>
      <c r="C6" s="195"/>
      <c r="D6" s="196"/>
      <c r="E6" s="196"/>
      <c r="F6" s="197"/>
      <c r="G6" s="470"/>
      <c r="H6" s="471"/>
    </row>
    <row r="7" spans="1:8" x14ac:dyDescent="0.25">
      <c r="A7" s="191"/>
      <c r="B7" s="191"/>
      <c r="C7" s="191"/>
      <c r="D7" s="191"/>
      <c r="E7" s="191"/>
      <c r="F7" s="191"/>
      <c r="G7" s="191"/>
      <c r="H7" s="191"/>
    </row>
    <row r="8" spans="1:8" ht="15.75" thickBot="1" x14ac:dyDescent="0.3">
      <c r="A8" s="455" t="s">
        <v>212</v>
      </c>
      <c r="B8" s="455"/>
      <c r="C8" s="455"/>
      <c r="D8" s="455"/>
      <c r="E8" s="455"/>
      <c r="F8" s="455"/>
      <c r="G8" s="455"/>
      <c r="H8" s="455"/>
    </row>
    <row r="9" spans="1:8" ht="15.75" thickBot="1" x14ac:dyDescent="0.3">
      <c r="A9" s="226"/>
      <c r="B9" s="226"/>
      <c r="C9" s="226"/>
      <c r="D9" s="226"/>
      <c r="E9" s="226"/>
      <c r="F9" s="226"/>
      <c r="G9" s="584" t="s">
        <v>456</v>
      </c>
      <c r="H9" s="585"/>
    </row>
    <row r="10" spans="1:8" ht="15.75" thickBot="1" x14ac:dyDescent="0.3">
      <c r="A10" s="191"/>
      <c r="B10" s="191"/>
      <c r="C10" s="191"/>
      <c r="D10" s="191"/>
      <c r="E10" s="199"/>
      <c r="F10" s="191"/>
      <c r="G10" s="191"/>
      <c r="H10" s="191"/>
    </row>
    <row r="11" spans="1:8" ht="53.25" customHeight="1" x14ac:dyDescent="0.25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5">
      <c r="A12" s="399"/>
      <c r="B12" s="400"/>
      <c r="C12" s="400"/>
      <c r="D12" s="400"/>
      <c r="E12" s="400"/>
      <c r="F12" s="400"/>
      <c r="G12" s="400"/>
      <c r="H12" s="401"/>
    </row>
    <row r="13" spans="1:8" ht="15.75" thickBot="1" x14ac:dyDescent="0.3">
      <c r="A13" s="402"/>
      <c r="B13" s="403"/>
      <c r="C13" s="403"/>
      <c r="D13" s="403"/>
      <c r="E13" s="403"/>
      <c r="F13" s="403"/>
      <c r="G13" s="403"/>
      <c r="H13" s="404"/>
    </row>
    <row r="14" spans="1:8" ht="15.75" thickBot="1" x14ac:dyDescent="0.3">
      <c r="A14" s="227"/>
      <c r="B14" s="228"/>
      <c r="C14" s="228"/>
      <c r="D14" s="228"/>
      <c r="E14" s="228"/>
      <c r="F14" s="228"/>
      <c r="G14" s="228"/>
      <c r="H14" s="228"/>
    </row>
    <row r="15" spans="1:8" x14ac:dyDescent="0.25">
      <c r="A15" s="586" t="s">
        <v>442</v>
      </c>
      <c r="B15" s="589" t="s">
        <v>443</v>
      </c>
      <c r="C15" s="590"/>
      <c r="D15" s="590"/>
      <c r="E15" s="590"/>
      <c r="F15" s="591"/>
      <c r="G15" s="586" t="s">
        <v>430</v>
      </c>
      <c r="H15" s="598" t="s">
        <v>149</v>
      </c>
    </row>
    <row r="16" spans="1:8" x14ac:dyDescent="0.25">
      <c r="A16" s="587"/>
      <c r="B16" s="592"/>
      <c r="C16" s="593"/>
      <c r="D16" s="593"/>
      <c r="E16" s="593"/>
      <c r="F16" s="594"/>
      <c r="G16" s="587"/>
      <c r="H16" s="599"/>
    </row>
    <row r="17" spans="1:10" ht="15.75" thickBot="1" x14ac:dyDescent="0.3">
      <c r="A17" s="588"/>
      <c r="B17" s="595"/>
      <c r="C17" s="596"/>
      <c r="D17" s="596"/>
      <c r="E17" s="596"/>
      <c r="F17" s="597"/>
      <c r="G17" s="588"/>
      <c r="H17" s="600"/>
    </row>
    <row r="18" spans="1:10" x14ac:dyDescent="0.25">
      <c r="A18" s="229" t="s">
        <v>217</v>
      </c>
      <c r="B18" s="230"/>
      <c r="C18" s="230"/>
      <c r="D18" s="230"/>
      <c r="E18" s="230"/>
      <c r="F18" s="230"/>
      <c r="G18" s="230"/>
      <c r="H18" s="230"/>
    </row>
    <row r="19" spans="1:10" x14ac:dyDescent="0.25">
      <c r="A19" s="561" t="s">
        <v>1</v>
      </c>
      <c r="B19" s="561"/>
      <c r="C19" s="561" t="s">
        <v>218</v>
      </c>
      <c r="D19" s="561"/>
      <c r="E19" s="561" t="s">
        <v>219</v>
      </c>
      <c r="F19" s="561"/>
      <c r="G19" s="561" t="s">
        <v>220</v>
      </c>
      <c r="H19" s="561"/>
    </row>
    <row r="20" spans="1:10" x14ac:dyDescent="0.25">
      <c r="A20" s="439" t="s">
        <v>444</v>
      </c>
      <c r="B20" s="440"/>
      <c r="C20" s="441">
        <v>50000</v>
      </c>
      <c r="D20" s="441"/>
      <c r="E20" s="583">
        <f>+$F$46/8</f>
        <v>1.5</v>
      </c>
      <c r="F20" s="583"/>
      <c r="G20" s="564">
        <f>+C20/E20</f>
        <v>33333.333333333336</v>
      </c>
      <c r="H20" s="564"/>
    </row>
    <row r="21" spans="1:10" x14ac:dyDescent="0.25">
      <c r="A21" s="439" t="s">
        <v>445</v>
      </c>
      <c r="B21" s="440"/>
      <c r="C21" s="441">
        <v>12000</v>
      </c>
      <c r="D21" s="441"/>
      <c r="E21" s="583">
        <f>+$F$46/8</f>
        <v>1.5</v>
      </c>
      <c r="F21" s="583"/>
      <c r="G21" s="564">
        <f>+C21*E21</f>
        <v>18000</v>
      </c>
      <c r="H21" s="564"/>
    </row>
    <row r="22" spans="1:10" x14ac:dyDescent="0.25">
      <c r="A22" s="439" t="s">
        <v>307</v>
      </c>
      <c r="B22" s="440"/>
      <c r="C22" s="441">
        <v>8000</v>
      </c>
      <c r="D22" s="441"/>
      <c r="E22" s="583">
        <f>+$F$46/8</f>
        <v>1.5</v>
      </c>
      <c r="F22" s="583"/>
      <c r="G22" s="564">
        <f>+C22*E22</f>
        <v>12000</v>
      </c>
      <c r="H22" s="564"/>
    </row>
    <row r="23" spans="1:10" x14ac:dyDescent="0.25">
      <c r="A23" s="568" t="s">
        <v>224</v>
      </c>
      <c r="B23" s="569"/>
      <c r="C23" s="563"/>
      <c r="D23" s="563"/>
      <c r="E23" s="582">
        <v>0.1</v>
      </c>
      <c r="F23" s="582"/>
      <c r="G23" s="564">
        <f>ROUND(E23*G48,0)</f>
        <v>3083</v>
      </c>
      <c r="H23" s="564"/>
    </row>
    <row r="24" spans="1:10" x14ac:dyDescent="0.25">
      <c r="A24" s="230"/>
      <c r="B24" s="230"/>
      <c r="C24" s="561" t="s">
        <v>225</v>
      </c>
      <c r="D24" s="561"/>
      <c r="E24" s="561"/>
      <c r="F24" s="561"/>
      <c r="G24" s="565">
        <f>SUM(G20:H23)</f>
        <v>66416.333333333343</v>
      </c>
      <c r="H24" s="565"/>
    </row>
    <row r="25" spans="1:10" x14ac:dyDescent="0.25">
      <c r="A25" s="230"/>
      <c r="B25" s="230"/>
      <c r="C25" s="231"/>
      <c r="D25" s="231"/>
      <c r="E25" s="231"/>
      <c r="F25" s="231"/>
      <c r="G25" s="232"/>
      <c r="H25" s="232"/>
    </row>
    <row r="26" spans="1:10" x14ac:dyDescent="0.25">
      <c r="A26" s="233" t="s">
        <v>226</v>
      </c>
      <c r="B26" s="230"/>
      <c r="C26" s="230"/>
      <c r="D26" s="230"/>
      <c r="E26" s="230"/>
      <c r="F26" s="230"/>
      <c r="G26" s="230"/>
      <c r="H26" s="230"/>
    </row>
    <row r="27" spans="1:10" x14ac:dyDescent="0.25">
      <c r="A27" s="561" t="s">
        <v>1</v>
      </c>
      <c r="B27" s="561"/>
      <c r="C27" s="234" t="s">
        <v>227</v>
      </c>
      <c r="D27" s="234" t="s">
        <v>228</v>
      </c>
      <c r="E27" s="561" t="s">
        <v>3</v>
      </c>
      <c r="F27" s="561"/>
      <c r="G27" s="561" t="s">
        <v>220</v>
      </c>
      <c r="H27" s="561"/>
    </row>
    <row r="28" spans="1:10" x14ac:dyDescent="0.25">
      <c r="A28" s="576" t="s">
        <v>446</v>
      </c>
      <c r="B28" s="577"/>
      <c r="C28" s="235" t="s">
        <v>285</v>
      </c>
      <c r="D28" s="207">
        <v>520</v>
      </c>
      <c r="E28" s="578">
        <f>350*1.3*0.15*1.05</f>
        <v>71.662500000000009</v>
      </c>
      <c r="F28" s="579"/>
      <c r="G28" s="445">
        <f>ROUND(D28*E28,0)</f>
        <v>37265</v>
      </c>
      <c r="H28" s="446"/>
      <c r="I28" s="236"/>
      <c r="J28" s="236"/>
    </row>
    <row r="29" spans="1:10" x14ac:dyDescent="0.25">
      <c r="A29" s="576" t="s">
        <v>447</v>
      </c>
      <c r="B29" s="577"/>
      <c r="C29" s="235" t="s">
        <v>448</v>
      </c>
      <c r="D29" s="237">
        <v>75000</v>
      </c>
      <c r="E29" s="578">
        <f>0.9*1.3*0.15*1.05</f>
        <v>0.18427500000000002</v>
      </c>
      <c r="F29" s="579"/>
      <c r="G29" s="445">
        <f>ROUND(D29*E29,0)</f>
        <v>13821</v>
      </c>
      <c r="H29" s="446"/>
    </row>
    <row r="30" spans="1:10" x14ac:dyDescent="0.25">
      <c r="A30" s="576" t="s">
        <v>449</v>
      </c>
      <c r="B30" s="577"/>
      <c r="C30" s="235" t="s">
        <v>448</v>
      </c>
      <c r="D30" s="237">
        <v>60000</v>
      </c>
      <c r="E30" s="578">
        <f>0.515*1.3*0.15*1.05</f>
        <v>0.10544625000000002</v>
      </c>
      <c r="F30" s="579"/>
      <c r="G30" s="445">
        <f>ROUND(D30*E30,0)</f>
        <v>6327</v>
      </c>
      <c r="H30" s="446"/>
    </row>
    <row r="31" spans="1:10" x14ac:dyDescent="0.25">
      <c r="A31" s="576" t="s">
        <v>254</v>
      </c>
      <c r="B31" s="577"/>
      <c r="C31" s="235" t="s">
        <v>450</v>
      </c>
      <c r="D31" s="237">
        <v>40</v>
      </c>
      <c r="E31" s="578">
        <f>170*1.3*0.15*1.05</f>
        <v>34.807499999999997</v>
      </c>
      <c r="F31" s="579"/>
      <c r="G31" s="445">
        <f>ROUND(D31*E31,0)</f>
        <v>1392</v>
      </c>
      <c r="H31" s="446"/>
    </row>
    <row r="32" spans="1:10" x14ac:dyDescent="0.25">
      <c r="A32" s="453" t="s">
        <v>451</v>
      </c>
      <c r="B32" s="454"/>
      <c r="C32" s="252" t="s">
        <v>285</v>
      </c>
      <c r="D32" s="207">
        <v>2900</v>
      </c>
      <c r="E32" s="580">
        <v>1.7</v>
      </c>
      <c r="F32" s="581"/>
      <c r="G32" s="445">
        <f>+D32*E32</f>
        <v>4930</v>
      </c>
      <c r="H32" s="446"/>
    </row>
    <row r="33" spans="1:8" x14ac:dyDescent="0.25">
      <c r="A33" s="574" t="s">
        <v>306</v>
      </c>
      <c r="B33" s="575"/>
      <c r="C33" s="252" t="s">
        <v>282</v>
      </c>
      <c r="D33" s="251">
        <v>15000</v>
      </c>
      <c r="E33" s="580">
        <f>+$F$46/8</f>
        <v>1.5</v>
      </c>
      <c r="F33" s="581"/>
      <c r="G33" s="564">
        <f>+D33/E33</f>
        <v>10000</v>
      </c>
      <c r="H33" s="564"/>
    </row>
    <row r="34" spans="1:8" x14ac:dyDescent="0.25">
      <c r="A34" s="562" t="s">
        <v>452</v>
      </c>
      <c r="B34" s="562"/>
      <c r="C34" s="235" t="s">
        <v>116</v>
      </c>
      <c r="D34" s="238">
        <v>35000</v>
      </c>
      <c r="E34" s="570">
        <f>1.3*0.2</f>
        <v>0.26</v>
      </c>
      <c r="F34" s="571"/>
      <c r="G34" s="572">
        <f>+D34*E34</f>
        <v>9100</v>
      </c>
      <c r="H34" s="573"/>
    </row>
    <row r="35" spans="1:8" x14ac:dyDescent="0.25">
      <c r="A35" s="239"/>
      <c r="B35" s="239"/>
      <c r="C35" s="561" t="s">
        <v>225</v>
      </c>
      <c r="D35" s="561"/>
      <c r="E35" s="561"/>
      <c r="F35" s="561"/>
      <c r="G35" s="565">
        <f>SUM(G28:H34)</f>
        <v>82835</v>
      </c>
      <c r="H35" s="565"/>
    </row>
    <row r="36" spans="1:8" x14ac:dyDescent="0.25">
      <c r="A36" s="230"/>
      <c r="B36" s="230"/>
      <c r="C36" s="230"/>
      <c r="D36" s="230"/>
      <c r="E36" s="230"/>
      <c r="F36" s="230"/>
      <c r="G36" s="230"/>
      <c r="H36" s="230"/>
    </row>
    <row r="37" spans="1:8" x14ac:dyDescent="0.25">
      <c r="A37" s="233" t="s">
        <v>232</v>
      </c>
      <c r="B37" s="230"/>
      <c r="C37" s="230"/>
      <c r="D37" s="230"/>
      <c r="E37" s="230"/>
      <c r="F37" s="230"/>
      <c r="G37" s="230"/>
      <c r="H37" s="230"/>
    </row>
    <row r="38" spans="1:8" x14ac:dyDescent="0.25">
      <c r="A38" s="561" t="s">
        <v>233</v>
      </c>
      <c r="B38" s="561"/>
      <c r="C38" s="234" t="s">
        <v>234</v>
      </c>
      <c r="D38" s="240" t="s">
        <v>235</v>
      </c>
      <c r="E38" s="561" t="s">
        <v>236</v>
      </c>
      <c r="F38" s="561"/>
      <c r="G38" s="561" t="s">
        <v>220</v>
      </c>
      <c r="H38" s="561"/>
    </row>
    <row r="39" spans="1:8" x14ac:dyDescent="0.25">
      <c r="A39" s="562" t="s">
        <v>453</v>
      </c>
      <c r="B39" s="562"/>
      <c r="C39" s="241">
        <v>1.05</v>
      </c>
      <c r="D39" s="241">
        <v>70</v>
      </c>
      <c r="E39" s="563">
        <v>1000</v>
      </c>
      <c r="F39" s="563"/>
      <c r="G39" s="564">
        <f>+E39*D39*C39</f>
        <v>73500</v>
      </c>
      <c r="H39" s="564"/>
    </row>
    <row r="40" spans="1:8" x14ac:dyDescent="0.25">
      <c r="A40" s="562" t="s">
        <v>454</v>
      </c>
      <c r="B40" s="562"/>
      <c r="C40" s="241">
        <v>1.7</v>
      </c>
      <c r="D40" s="241">
        <v>30</v>
      </c>
      <c r="E40" s="563">
        <v>26</v>
      </c>
      <c r="F40" s="563"/>
      <c r="G40" s="564">
        <f>+E40*D40*C40</f>
        <v>1326</v>
      </c>
      <c r="H40" s="564"/>
    </row>
    <row r="41" spans="1:8" x14ac:dyDescent="0.25">
      <c r="A41" s="562" t="s">
        <v>452</v>
      </c>
      <c r="B41" s="562"/>
      <c r="C41" s="241">
        <f>+E34</f>
        <v>0.26</v>
      </c>
      <c r="D41" s="241">
        <v>70</v>
      </c>
      <c r="E41" s="563">
        <v>1000</v>
      </c>
      <c r="F41" s="563"/>
      <c r="G41" s="564">
        <f>+E41*D41*C41</f>
        <v>18200</v>
      </c>
      <c r="H41" s="564"/>
    </row>
    <row r="42" spans="1:8" x14ac:dyDescent="0.25">
      <c r="A42" s="239"/>
      <c r="B42" s="239"/>
      <c r="C42" s="561" t="s">
        <v>225</v>
      </c>
      <c r="D42" s="561"/>
      <c r="E42" s="561"/>
      <c r="F42" s="561"/>
      <c r="G42" s="565">
        <f>+SUM(G39:H41)</f>
        <v>93026</v>
      </c>
      <c r="H42" s="565"/>
    </row>
    <row r="43" spans="1:8" x14ac:dyDescent="0.25">
      <c r="A43" s="230"/>
      <c r="B43" s="230"/>
      <c r="C43" s="230"/>
      <c r="D43" s="230"/>
      <c r="E43" s="230"/>
      <c r="F43" s="230"/>
      <c r="G43" s="230"/>
      <c r="H43" s="230"/>
    </row>
    <row r="44" spans="1:8" x14ac:dyDescent="0.25">
      <c r="A44" s="233" t="s">
        <v>237</v>
      </c>
      <c r="B44" s="230"/>
      <c r="C44" s="230"/>
      <c r="D44" s="230"/>
      <c r="E44" s="230"/>
      <c r="F44" s="230"/>
      <c r="G44" s="230"/>
      <c r="H44" s="230"/>
    </row>
    <row r="45" spans="1:8" x14ac:dyDescent="0.25">
      <c r="A45" s="561" t="s">
        <v>238</v>
      </c>
      <c r="B45" s="561"/>
      <c r="C45" s="242" t="s">
        <v>239</v>
      </c>
      <c r="D45" s="240" t="s">
        <v>240</v>
      </c>
      <c r="E45" s="234" t="s">
        <v>241</v>
      </c>
      <c r="F45" s="240" t="s">
        <v>219</v>
      </c>
      <c r="G45" s="561" t="s">
        <v>220</v>
      </c>
      <c r="H45" s="561"/>
    </row>
    <row r="46" spans="1:8" x14ac:dyDescent="0.25">
      <c r="A46" s="568" t="s">
        <v>242</v>
      </c>
      <c r="B46" s="569"/>
      <c r="C46" s="243">
        <v>60000</v>
      </c>
      <c r="D46" s="244">
        <v>0.85</v>
      </c>
      <c r="E46" s="243">
        <f>+C46*(1+D46)</f>
        <v>111000</v>
      </c>
      <c r="F46" s="241">
        <v>12</v>
      </c>
      <c r="G46" s="564">
        <f>+E46/F46</f>
        <v>9250</v>
      </c>
      <c r="H46" s="564"/>
    </row>
    <row r="47" spans="1:8" x14ac:dyDescent="0.25">
      <c r="A47" s="562" t="s">
        <v>308</v>
      </c>
      <c r="B47" s="562"/>
      <c r="C47" s="243">
        <f>35000*4</f>
        <v>140000</v>
      </c>
      <c r="D47" s="244">
        <v>0.85</v>
      </c>
      <c r="E47" s="243">
        <f>+C47*(1+D47)</f>
        <v>259000</v>
      </c>
      <c r="F47" s="241">
        <f>+F46</f>
        <v>12</v>
      </c>
      <c r="G47" s="564">
        <f>+E47/F47</f>
        <v>21583.333333333332</v>
      </c>
      <c r="H47" s="564"/>
    </row>
    <row r="48" spans="1:8" x14ac:dyDescent="0.25">
      <c r="A48" s="239"/>
      <c r="B48" s="239"/>
      <c r="C48" s="561" t="s">
        <v>225</v>
      </c>
      <c r="D48" s="561"/>
      <c r="E48" s="561"/>
      <c r="F48" s="561"/>
      <c r="G48" s="565">
        <f>ROUND(G46+G47,0)</f>
        <v>30833</v>
      </c>
      <c r="H48" s="565"/>
    </row>
    <row r="49" spans="1:8" x14ac:dyDescent="0.25">
      <c r="A49" s="230"/>
      <c r="B49" s="230"/>
      <c r="C49" s="230"/>
      <c r="D49" s="230"/>
      <c r="E49" s="230"/>
      <c r="F49" s="230"/>
      <c r="G49" s="245"/>
      <c r="H49" s="245"/>
    </row>
    <row r="50" spans="1:8" x14ac:dyDescent="0.25">
      <c r="A50" s="230"/>
      <c r="B50" s="230"/>
      <c r="C50" s="230"/>
      <c r="D50" s="230"/>
      <c r="E50" s="230"/>
      <c r="F50" s="230"/>
      <c r="G50" s="245"/>
      <c r="H50" s="245"/>
    </row>
    <row r="51" spans="1:8" x14ac:dyDescent="0.25">
      <c r="A51" s="566" t="s">
        <v>244</v>
      </c>
      <c r="B51" s="566"/>
      <c r="C51" s="566"/>
      <c r="D51" s="566"/>
      <c r="E51" s="566"/>
      <c r="F51" s="566"/>
      <c r="G51" s="567">
        <f>+ROUND(G24+G35+G42+G48,0)</f>
        <v>273110</v>
      </c>
      <c r="H51" s="567"/>
    </row>
    <row r="52" spans="1:8" x14ac:dyDescent="0.25">
      <c r="G52" s="221">
        <f>+G51</f>
        <v>273110</v>
      </c>
    </row>
  </sheetData>
  <mergeCells count="85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7"/>
    <mergeCell ref="B15:F17"/>
    <mergeCell ref="G15:G17"/>
    <mergeCell ref="H15:H17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8:B28"/>
    <mergeCell ref="E28:F28"/>
    <mergeCell ref="G28:H28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3:B33"/>
    <mergeCell ref="A29:B29"/>
    <mergeCell ref="E29:F29"/>
    <mergeCell ref="G29:H29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E33:F33"/>
    <mergeCell ref="G33:H33"/>
    <mergeCell ref="A34:B34"/>
    <mergeCell ref="E34:F34"/>
    <mergeCell ref="G34:H34"/>
    <mergeCell ref="C35:F35"/>
    <mergeCell ref="G35:H35"/>
    <mergeCell ref="A38:B38"/>
    <mergeCell ref="E38:F38"/>
    <mergeCell ref="G38:H38"/>
    <mergeCell ref="E40:F40"/>
    <mergeCell ref="G40:H40"/>
    <mergeCell ref="A51:F51"/>
    <mergeCell ref="G51:H51"/>
    <mergeCell ref="A46:B46"/>
    <mergeCell ref="G46:H46"/>
    <mergeCell ref="A47:B47"/>
    <mergeCell ref="G47:H47"/>
    <mergeCell ref="C48:F48"/>
    <mergeCell ref="G48:H48"/>
    <mergeCell ref="A45:B45"/>
    <mergeCell ref="G45:H45"/>
    <mergeCell ref="A39:B39"/>
    <mergeCell ref="E39:F39"/>
    <mergeCell ref="G39:H39"/>
    <mergeCell ref="A40:B40"/>
    <mergeCell ref="C42:F42"/>
    <mergeCell ref="G42:H42"/>
    <mergeCell ref="A41:B41"/>
    <mergeCell ref="E41:F41"/>
    <mergeCell ref="G41:H4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Q47"/>
  <sheetViews>
    <sheetView zoomScaleNormal="100" workbookViewId="0">
      <selection activeCell="I10" sqref="I10"/>
    </sheetView>
  </sheetViews>
  <sheetFormatPr baseColWidth="10" defaultRowHeight="12.75" x14ac:dyDescent="0.2"/>
  <cols>
    <col min="1" max="2" width="9.28515625" style="101" customWidth="1"/>
    <col min="3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70.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7" x14ac:dyDescent="0.2">
      <c r="A17" s="491" t="s">
        <v>309</v>
      </c>
      <c r="B17" s="528" t="s">
        <v>310</v>
      </c>
      <c r="C17" s="529"/>
      <c r="D17" s="529"/>
      <c r="E17" s="529"/>
      <c r="F17" s="530"/>
      <c r="G17" s="491" t="s">
        <v>216</v>
      </c>
      <c r="H17" s="493" t="s">
        <v>116</v>
      </c>
    </row>
    <row r="18" spans="1:17" ht="23.25" customHeight="1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7" x14ac:dyDescent="0.2">
      <c r="A19" s="109" t="s">
        <v>217</v>
      </c>
      <c r="K19" s="153"/>
      <c r="L19" s="151"/>
      <c r="M19" s="154"/>
      <c r="N19" s="152"/>
      <c r="O19" s="152"/>
      <c r="P19" s="152"/>
      <c r="Q19" s="155"/>
    </row>
    <row r="20" spans="1:17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  <c r="K20" s="156"/>
      <c r="L20" s="157"/>
      <c r="M20" s="157"/>
      <c r="N20" s="158"/>
      <c r="O20" s="159"/>
      <c r="P20" s="160"/>
      <c r="Q20" s="160"/>
    </row>
    <row r="21" spans="1:17" x14ac:dyDescent="0.2">
      <c r="A21" s="487" t="s">
        <v>224</v>
      </c>
      <c r="B21" s="488"/>
      <c r="C21" s="452"/>
      <c r="D21" s="452"/>
      <c r="E21" s="526">
        <v>0.1</v>
      </c>
      <c r="F21" s="527"/>
      <c r="G21" s="452">
        <f>+G43*E21</f>
        <v>4625</v>
      </c>
      <c r="H21" s="452"/>
      <c r="K21" s="156"/>
      <c r="L21" s="157"/>
      <c r="M21" s="157"/>
      <c r="N21" s="158"/>
      <c r="O21" s="159"/>
      <c r="P21" s="160"/>
      <c r="Q21" s="160"/>
    </row>
    <row r="22" spans="1:17" x14ac:dyDescent="0.2">
      <c r="A22" s="487"/>
      <c r="B22" s="488"/>
      <c r="C22" s="452"/>
      <c r="D22" s="452"/>
      <c r="E22" s="527"/>
      <c r="F22" s="527"/>
      <c r="G22" s="452"/>
      <c r="H22" s="452"/>
      <c r="K22" s="156"/>
      <c r="L22" s="157"/>
      <c r="M22" s="157"/>
      <c r="N22" s="158"/>
      <c r="O22" s="159"/>
      <c r="P22" s="160"/>
      <c r="Q22" s="160"/>
    </row>
    <row r="23" spans="1:17" x14ac:dyDescent="0.2">
      <c r="C23" s="478" t="s">
        <v>225</v>
      </c>
      <c r="D23" s="478"/>
      <c r="E23" s="478"/>
      <c r="F23" s="478"/>
      <c r="G23" s="452">
        <f>+G21+G22</f>
        <v>4625</v>
      </c>
      <c r="H23" s="452"/>
      <c r="K23" s="156"/>
      <c r="L23" s="157"/>
      <c r="M23" s="157"/>
      <c r="N23" s="158"/>
      <c r="O23" s="159"/>
      <c r="P23" s="160"/>
      <c r="Q23" s="160"/>
    </row>
    <row r="24" spans="1:17" x14ac:dyDescent="0.2">
      <c r="C24" s="110"/>
      <c r="D24" s="110"/>
      <c r="E24" s="110"/>
      <c r="F24" s="110"/>
      <c r="G24" s="111"/>
      <c r="H24" s="111"/>
      <c r="K24" s="156"/>
      <c r="L24" s="157"/>
      <c r="M24" s="157"/>
      <c r="N24" s="158"/>
      <c r="O24" s="159"/>
      <c r="P24" s="160"/>
      <c r="Q24" s="160"/>
    </row>
    <row r="25" spans="1:17" x14ac:dyDescent="0.2">
      <c r="A25" s="109" t="s">
        <v>226</v>
      </c>
      <c r="K25" s="156"/>
      <c r="L25" s="157"/>
      <c r="M25" s="157"/>
      <c r="N25" s="158"/>
      <c r="O25" s="159"/>
      <c r="P25" s="160"/>
      <c r="Q25" s="160"/>
    </row>
    <row r="26" spans="1:17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</row>
    <row r="27" spans="1:17" ht="26.25" customHeight="1" x14ac:dyDescent="0.2">
      <c r="A27" s="427" t="s">
        <v>311</v>
      </c>
      <c r="B27" s="428"/>
      <c r="C27" s="124" t="s">
        <v>285</v>
      </c>
      <c r="D27" s="125">
        <v>5500</v>
      </c>
      <c r="E27" s="603">
        <v>1.7</v>
      </c>
      <c r="F27" s="604"/>
      <c r="G27" s="390">
        <f>+D27*E27</f>
        <v>9350</v>
      </c>
      <c r="H27" s="391"/>
    </row>
    <row r="28" spans="1:17" x14ac:dyDescent="0.2">
      <c r="A28" s="487" t="s">
        <v>312</v>
      </c>
      <c r="B28" s="488"/>
      <c r="C28" s="117" t="s">
        <v>116</v>
      </c>
      <c r="D28" s="126">
        <v>75000</v>
      </c>
      <c r="E28" s="483">
        <v>1.3</v>
      </c>
      <c r="F28" s="484"/>
      <c r="G28" s="485">
        <f>+D28*E28</f>
        <v>97500</v>
      </c>
      <c r="H28" s="486"/>
    </row>
    <row r="29" spans="1:17" x14ac:dyDescent="0.2">
      <c r="A29" s="487" t="s">
        <v>313</v>
      </c>
      <c r="B29" s="488"/>
      <c r="C29" s="117" t="s">
        <v>74</v>
      </c>
      <c r="D29" s="126">
        <v>65000</v>
      </c>
      <c r="E29" s="483">
        <v>0.5</v>
      </c>
      <c r="F29" s="484"/>
      <c r="G29" s="485">
        <f>+D29*E29</f>
        <v>32500</v>
      </c>
      <c r="H29" s="486"/>
    </row>
    <row r="30" spans="1:17" x14ac:dyDescent="0.2">
      <c r="A30" s="482" t="s">
        <v>306</v>
      </c>
      <c r="B30" s="482"/>
      <c r="C30" s="117" t="s">
        <v>282</v>
      </c>
      <c r="D30" s="126">
        <v>15000</v>
      </c>
      <c r="E30" s="601">
        <v>1.5</v>
      </c>
      <c r="F30" s="602"/>
      <c r="G30" s="485">
        <f>+D30*E30</f>
        <v>22500</v>
      </c>
      <c r="H30" s="486"/>
    </row>
    <row r="31" spans="1:17" x14ac:dyDescent="0.2">
      <c r="A31" s="115"/>
      <c r="B31" s="115"/>
      <c r="C31" s="478" t="s">
        <v>225</v>
      </c>
      <c r="D31" s="478"/>
      <c r="E31" s="478"/>
      <c r="F31" s="478"/>
      <c r="G31" s="452">
        <f>SUM(G27:H30)</f>
        <v>161850</v>
      </c>
      <c r="H31" s="452"/>
    </row>
    <row r="33" spans="1:8" x14ac:dyDescent="0.2">
      <c r="A33" s="109" t="s">
        <v>256</v>
      </c>
    </row>
    <row r="34" spans="1:8" x14ac:dyDescent="0.2">
      <c r="A34" s="480" t="s">
        <v>233</v>
      </c>
      <c r="B34" s="480"/>
      <c r="C34" s="112" t="s">
        <v>234</v>
      </c>
      <c r="D34" s="116" t="s">
        <v>235</v>
      </c>
      <c r="E34" s="480" t="s">
        <v>236</v>
      </c>
      <c r="F34" s="480"/>
      <c r="G34" s="480" t="s">
        <v>220</v>
      </c>
      <c r="H34" s="480"/>
    </row>
    <row r="35" spans="1:8" x14ac:dyDescent="0.2">
      <c r="A35" s="487" t="s">
        <v>312</v>
      </c>
      <c r="B35" s="488"/>
      <c r="C35" s="124">
        <v>1.3</v>
      </c>
      <c r="D35" s="124">
        <v>30</v>
      </c>
      <c r="E35" s="452">
        <v>1000</v>
      </c>
      <c r="F35" s="452"/>
      <c r="G35" s="452">
        <f>+C35*D35*E35</f>
        <v>39000</v>
      </c>
      <c r="H35" s="452"/>
    </row>
    <row r="36" spans="1:8" x14ac:dyDescent="0.2">
      <c r="A36" s="482"/>
      <c r="B36" s="482"/>
      <c r="C36" s="118"/>
      <c r="D36" s="118"/>
      <c r="E36" s="452"/>
      <c r="F36" s="452"/>
      <c r="G36" s="452"/>
      <c r="H36" s="452"/>
    </row>
    <row r="37" spans="1:8" x14ac:dyDescent="0.2">
      <c r="A37" s="115"/>
      <c r="B37" s="115"/>
      <c r="C37" s="478" t="s">
        <v>225</v>
      </c>
      <c r="D37" s="478"/>
      <c r="E37" s="478"/>
      <c r="F37" s="478"/>
      <c r="G37" s="452">
        <f>SUM(G35:H36)</f>
        <v>39000</v>
      </c>
      <c r="H37" s="452"/>
    </row>
    <row r="39" spans="1:8" x14ac:dyDescent="0.2">
      <c r="A39" s="109" t="s">
        <v>257</v>
      </c>
    </row>
    <row r="40" spans="1:8" x14ac:dyDescent="0.2">
      <c r="A40" s="480" t="s">
        <v>238</v>
      </c>
      <c r="B40" s="480"/>
      <c r="C40" s="128" t="s">
        <v>239</v>
      </c>
      <c r="D40" s="116" t="s">
        <v>240</v>
      </c>
      <c r="E40" s="119" t="s">
        <v>241</v>
      </c>
      <c r="F40" s="120" t="s">
        <v>219</v>
      </c>
      <c r="G40" s="480" t="s">
        <v>220</v>
      </c>
      <c r="H40" s="480"/>
    </row>
    <row r="41" spans="1:8" x14ac:dyDescent="0.2">
      <c r="A41" s="482" t="s">
        <v>242</v>
      </c>
      <c r="B41" s="482"/>
      <c r="C41" s="121">
        <v>60000</v>
      </c>
      <c r="D41" s="161">
        <v>0.85</v>
      </c>
      <c r="E41" s="121">
        <f>+C41*(1+D41)</f>
        <v>111000</v>
      </c>
      <c r="F41" s="173">
        <v>8</v>
      </c>
      <c r="G41" s="452">
        <f>+E41/F41</f>
        <v>13875</v>
      </c>
      <c r="H41" s="452"/>
    </row>
    <row r="42" spans="1:8" x14ac:dyDescent="0.2">
      <c r="A42" s="482" t="s">
        <v>314</v>
      </c>
      <c r="B42" s="482"/>
      <c r="C42" s="121">
        <f>35000*4</f>
        <v>140000</v>
      </c>
      <c r="D42" s="161">
        <v>0.85</v>
      </c>
      <c r="E42" s="121">
        <f>+C42*(1+D42)</f>
        <v>259000</v>
      </c>
      <c r="F42" s="173">
        <v>8</v>
      </c>
      <c r="G42" s="452">
        <f>+E42/F42</f>
        <v>32375</v>
      </c>
      <c r="H42" s="452"/>
    </row>
    <row r="43" spans="1:8" x14ac:dyDescent="0.2">
      <c r="A43" s="115"/>
      <c r="B43" s="115"/>
      <c r="C43" s="478" t="s">
        <v>225</v>
      </c>
      <c r="D43" s="478"/>
      <c r="E43" s="478"/>
      <c r="F43" s="478"/>
      <c r="G43" s="452">
        <f>+G41+G42</f>
        <v>46250</v>
      </c>
      <c r="H43" s="452"/>
    </row>
    <row r="46" spans="1:8" x14ac:dyDescent="0.2">
      <c r="A46" s="479" t="s">
        <v>244</v>
      </c>
      <c r="B46" s="479"/>
      <c r="C46" s="479"/>
      <c r="D46" s="479"/>
      <c r="E46" s="479"/>
      <c r="F46" s="479"/>
      <c r="G46" s="556">
        <f>ROUND(G23+G31+G37+G43,0)</f>
        <v>251725</v>
      </c>
      <c r="H46" s="556"/>
    </row>
    <row r="47" spans="1:8" x14ac:dyDescent="0.2">
      <c r="G47" s="188">
        <f>+G46</f>
        <v>251725</v>
      </c>
    </row>
  </sheetData>
  <mergeCells count="65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7:B27"/>
    <mergeCell ref="E27:F27"/>
    <mergeCell ref="G27:H27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C31:F31"/>
    <mergeCell ref="G31:H31"/>
    <mergeCell ref="A35:B35"/>
    <mergeCell ref="E35:F35"/>
    <mergeCell ref="G35:H35"/>
    <mergeCell ref="A36:B36"/>
    <mergeCell ref="E36:F36"/>
    <mergeCell ref="G36:H36"/>
    <mergeCell ref="C37:F37"/>
    <mergeCell ref="G37:H37"/>
    <mergeCell ref="A40:B40"/>
    <mergeCell ref="G40:H40"/>
    <mergeCell ref="A41:B41"/>
    <mergeCell ref="G41:H41"/>
    <mergeCell ref="A42:B42"/>
    <mergeCell ref="G42:H42"/>
    <mergeCell ref="C43:F43"/>
    <mergeCell ref="G43:H43"/>
    <mergeCell ref="A46:F46"/>
    <mergeCell ref="G46:H4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50"/>
  <sheetViews>
    <sheetView zoomScaleNormal="100" workbookViewId="0">
      <selection activeCell="J12" sqref="J12"/>
    </sheetView>
  </sheetViews>
  <sheetFormatPr baseColWidth="10" defaultRowHeight="12.75" x14ac:dyDescent="0.2"/>
  <cols>
    <col min="1" max="2" width="9.28515625" style="101" customWidth="1"/>
    <col min="3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2.2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8" x14ac:dyDescent="0.2">
      <c r="A17" s="491" t="s">
        <v>315</v>
      </c>
      <c r="B17" s="528" t="s">
        <v>316</v>
      </c>
      <c r="C17" s="529"/>
      <c r="D17" s="529"/>
      <c r="E17" s="529"/>
      <c r="F17" s="530"/>
      <c r="G17" s="491" t="s">
        <v>216</v>
      </c>
      <c r="H17" s="493" t="s">
        <v>116</v>
      </c>
    </row>
    <row r="18" spans="1:8" ht="13.5" thickBot="1" x14ac:dyDescent="0.25">
      <c r="A18" s="612"/>
      <c r="B18" s="613"/>
      <c r="C18" s="614"/>
      <c r="D18" s="614"/>
      <c r="E18" s="614"/>
      <c r="F18" s="615"/>
      <c r="G18" s="612"/>
      <c r="H18" s="616"/>
    </row>
    <row r="19" spans="1:8" x14ac:dyDescent="0.2">
      <c r="A19" s="109" t="s">
        <v>217</v>
      </c>
    </row>
    <row r="20" spans="1:8" x14ac:dyDescent="0.2">
      <c r="A20" s="558" t="s">
        <v>1</v>
      </c>
      <c r="B20" s="559"/>
      <c r="C20" s="558" t="s">
        <v>218</v>
      </c>
      <c r="D20" s="559"/>
      <c r="E20" s="558" t="s">
        <v>219</v>
      </c>
      <c r="F20" s="559"/>
      <c r="G20" s="558" t="s">
        <v>220</v>
      </c>
      <c r="H20" s="559"/>
    </row>
    <row r="21" spans="1:8" x14ac:dyDescent="0.2">
      <c r="A21" s="487" t="s">
        <v>224</v>
      </c>
      <c r="B21" s="488"/>
      <c r="C21" s="483"/>
      <c r="D21" s="484"/>
      <c r="E21" s="560">
        <v>0.1</v>
      </c>
      <c r="F21" s="611"/>
      <c r="G21" s="485">
        <f>+G46*E21</f>
        <v>9250</v>
      </c>
      <c r="H21" s="486"/>
    </row>
    <row r="22" spans="1:8" x14ac:dyDescent="0.2">
      <c r="A22" s="487" t="s">
        <v>307</v>
      </c>
      <c r="B22" s="488"/>
      <c r="C22" s="485">
        <v>8000</v>
      </c>
      <c r="D22" s="486"/>
      <c r="E22" s="483">
        <v>0.85</v>
      </c>
      <c r="F22" s="484"/>
      <c r="G22" s="485">
        <f>+C22/E22</f>
        <v>9411.7647058823532</v>
      </c>
      <c r="H22" s="486"/>
    </row>
    <row r="23" spans="1:8" x14ac:dyDescent="0.2">
      <c r="A23" s="487"/>
      <c r="B23" s="488"/>
      <c r="C23" s="483"/>
      <c r="D23" s="484"/>
      <c r="E23" s="483"/>
      <c r="F23" s="484"/>
      <c r="G23" s="485"/>
      <c r="H23" s="486"/>
    </row>
    <row r="24" spans="1:8" x14ac:dyDescent="0.2">
      <c r="C24" s="608" t="s">
        <v>225</v>
      </c>
      <c r="D24" s="609"/>
      <c r="E24" s="609"/>
      <c r="F24" s="610"/>
      <c r="G24" s="485">
        <f>+G21+G22+G23</f>
        <v>18661.764705882353</v>
      </c>
      <c r="H24" s="486"/>
    </row>
    <row r="25" spans="1:8" x14ac:dyDescent="0.2">
      <c r="C25" s="110"/>
      <c r="D25" s="110"/>
      <c r="E25" s="110"/>
      <c r="F25" s="110"/>
      <c r="G25" s="111"/>
      <c r="H25" s="111"/>
    </row>
    <row r="26" spans="1:8" x14ac:dyDescent="0.2">
      <c r="A26" s="109" t="s">
        <v>226</v>
      </c>
    </row>
    <row r="27" spans="1:8" x14ac:dyDescent="0.2">
      <c r="A27" s="558" t="s">
        <v>1</v>
      </c>
      <c r="B27" s="559"/>
      <c r="C27" s="112" t="s">
        <v>227</v>
      </c>
      <c r="D27" s="112" t="s">
        <v>228</v>
      </c>
      <c r="E27" s="558" t="s">
        <v>3</v>
      </c>
      <c r="F27" s="559"/>
      <c r="G27" s="558" t="s">
        <v>220</v>
      </c>
      <c r="H27" s="559"/>
    </row>
    <row r="28" spans="1:8" x14ac:dyDescent="0.2">
      <c r="A28" s="487" t="s">
        <v>317</v>
      </c>
      <c r="B28" s="488"/>
      <c r="C28" s="117" t="s">
        <v>116</v>
      </c>
      <c r="D28" s="126">
        <v>562000</v>
      </c>
      <c r="E28" s="483">
        <v>1.1000000000000001</v>
      </c>
      <c r="F28" s="484"/>
      <c r="G28" s="485">
        <f>+D28*E28</f>
        <v>618200</v>
      </c>
      <c r="H28" s="486"/>
    </row>
    <row r="29" spans="1:8" x14ac:dyDescent="0.2">
      <c r="A29" s="487" t="s">
        <v>318</v>
      </c>
      <c r="B29" s="488"/>
      <c r="C29" s="117" t="s">
        <v>285</v>
      </c>
      <c r="D29" s="174">
        <v>2900</v>
      </c>
      <c r="E29" s="483">
        <v>85</v>
      </c>
      <c r="F29" s="484"/>
      <c r="G29" s="485">
        <f>+D29*E29</f>
        <v>246500</v>
      </c>
      <c r="H29" s="486"/>
    </row>
    <row r="30" spans="1:8" x14ac:dyDescent="0.2">
      <c r="A30" s="386" t="s">
        <v>319</v>
      </c>
      <c r="B30" s="387"/>
      <c r="C30" s="124" t="s">
        <v>282</v>
      </c>
      <c r="D30" s="125">
        <v>10500</v>
      </c>
      <c r="E30" s="506">
        <v>3.6</v>
      </c>
      <c r="F30" s="507"/>
      <c r="G30" s="390">
        <f>+D30*E30</f>
        <v>37800</v>
      </c>
      <c r="H30" s="391"/>
    </row>
    <row r="31" spans="1:8" ht="13.5" x14ac:dyDescent="0.25">
      <c r="A31" s="574" t="s">
        <v>306</v>
      </c>
      <c r="B31" s="575"/>
      <c r="C31" s="326" t="s">
        <v>282</v>
      </c>
      <c r="D31" s="324">
        <v>15000</v>
      </c>
      <c r="E31" s="506">
        <v>2</v>
      </c>
      <c r="F31" s="507"/>
      <c r="G31" s="390">
        <f>+D31*E31</f>
        <v>30000</v>
      </c>
      <c r="H31" s="391"/>
    </row>
    <row r="32" spans="1:8" x14ac:dyDescent="0.2">
      <c r="A32" s="115"/>
      <c r="B32" s="115"/>
      <c r="C32" s="608" t="s">
        <v>225</v>
      </c>
      <c r="D32" s="609"/>
      <c r="E32" s="609"/>
      <c r="F32" s="610"/>
      <c r="G32" s="485">
        <f>SUM(G28:H31)</f>
        <v>932500</v>
      </c>
      <c r="H32" s="486"/>
    </row>
    <row r="34" spans="1:8" x14ac:dyDescent="0.2">
      <c r="A34" s="109" t="s">
        <v>256</v>
      </c>
    </row>
    <row r="35" spans="1:8" x14ac:dyDescent="0.2">
      <c r="A35" s="558" t="s">
        <v>233</v>
      </c>
      <c r="B35" s="559"/>
      <c r="C35" s="128" t="s">
        <v>234</v>
      </c>
      <c r="D35" s="116" t="s">
        <v>235</v>
      </c>
      <c r="E35" s="558" t="s">
        <v>236</v>
      </c>
      <c r="F35" s="559"/>
      <c r="G35" s="558" t="s">
        <v>220</v>
      </c>
      <c r="H35" s="559"/>
    </row>
    <row r="36" spans="1:8" x14ac:dyDescent="0.2">
      <c r="A36" s="386" t="s">
        <v>318</v>
      </c>
      <c r="B36" s="387"/>
      <c r="C36" s="117">
        <v>85</v>
      </c>
      <c r="D36" s="117">
        <v>20</v>
      </c>
      <c r="E36" s="485">
        <v>5</v>
      </c>
      <c r="F36" s="486"/>
      <c r="G36" s="485">
        <f>+E36*D36*C36</f>
        <v>8500</v>
      </c>
      <c r="H36" s="486"/>
    </row>
    <row r="37" spans="1:8" x14ac:dyDescent="0.2">
      <c r="A37" s="487"/>
      <c r="B37" s="488"/>
      <c r="C37" s="118"/>
      <c r="D37" s="118"/>
      <c r="E37" s="485"/>
      <c r="F37" s="486"/>
      <c r="G37" s="485"/>
      <c r="H37" s="486"/>
    </row>
    <row r="38" spans="1:8" x14ac:dyDescent="0.2">
      <c r="A38" s="487"/>
      <c r="B38" s="488"/>
      <c r="C38" s="118"/>
      <c r="D38" s="118"/>
      <c r="E38" s="485"/>
      <c r="F38" s="486"/>
      <c r="G38" s="485"/>
      <c r="H38" s="486"/>
    </row>
    <row r="39" spans="1:8" x14ac:dyDescent="0.2">
      <c r="A39" s="115"/>
      <c r="B39" s="115"/>
      <c r="C39" s="608" t="s">
        <v>225</v>
      </c>
      <c r="D39" s="609"/>
      <c r="E39" s="609"/>
      <c r="F39" s="610"/>
      <c r="G39" s="485">
        <f>+G36+G37</f>
        <v>8500</v>
      </c>
      <c r="H39" s="486"/>
    </row>
    <row r="41" spans="1:8" x14ac:dyDescent="0.2">
      <c r="A41" s="109" t="s">
        <v>257</v>
      </c>
    </row>
    <row r="42" spans="1:8" x14ac:dyDescent="0.2">
      <c r="A42" s="558" t="s">
        <v>238</v>
      </c>
      <c r="B42" s="559"/>
      <c r="C42" s="128" t="s">
        <v>239</v>
      </c>
      <c r="D42" s="116" t="s">
        <v>240</v>
      </c>
      <c r="E42" s="119" t="s">
        <v>241</v>
      </c>
      <c r="F42" s="120" t="s">
        <v>219</v>
      </c>
      <c r="G42" s="558" t="s">
        <v>220</v>
      </c>
      <c r="H42" s="559"/>
    </row>
    <row r="43" spans="1:8" x14ac:dyDescent="0.2">
      <c r="A43" s="487" t="s">
        <v>242</v>
      </c>
      <c r="B43" s="488"/>
      <c r="C43" s="121">
        <v>60000</v>
      </c>
      <c r="D43" s="161">
        <v>0.85</v>
      </c>
      <c r="E43" s="121">
        <f>+((C43*D43)+C43)</f>
        <v>111000</v>
      </c>
      <c r="F43" s="117">
        <v>4</v>
      </c>
      <c r="G43" s="485">
        <f>+E43/F43</f>
        <v>27750</v>
      </c>
      <c r="H43" s="486"/>
    </row>
    <row r="44" spans="1:8" x14ac:dyDescent="0.2">
      <c r="A44" s="487" t="s">
        <v>308</v>
      </c>
      <c r="B44" s="488"/>
      <c r="C44" s="121">
        <f>35000*4</f>
        <v>140000</v>
      </c>
      <c r="D44" s="161">
        <v>0.85</v>
      </c>
      <c r="E44" s="121">
        <f>+((C44*D44)+C44)</f>
        <v>259000</v>
      </c>
      <c r="F44" s="117">
        <v>4</v>
      </c>
      <c r="G44" s="485">
        <f>+E44/F44</f>
        <v>64750</v>
      </c>
      <c r="H44" s="486"/>
    </row>
    <row r="45" spans="1:8" x14ac:dyDescent="0.2">
      <c r="A45" s="487"/>
      <c r="B45" s="488"/>
      <c r="C45" s="121"/>
      <c r="D45" s="118"/>
      <c r="E45" s="121"/>
      <c r="F45" s="118"/>
      <c r="G45" s="485"/>
      <c r="H45" s="486"/>
    </row>
    <row r="46" spans="1:8" x14ac:dyDescent="0.2">
      <c r="A46" s="115"/>
      <c r="B46" s="115"/>
      <c r="C46" s="608" t="s">
        <v>225</v>
      </c>
      <c r="D46" s="609"/>
      <c r="E46" s="609"/>
      <c r="F46" s="610"/>
      <c r="G46" s="485">
        <f>+G43+G44+G45</f>
        <v>92500</v>
      </c>
      <c r="H46" s="486"/>
    </row>
    <row r="49" spans="1:8" x14ac:dyDescent="0.2">
      <c r="A49" s="605" t="s">
        <v>244</v>
      </c>
      <c r="B49" s="606"/>
      <c r="C49" s="606"/>
      <c r="D49" s="606"/>
      <c r="E49" s="606"/>
      <c r="F49" s="607"/>
      <c r="G49" s="523">
        <f>ROUND(G24+G32+G39+G46,0)</f>
        <v>1052162</v>
      </c>
      <c r="H49" s="524"/>
    </row>
    <row r="50" spans="1:8" x14ac:dyDescent="0.2">
      <c r="G50" s="188">
        <f>+G49</f>
        <v>1052162</v>
      </c>
    </row>
  </sheetData>
  <mergeCells count="74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6:B36"/>
    <mergeCell ref="E36:F36"/>
    <mergeCell ref="G36:H36"/>
    <mergeCell ref="A29:B29"/>
    <mergeCell ref="E29:F29"/>
    <mergeCell ref="G29:H29"/>
    <mergeCell ref="A30:B30"/>
    <mergeCell ref="E30:F30"/>
    <mergeCell ref="G30:H30"/>
    <mergeCell ref="C32:F32"/>
    <mergeCell ref="G32:H32"/>
    <mergeCell ref="A35:B35"/>
    <mergeCell ref="E35:F35"/>
    <mergeCell ref="G35:H35"/>
    <mergeCell ref="A31:B31"/>
    <mergeCell ref="E31:F31"/>
    <mergeCell ref="E37:F37"/>
    <mergeCell ref="G37:H37"/>
    <mergeCell ref="A38:B38"/>
    <mergeCell ref="E38:F38"/>
    <mergeCell ref="G38:H38"/>
    <mergeCell ref="G31:H31"/>
    <mergeCell ref="A49:F49"/>
    <mergeCell ref="G49:H49"/>
    <mergeCell ref="A44:B44"/>
    <mergeCell ref="G44:H44"/>
    <mergeCell ref="A45:B45"/>
    <mergeCell ref="G45:H45"/>
    <mergeCell ref="C46:F46"/>
    <mergeCell ref="G46:H46"/>
    <mergeCell ref="C39:F39"/>
    <mergeCell ref="G39:H39"/>
    <mergeCell ref="A42:B42"/>
    <mergeCell ref="G42:H42"/>
    <mergeCell ref="A43:B43"/>
    <mergeCell ref="G43:H43"/>
    <mergeCell ref="A37:B3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6"/>
  <sheetViews>
    <sheetView workbookViewId="0">
      <selection activeCell="G42" sqref="G42:H42"/>
    </sheetView>
  </sheetViews>
  <sheetFormatPr baseColWidth="10" defaultRowHeight="12.75" x14ac:dyDescent="0.2"/>
  <cols>
    <col min="1" max="2" width="9.28515625" style="101" customWidth="1"/>
    <col min="3" max="3" width="11.42578125" style="101"/>
    <col min="4" max="4" width="11.42578125" style="101" customWidth="1"/>
    <col min="5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59" width="11.42578125" style="101"/>
    <col min="260" max="260" width="11.425781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1.42578125" style="101"/>
    <col min="516" max="516" width="11.425781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1.42578125" style="101"/>
    <col min="772" max="772" width="11.425781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1.42578125" style="101"/>
    <col min="1028" max="1028" width="11.425781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1.42578125" style="101"/>
    <col min="1284" max="1284" width="11.425781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1.42578125" style="101"/>
    <col min="1540" max="1540" width="11.425781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1.42578125" style="101"/>
    <col min="1796" max="1796" width="11.425781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1.42578125" style="101"/>
    <col min="2052" max="2052" width="11.425781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1.42578125" style="101"/>
    <col min="2308" max="2308" width="11.425781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1.42578125" style="101"/>
    <col min="2564" max="2564" width="11.425781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1.42578125" style="101"/>
    <col min="2820" max="2820" width="11.425781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1.42578125" style="101"/>
    <col min="3076" max="3076" width="11.425781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1.42578125" style="101"/>
    <col min="3332" max="3332" width="11.425781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1.42578125" style="101"/>
    <col min="3588" max="3588" width="11.425781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1.42578125" style="101"/>
    <col min="3844" max="3844" width="11.425781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1.42578125" style="101"/>
    <col min="4100" max="4100" width="11.425781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1.42578125" style="101"/>
    <col min="4356" max="4356" width="11.425781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1.42578125" style="101"/>
    <col min="4612" max="4612" width="11.425781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1.42578125" style="101"/>
    <col min="4868" max="4868" width="11.425781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1.42578125" style="101"/>
    <col min="5124" max="5124" width="11.425781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1.42578125" style="101"/>
    <col min="5380" max="5380" width="11.425781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1.42578125" style="101"/>
    <col min="5636" max="5636" width="11.425781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1.42578125" style="101"/>
    <col min="5892" max="5892" width="11.425781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1.42578125" style="101"/>
    <col min="6148" max="6148" width="11.425781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1.42578125" style="101"/>
    <col min="6404" max="6404" width="11.425781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1.42578125" style="101"/>
    <col min="6660" max="6660" width="11.425781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1.42578125" style="101"/>
    <col min="6916" max="6916" width="11.425781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1.42578125" style="101"/>
    <col min="7172" max="7172" width="11.425781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1.42578125" style="101"/>
    <col min="7428" max="7428" width="11.425781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1.42578125" style="101"/>
    <col min="7684" max="7684" width="11.425781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1.42578125" style="101"/>
    <col min="7940" max="7940" width="11.425781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1.42578125" style="101"/>
    <col min="8196" max="8196" width="11.425781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1.42578125" style="101"/>
    <col min="8452" max="8452" width="11.425781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1.42578125" style="101"/>
    <col min="8708" max="8708" width="11.425781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1.42578125" style="101"/>
    <col min="8964" max="8964" width="11.425781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1.42578125" style="101"/>
    <col min="9220" max="9220" width="11.425781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1.42578125" style="101"/>
    <col min="9476" max="9476" width="11.425781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1.42578125" style="101"/>
    <col min="9732" max="9732" width="11.425781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1.42578125" style="101"/>
    <col min="9988" max="9988" width="11.425781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1.42578125" style="101"/>
    <col min="10244" max="10244" width="11.425781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1.42578125" style="101"/>
    <col min="10500" max="10500" width="11.425781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1.42578125" style="101"/>
    <col min="10756" max="10756" width="11.425781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1.42578125" style="101"/>
    <col min="11012" max="11012" width="11.425781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1.42578125" style="101"/>
    <col min="11268" max="11268" width="11.425781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1.42578125" style="101"/>
    <col min="11524" max="11524" width="11.425781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1.42578125" style="101"/>
    <col min="11780" max="11780" width="11.425781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1.42578125" style="101"/>
    <col min="12036" max="12036" width="11.425781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1.42578125" style="101"/>
    <col min="12292" max="12292" width="11.425781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1.42578125" style="101"/>
    <col min="12548" max="12548" width="11.425781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1.42578125" style="101"/>
    <col min="12804" max="12804" width="11.425781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1.42578125" style="101"/>
    <col min="13060" max="13060" width="11.425781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1.42578125" style="101"/>
    <col min="13316" max="13316" width="11.425781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1.42578125" style="101"/>
    <col min="13572" max="13572" width="11.425781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1.42578125" style="101"/>
    <col min="13828" max="13828" width="11.425781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1.42578125" style="101"/>
    <col min="14084" max="14084" width="11.425781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1.42578125" style="101"/>
    <col min="14340" max="14340" width="11.425781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1.42578125" style="101"/>
    <col min="14596" max="14596" width="11.425781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1.42578125" style="101"/>
    <col min="14852" max="14852" width="11.425781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1.42578125" style="101"/>
    <col min="15108" max="15108" width="11.425781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1.42578125" style="101"/>
    <col min="15364" max="15364" width="11.425781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1.42578125" style="101"/>
    <col min="15620" max="15620" width="11.425781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1.42578125" style="101"/>
    <col min="15876" max="15876" width="11.425781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1.42578125" style="101"/>
    <col min="16132" max="16132" width="11.425781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5.2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8" x14ac:dyDescent="0.2">
      <c r="A17" s="491" t="s">
        <v>320</v>
      </c>
      <c r="B17" s="528" t="s">
        <v>321</v>
      </c>
      <c r="C17" s="529"/>
      <c r="D17" s="529"/>
      <c r="E17" s="529"/>
      <c r="F17" s="530"/>
      <c r="G17" s="491" t="s">
        <v>216</v>
      </c>
      <c r="H17" s="493" t="s">
        <v>116</v>
      </c>
    </row>
    <row r="18" spans="1:8" ht="13.5" thickBot="1" x14ac:dyDescent="0.25">
      <c r="A18" s="492"/>
      <c r="B18" s="531"/>
      <c r="C18" s="532"/>
      <c r="D18" s="532"/>
      <c r="E18" s="532"/>
      <c r="F18" s="533"/>
      <c r="G18" s="492"/>
      <c r="H18" s="492"/>
    </row>
    <row r="19" spans="1:8" x14ac:dyDescent="0.2">
      <c r="A19" s="109" t="s">
        <v>217</v>
      </c>
    </row>
    <row r="20" spans="1:8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8" x14ac:dyDescent="0.2">
      <c r="A21" s="487" t="s">
        <v>224</v>
      </c>
      <c r="B21" s="488"/>
      <c r="C21" s="452"/>
      <c r="D21" s="452"/>
      <c r="E21" s="526">
        <v>0.1</v>
      </c>
      <c r="F21" s="527"/>
      <c r="G21" s="452">
        <f>+G42*E21</f>
        <v>6105</v>
      </c>
      <c r="H21" s="452"/>
    </row>
    <row r="22" spans="1:8" x14ac:dyDescent="0.2">
      <c r="A22" s="487"/>
      <c r="B22" s="488"/>
      <c r="C22" s="452"/>
      <c r="D22" s="452"/>
      <c r="E22" s="527"/>
      <c r="F22" s="527"/>
      <c r="G22" s="452"/>
      <c r="H22" s="452"/>
    </row>
    <row r="23" spans="1:8" x14ac:dyDescent="0.2">
      <c r="C23" s="478" t="s">
        <v>225</v>
      </c>
      <c r="D23" s="478"/>
      <c r="E23" s="478"/>
      <c r="F23" s="478"/>
      <c r="G23" s="452">
        <f>+G21+G22</f>
        <v>6105</v>
      </c>
      <c r="H23" s="452"/>
    </row>
    <row r="24" spans="1:8" x14ac:dyDescent="0.2">
      <c r="C24" s="110"/>
      <c r="D24" s="110"/>
      <c r="E24" s="110"/>
      <c r="F24" s="110"/>
      <c r="G24" s="111"/>
      <c r="H24" s="111"/>
    </row>
    <row r="25" spans="1:8" x14ac:dyDescent="0.2">
      <c r="A25" s="109" t="s">
        <v>226</v>
      </c>
    </row>
    <row r="26" spans="1:8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</row>
    <row r="27" spans="1:8" ht="13.5" customHeight="1" x14ac:dyDescent="0.2">
      <c r="A27" s="386" t="s">
        <v>322</v>
      </c>
      <c r="B27" s="387"/>
      <c r="C27" s="117" t="s">
        <v>116</v>
      </c>
      <c r="D27" s="126">
        <v>70000</v>
      </c>
      <c r="E27" s="483">
        <v>1.2</v>
      </c>
      <c r="F27" s="484"/>
      <c r="G27" s="485">
        <f>+D27*E27</f>
        <v>84000</v>
      </c>
      <c r="H27" s="486"/>
    </row>
    <row r="28" spans="1:8" ht="13.5" customHeight="1" x14ac:dyDescent="0.2">
      <c r="A28" s="482" t="s">
        <v>323</v>
      </c>
      <c r="B28" s="482"/>
      <c r="C28" s="117" t="s">
        <v>149</v>
      </c>
      <c r="D28" s="126">
        <v>22000</v>
      </c>
      <c r="E28" s="601">
        <v>1</v>
      </c>
      <c r="F28" s="602"/>
      <c r="G28" s="485">
        <f>+D28*E28</f>
        <v>22000</v>
      </c>
      <c r="H28" s="486"/>
    </row>
    <row r="29" spans="1:8" x14ac:dyDescent="0.2">
      <c r="A29" s="482" t="s">
        <v>324</v>
      </c>
      <c r="B29" s="482"/>
      <c r="C29" s="117" t="s">
        <v>282</v>
      </c>
      <c r="D29" s="126">
        <v>4800</v>
      </c>
      <c r="E29" s="601">
        <v>1.05</v>
      </c>
      <c r="F29" s="602"/>
      <c r="G29" s="485">
        <f>+D29*E29</f>
        <v>5040</v>
      </c>
      <c r="H29" s="486"/>
    </row>
    <row r="30" spans="1:8" ht="13.5" x14ac:dyDescent="0.25">
      <c r="A30" s="574" t="s">
        <v>306</v>
      </c>
      <c r="B30" s="575"/>
      <c r="C30" s="326" t="s">
        <v>282</v>
      </c>
      <c r="D30" s="324">
        <v>15000</v>
      </c>
      <c r="E30" s="506">
        <v>2</v>
      </c>
      <c r="F30" s="507"/>
      <c r="G30" s="390">
        <f>+D30*E30</f>
        <v>30000</v>
      </c>
      <c r="H30" s="391"/>
    </row>
    <row r="31" spans="1:8" x14ac:dyDescent="0.2">
      <c r="A31" s="115"/>
      <c r="B31" s="115"/>
      <c r="C31" s="478" t="s">
        <v>225</v>
      </c>
      <c r="D31" s="478"/>
      <c r="E31" s="478"/>
      <c r="F31" s="478"/>
      <c r="G31" s="452">
        <f>SUM(G27:G30)</f>
        <v>141040</v>
      </c>
      <c r="H31" s="452"/>
    </row>
    <row r="33" spans="1:8" x14ac:dyDescent="0.2">
      <c r="A33" s="109" t="s">
        <v>256</v>
      </c>
    </row>
    <row r="34" spans="1:8" x14ac:dyDescent="0.2">
      <c r="A34" s="480" t="s">
        <v>233</v>
      </c>
      <c r="B34" s="480"/>
      <c r="C34" s="112" t="s">
        <v>234</v>
      </c>
      <c r="D34" s="116" t="s">
        <v>235</v>
      </c>
      <c r="E34" s="480" t="s">
        <v>236</v>
      </c>
      <c r="F34" s="480"/>
      <c r="G34" s="480" t="s">
        <v>220</v>
      </c>
      <c r="H34" s="480"/>
    </row>
    <row r="35" spans="1:8" x14ac:dyDescent="0.2">
      <c r="A35" s="487" t="s">
        <v>325</v>
      </c>
      <c r="B35" s="488"/>
      <c r="C35" s="117">
        <v>1.2</v>
      </c>
      <c r="D35" s="117">
        <v>30</v>
      </c>
      <c r="E35" s="452">
        <v>1000</v>
      </c>
      <c r="F35" s="452"/>
      <c r="G35" s="452">
        <f>+C35*D35*E35</f>
        <v>36000</v>
      </c>
      <c r="H35" s="452"/>
    </row>
    <row r="36" spans="1:8" x14ac:dyDescent="0.2">
      <c r="A36" s="115"/>
      <c r="B36" s="115"/>
      <c r="C36" s="478" t="s">
        <v>225</v>
      </c>
      <c r="D36" s="478"/>
      <c r="E36" s="478"/>
      <c r="F36" s="478"/>
      <c r="G36" s="452">
        <f>SUM(G35:G35)</f>
        <v>36000</v>
      </c>
      <c r="H36" s="452"/>
    </row>
    <row r="38" spans="1:8" x14ac:dyDescent="0.2">
      <c r="A38" s="109" t="s">
        <v>257</v>
      </c>
    </row>
    <row r="39" spans="1:8" x14ac:dyDescent="0.2">
      <c r="A39" s="480" t="s">
        <v>238</v>
      </c>
      <c r="B39" s="480"/>
      <c r="C39" s="128" t="s">
        <v>239</v>
      </c>
      <c r="D39" s="116" t="s">
        <v>240</v>
      </c>
      <c r="E39" s="119" t="s">
        <v>241</v>
      </c>
      <c r="F39" s="120" t="s">
        <v>219</v>
      </c>
      <c r="G39" s="480" t="s">
        <v>220</v>
      </c>
      <c r="H39" s="480"/>
    </row>
    <row r="40" spans="1:8" x14ac:dyDescent="0.2">
      <c r="A40" s="482" t="s">
        <v>242</v>
      </c>
      <c r="B40" s="482"/>
      <c r="C40" s="121">
        <v>60000</v>
      </c>
      <c r="D40" s="122">
        <v>0.85</v>
      </c>
      <c r="E40" s="121">
        <f>+((C40*D40)+C40)</f>
        <v>111000</v>
      </c>
      <c r="F40" s="117">
        <v>5</v>
      </c>
      <c r="G40" s="452">
        <f>+E40/F40</f>
        <v>22200</v>
      </c>
      <c r="H40" s="452"/>
    </row>
    <row r="41" spans="1:8" x14ac:dyDescent="0.2">
      <c r="A41" s="482" t="s">
        <v>271</v>
      </c>
      <c r="B41" s="482"/>
      <c r="C41" s="121">
        <f>35000*3</f>
        <v>105000</v>
      </c>
      <c r="D41" s="122">
        <v>0.85</v>
      </c>
      <c r="E41" s="121">
        <f>+((C41*D41)+C41)</f>
        <v>194250</v>
      </c>
      <c r="F41" s="117">
        <v>5</v>
      </c>
      <c r="G41" s="452">
        <f>+E41/F41</f>
        <v>38850</v>
      </c>
      <c r="H41" s="452"/>
    </row>
    <row r="42" spans="1:8" x14ac:dyDescent="0.2">
      <c r="A42" s="115"/>
      <c r="B42" s="115"/>
      <c r="C42" s="478" t="s">
        <v>225</v>
      </c>
      <c r="D42" s="478"/>
      <c r="E42" s="478"/>
      <c r="F42" s="478"/>
      <c r="G42" s="452">
        <f>+G40+G41</f>
        <v>61050</v>
      </c>
      <c r="H42" s="452"/>
    </row>
    <row r="45" spans="1:8" x14ac:dyDescent="0.2">
      <c r="A45" s="479" t="s">
        <v>244</v>
      </c>
      <c r="B45" s="479"/>
      <c r="C45" s="479"/>
      <c r="D45" s="479"/>
      <c r="E45" s="479"/>
      <c r="F45" s="479"/>
      <c r="G45" s="556">
        <f>ROUND(G23+G31+G36+G42,0)</f>
        <v>244195</v>
      </c>
      <c r="H45" s="556"/>
    </row>
    <row r="46" spans="1:8" x14ac:dyDescent="0.2">
      <c r="G46" s="188">
        <f>+G45</f>
        <v>244195</v>
      </c>
    </row>
  </sheetData>
  <mergeCells count="62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30:B30"/>
    <mergeCell ref="E30:F30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G30:H30"/>
    <mergeCell ref="C31:F31"/>
    <mergeCell ref="G31:H31"/>
    <mergeCell ref="A34:B34"/>
    <mergeCell ref="E34:F34"/>
    <mergeCell ref="G34:H34"/>
    <mergeCell ref="A39:B39"/>
    <mergeCell ref="G39:H39"/>
    <mergeCell ref="A40:B40"/>
    <mergeCell ref="G40:H40"/>
    <mergeCell ref="A45:F45"/>
    <mergeCell ref="G45:H45"/>
    <mergeCell ref="A41:B41"/>
    <mergeCell ref="G41:H41"/>
    <mergeCell ref="C42:F42"/>
    <mergeCell ref="G42:H42"/>
    <mergeCell ref="A35:B35"/>
    <mergeCell ref="E35:F35"/>
    <mergeCell ref="G35:H35"/>
    <mergeCell ref="C36:F36"/>
    <mergeCell ref="G36:H3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7"/>
  <sheetViews>
    <sheetView zoomScaleNormal="100" workbookViewId="0">
      <selection activeCell="G30" sqref="G30:H30"/>
    </sheetView>
  </sheetViews>
  <sheetFormatPr baseColWidth="10" defaultRowHeight="12.75" x14ac:dyDescent="0.2"/>
  <cols>
    <col min="1" max="2" width="9.28515625" style="101" customWidth="1"/>
    <col min="3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3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8" x14ac:dyDescent="0.2">
      <c r="A17" s="491" t="s">
        <v>327</v>
      </c>
      <c r="B17" s="528" t="s">
        <v>328</v>
      </c>
      <c r="C17" s="529"/>
      <c r="D17" s="529"/>
      <c r="E17" s="529"/>
      <c r="F17" s="530"/>
      <c r="G17" s="491" t="s">
        <v>216</v>
      </c>
      <c r="H17" s="493" t="s">
        <v>159</v>
      </c>
    </row>
    <row r="18" spans="1:8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8" x14ac:dyDescent="0.2">
      <c r="A19" s="109" t="s">
        <v>217</v>
      </c>
    </row>
    <row r="20" spans="1:8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8" x14ac:dyDescent="0.2">
      <c r="A21" s="487" t="s">
        <v>224</v>
      </c>
      <c r="B21" s="488"/>
      <c r="C21" s="527"/>
      <c r="D21" s="527"/>
      <c r="E21" s="526">
        <v>0.1</v>
      </c>
      <c r="F21" s="527"/>
      <c r="G21" s="452">
        <f>+G43*E21</f>
        <v>1850</v>
      </c>
      <c r="H21" s="452"/>
    </row>
    <row r="22" spans="1:8" x14ac:dyDescent="0.2">
      <c r="C22" s="478" t="s">
        <v>225</v>
      </c>
      <c r="D22" s="478"/>
      <c r="E22" s="478"/>
      <c r="F22" s="478"/>
      <c r="G22" s="452">
        <f>SUM(G21:G21)</f>
        <v>1850</v>
      </c>
      <c r="H22" s="452"/>
    </row>
    <row r="23" spans="1:8" x14ac:dyDescent="0.2">
      <c r="C23" s="110"/>
      <c r="D23" s="110"/>
      <c r="E23" s="110"/>
      <c r="F23" s="110"/>
      <c r="G23" s="111"/>
      <c r="H23" s="111"/>
    </row>
    <row r="24" spans="1:8" x14ac:dyDescent="0.2">
      <c r="A24" s="109" t="s">
        <v>226</v>
      </c>
    </row>
    <row r="25" spans="1:8" x14ac:dyDescent="0.2">
      <c r="A25" s="480" t="s">
        <v>1</v>
      </c>
      <c r="B25" s="480"/>
      <c r="C25" s="112" t="s">
        <v>227</v>
      </c>
      <c r="D25" s="112" t="s">
        <v>228</v>
      </c>
      <c r="E25" s="480" t="s">
        <v>3</v>
      </c>
      <c r="F25" s="480"/>
      <c r="G25" s="480" t="s">
        <v>220</v>
      </c>
      <c r="H25" s="480"/>
    </row>
    <row r="26" spans="1:8" x14ac:dyDescent="0.2">
      <c r="A26" s="482" t="s">
        <v>329</v>
      </c>
      <c r="B26" s="482"/>
      <c r="C26" s="117" t="s">
        <v>149</v>
      </c>
      <c r="D26" s="114">
        <v>8150</v>
      </c>
      <c r="E26" s="483">
        <v>1</v>
      </c>
      <c r="F26" s="484"/>
      <c r="G26" s="485">
        <f>+D26*E26</f>
        <v>8150</v>
      </c>
      <c r="H26" s="486"/>
    </row>
    <row r="27" spans="1:8" x14ac:dyDescent="0.2">
      <c r="A27" s="482" t="s">
        <v>330</v>
      </c>
      <c r="B27" s="482"/>
      <c r="C27" s="117" t="s">
        <v>227</v>
      </c>
      <c r="D27" s="114">
        <v>3500</v>
      </c>
      <c r="E27" s="483">
        <v>1</v>
      </c>
      <c r="F27" s="484"/>
      <c r="G27" s="485">
        <f>+D27*E27</f>
        <v>3500</v>
      </c>
      <c r="H27" s="486"/>
    </row>
    <row r="28" spans="1:8" x14ac:dyDescent="0.2">
      <c r="A28" s="482" t="s">
        <v>331</v>
      </c>
      <c r="B28" s="482"/>
      <c r="C28" s="117" t="s">
        <v>255</v>
      </c>
      <c r="D28" s="114">
        <v>4500</v>
      </c>
      <c r="E28" s="483">
        <v>0.17</v>
      </c>
      <c r="F28" s="484"/>
      <c r="G28" s="485">
        <f>+D28*E28</f>
        <v>765</v>
      </c>
      <c r="H28" s="486"/>
    </row>
    <row r="29" spans="1:8" x14ac:dyDescent="0.2">
      <c r="A29" s="482" t="s">
        <v>332</v>
      </c>
      <c r="B29" s="482"/>
      <c r="C29" s="117" t="s">
        <v>255</v>
      </c>
      <c r="D29" s="114">
        <v>3000</v>
      </c>
      <c r="E29" s="483">
        <v>0.17</v>
      </c>
      <c r="F29" s="484"/>
      <c r="G29" s="485">
        <f>+D29*E29</f>
        <v>510.00000000000006</v>
      </c>
      <c r="H29" s="486"/>
    </row>
    <row r="30" spans="1:8" x14ac:dyDescent="0.2">
      <c r="A30" s="115"/>
      <c r="B30" s="115"/>
      <c r="C30" s="478" t="s">
        <v>225</v>
      </c>
      <c r="D30" s="478"/>
      <c r="E30" s="478"/>
      <c r="F30" s="478"/>
      <c r="G30" s="452">
        <f>SUM(G26:G29)</f>
        <v>12925</v>
      </c>
      <c r="H30" s="452"/>
    </row>
    <row r="32" spans="1:8" x14ac:dyDescent="0.2">
      <c r="A32" s="109" t="s">
        <v>256</v>
      </c>
    </row>
    <row r="33" spans="1:8" x14ac:dyDescent="0.2">
      <c r="A33" s="480" t="s">
        <v>233</v>
      </c>
      <c r="B33" s="480"/>
      <c r="C33" s="128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</row>
    <row r="34" spans="1:8" x14ac:dyDescent="0.2">
      <c r="A34" s="482" t="s">
        <v>333</v>
      </c>
      <c r="B34" s="482"/>
      <c r="C34" s="118">
        <v>4</v>
      </c>
      <c r="D34" s="118">
        <v>30</v>
      </c>
      <c r="E34" s="452">
        <v>5</v>
      </c>
      <c r="F34" s="452"/>
      <c r="G34" s="452">
        <f>+C34*D34*E34</f>
        <v>600</v>
      </c>
      <c r="H34" s="452"/>
    </row>
    <row r="35" spans="1:8" x14ac:dyDescent="0.2">
      <c r="A35" s="482"/>
      <c r="B35" s="482"/>
      <c r="C35" s="118"/>
      <c r="D35" s="118"/>
      <c r="E35" s="452"/>
      <c r="F35" s="452"/>
      <c r="G35" s="452"/>
      <c r="H35" s="452"/>
    </row>
    <row r="36" spans="1:8" x14ac:dyDescent="0.2">
      <c r="A36" s="482"/>
      <c r="B36" s="482"/>
      <c r="C36" s="118"/>
      <c r="D36" s="118"/>
      <c r="E36" s="452"/>
      <c r="F36" s="452"/>
      <c r="G36" s="452"/>
      <c r="H36" s="452"/>
    </row>
    <row r="37" spans="1:8" x14ac:dyDescent="0.2">
      <c r="A37" s="115"/>
      <c r="B37" s="115"/>
      <c r="C37" s="478" t="s">
        <v>225</v>
      </c>
      <c r="D37" s="478"/>
      <c r="E37" s="478"/>
      <c r="F37" s="478"/>
      <c r="G37" s="452">
        <f>+G34+G35+G36</f>
        <v>600</v>
      </c>
      <c r="H37" s="452"/>
    </row>
    <row r="39" spans="1:8" x14ac:dyDescent="0.2">
      <c r="A39" s="109" t="s">
        <v>257</v>
      </c>
    </row>
    <row r="40" spans="1:8" x14ac:dyDescent="0.2">
      <c r="A40" s="480" t="s">
        <v>238</v>
      </c>
      <c r="B40" s="480"/>
      <c r="C40" s="128" t="s">
        <v>239</v>
      </c>
      <c r="D40" s="116" t="s">
        <v>240</v>
      </c>
      <c r="E40" s="119" t="s">
        <v>241</v>
      </c>
      <c r="F40" s="120" t="s">
        <v>219</v>
      </c>
      <c r="G40" s="480" t="s">
        <v>220</v>
      </c>
      <c r="H40" s="480"/>
    </row>
    <row r="41" spans="1:8" x14ac:dyDescent="0.2">
      <c r="A41" s="482" t="s">
        <v>258</v>
      </c>
      <c r="B41" s="482"/>
      <c r="C41" s="121">
        <v>70000</v>
      </c>
      <c r="D41" s="161">
        <v>0.85</v>
      </c>
      <c r="E41" s="121">
        <f>+((C41*D41)+C41)</f>
        <v>129500</v>
      </c>
      <c r="F41" s="117">
        <v>7</v>
      </c>
      <c r="G41" s="452">
        <f>+E41/F41</f>
        <v>18500</v>
      </c>
      <c r="H41" s="452"/>
    </row>
    <row r="42" spans="1:8" x14ac:dyDescent="0.2">
      <c r="A42" s="482"/>
      <c r="B42" s="482"/>
      <c r="C42" s="121"/>
      <c r="D42" s="118"/>
      <c r="E42" s="121"/>
      <c r="F42" s="118"/>
      <c r="G42" s="452"/>
      <c r="H42" s="452"/>
    </row>
    <row r="43" spans="1:8" x14ac:dyDescent="0.2">
      <c r="A43" s="115"/>
      <c r="B43" s="115"/>
      <c r="C43" s="478" t="s">
        <v>225</v>
      </c>
      <c r="D43" s="478"/>
      <c r="E43" s="478"/>
      <c r="F43" s="478"/>
      <c r="G43" s="452">
        <f>SUM(G41:G42)</f>
        <v>18500</v>
      </c>
      <c r="H43" s="452"/>
    </row>
    <row r="46" spans="1:8" x14ac:dyDescent="0.2">
      <c r="A46" s="479" t="s">
        <v>244</v>
      </c>
      <c r="B46" s="479"/>
      <c r="C46" s="479"/>
      <c r="D46" s="479"/>
      <c r="E46" s="479"/>
      <c r="F46" s="479"/>
      <c r="G46" s="556">
        <f>ROUND(G22+G30+G37+G43,0)</f>
        <v>33875</v>
      </c>
      <c r="H46" s="556"/>
    </row>
    <row r="47" spans="1:8" x14ac:dyDescent="0.2">
      <c r="G47" s="188">
        <f>+G46</f>
        <v>33875</v>
      </c>
    </row>
  </sheetData>
  <mergeCells count="64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6:B26"/>
    <mergeCell ref="E26:F26"/>
    <mergeCell ref="G26:H26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33:B33"/>
    <mergeCell ref="E33:F33"/>
    <mergeCell ref="G33:H33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C30:F30"/>
    <mergeCell ref="G30:H30"/>
    <mergeCell ref="A40:B40"/>
    <mergeCell ref="G40:H40"/>
    <mergeCell ref="A34:B34"/>
    <mergeCell ref="E34:F34"/>
    <mergeCell ref="G34:H34"/>
    <mergeCell ref="A35:B35"/>
    <mergeCell ref="E35:F35"/>
    <mergeCell ref="G35:H35"/>
    <mergeCell ref="A36:B36"/>
    <mergeCell ref="E36:F36"/>
    <mergeCell ref="G36:H36"/>
    <mergeCell ref="C37:F37"/>
    <mergeCell ref="G37:H37"/>
    <mergeCell ref="A46:F46"/>
    <mergeCell ref="G46:H46"/>
    <mergeCell ref="A41:B41"/>
    <mergeCell ref="G41:H41"/>
    <mergeCell ref="A42:B42"/>
    <mergeCell ref="G42:H42"/>
    <mergeCell ref="C43:F43"/>
    <mergeCell ref="G43:H4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4"/>
  <sheetViews>
    <sheetView workbookViewId="0">
      <selection activeCell="G40" sqref="G40:H40"/>
    </sheetView>
  </sheetViews>
  <sheetFormatPr baseColWidth="10" defaultRowHeight="12.75" x14ac:dyDescent="0.2"/>
  <cols>
    <col min="1" max="2" width="9.28515625" style="101" customWidth="1"/>
    <col min="3" max="3" width="10.7109375" style="101" customWidth="1"/>
    <col min="4" max="4" width="12.140625" style="101" customWidth="1"/>
    <col min="5" max="6" width="11.42578125" style="101"/>
    <col min="7" max="7" width="10.7109375" style="101" customWidth="1"/>
    <col min="8" max="8" width="9.28515625" style="101" customWidth="1"/>
    <col min="9" max="256" width="11.42578125" style="101"/>
    <col min="257" max="258" width="9.28515625" style="101" customWidth="1"/>
    <col min="259" max="259" width="10.7109375" style="101" customWidth="1"/>
    <col min="260" max="260" width="12.1406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0.7109375" style="101" customWidth="1"/>
    <col min="516" max="516" width="12.1406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0.7109375" style="101" customWidth="1"/>
    <col min="772" max="772" width="12.1406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0.7109375" style="101" customWidth="1"/>
    <col min="1028" max="1028" width="12.1406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0.7109375" style="101" customWidth="1"/>
    <col min="1284" max="1284" width="12.1406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0.7109375" style="101" customWidth="1"/>
    <col min="1540" max="1540" width="12.1406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0.7109375" style="101" customWidth="1"/>
    <col min="1796" max="1796" width="12.1406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0.7109375" style="101" customWidth="1"/>
    <col min="2052" max="2052" width="12.1406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0.7109375" style="101" customWidth="1"/>
    <col min="2308" max="2308" width="12.1406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0.7109375" style="101" customWidth="1"/>
    <col min="2564" max="2564" width="12.1406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0.7109375" style="101" customWidth="1"/>
    <col min="2820" max="2820" width="12.1406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0.7109375" style="101" customWidth="1"/>
    <col min="3076" max="3076" width="12.1406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0.7109375" style="101" customWidth="1"/>
    <col min="3332" max="3332" width="12.1406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0.7109375" style="101" customWidth="1"/>
    <col min="3588" max="3588" width="12.1406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0.7109375" style="101" customWidth="1"/>
    <col min="3844" max="3844" width="12.1406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0.7109375" style="101" customWidth="1"/>
    <col min="4100" max="4100" width="12.1406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0.7109375" style="101" customWidth="1"/>
    <col min="4356" max="4356" width="12.1406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0.7109375" style="101" customWidth="1"/>
    <col min="4612" max="4612" width="12.1406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0.7109375" style="101" customWidth="1"/>
    <col min="4868" max="4868" width="12.1406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0.7109375" style="101" customWidth="1"/>
    <col min="5124" max="5124" width="12.1406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0.7109375" style="101" customWidth="1"/>
    <col min="5380" max="5380" width="12.1406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0.7109375" style="101" customWidth="1"/>
    <col min="5636" max="5636" width="12.1406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0.7109375" style="101" customWidth="1"/>
    <col min="5892" max="5892" width="12.1406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0.7109375" style="101" customWidth="1"/>
    <col min="6148" max="6148" width="12.1406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0.7109375" style="101" customWidth="1"/>
    <col min="6404" max="6404" width="12.1406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0.7109375" style="101" customWidth="1"/>
    <col min="6660" max="6660" width="12.1406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0.7109375" style="101" customWidth="1"/>
    <col min="6916" max="6916" width="12.1406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0.7109375" style="101" customWidth="1"/>
    <col min="7172" max="7172" width="12.1406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0.7109375" style="101" customWidth="1"/>
    <col min="7428" max="7428" width="12.1406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0.7109375" style="101" customWidth="1"/>
    <col min="7684" max="7684" width="12.1406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0.7109375" style="101" customWidth="1"/>
    <col min="7940" max="7940" width="12.1406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0.7109375" style="101" customWidth="1"/>
    <col min="8196" max="8196" width="12.1406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0.7109375" style="101" customWidth="1"/>
    <col min="8452" max="8452" width="12.1406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0.7109375" style="101" customWidth="1"/>
    <col min="8708" max="8708" width="12.1406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0.7109375" style="101" customWidth="1"/>
    <col min="8964" max="8964" width="12.1406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0.7109375" style="101" customWidth="1"/>
    <col min="9220" max="9220" width="12.1406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0.7109375" style="101" customWidth="1"/>
    <col min="9476" max="9476" width="12.1406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0.7109375" style="101" customWidth="1"/>
    <col min="9732" max="9732" width="12.1406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0.7109375" style="101" customWidth="1"/>
    <col min="9988" max="9988" width="12.1406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0.7109375" style="101" customWidth="1"/>
    <col min="10244" max="10244" width="12.1406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0.7109375" style="101" customWidth="1"/>
    <col min="10500" max="10500" width="12.1406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0.7109375" style="101" customWidth="1"/>
    <col min="10756" max="10756" width="12.1406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0.7109375" style="101" customWidth="1"/>
    <col min="11012" max="11012" width="12.1406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0.7109375" style="101" customWidth="1"/>
    <col min="11268" max="11268" width="12.1406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0.7109375" style="101" customWidth="1"/>
    <col min="11524" max="11524" width="12.1406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0.7109375" style="101" customWidth="1"/>
    <col min="11780" max="11780" width="12.1406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0.7109375" style="101" customWidth="1"/>
    <col min="12036" max="12036" width="12.1406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0.7109375" style="101" customWidth="1"/>
    <col min="12292" max="12292" width="12.1406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0.7109375" style="101" customWidth="1"/>
    <col min="12548" max="12548" width="12.1406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0.7109375" style="101" customWidth="1"/>
    <col min="12804" max="12804" width="12.1406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0.7109375" style="101" customWidth="1"/>
    <col min="13060" max="13060" width="12.1406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0.7109375" style="101" customWidth="1"/>
    <col min="13316" max="13316" width="12.1406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0.7109375" style="101" customWidth="1"/>
    <col min="13572" max="13572" width="12.1406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0.7109375" style="101" customWidth="1"/>
    <col min="13828" max="13828" width="12.1406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0.7109375" style="101" customWidth="1"/>
    <col min="14084" max="14084" width="12.1406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0.7109375" style="101" customWidth="1"/>
    <col min="14340" max="14340" width="12.1406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0.7109375" style="101" customWidth="1"/>
    <col min="14596" max="14596" width="12.1406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0.7109375" style="101" customWidth="1"/>
    <col min="14852" max="14852" width="12.1406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0.7109375" style="101" customWidth="1"/>
    <col min="15108" max="15108" width="12.1406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0.7109375" style="101" customWidth="1"/>
    <col min="15364" max="15364" width="12.1406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0.7109375" style="101" customWidth="1"/>
    <col min="15620" max="15620" width="12.1406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0.7109375" style="101" customWidth="1"/>
    <col min="15876" max="15876" width="12.1406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0.7109375" style="101" customWidth="1"/>
    <col min="16132" max="16132" width="12.1406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1" spans="1:8" ht="18" x14ac:dyDescent="0.2">
      <c r="A1" s="494"/>
      <c r="B1" s="495"/>
      <c r="C1" s="549" t="s">
        <v>209</v>
      </c>
      <c r="D1" s="550"/>
      <c r="E1" s="550"/>
      <c r="F1" s="551"/>
      <c r="G1" s="494"/>
      <c r="H1" s="495"/>
    </row>
    <row r="2" spans="1:8" x14ac:dyDescent="0.2">
      <c r="A2" s="496"/>
      <c r="B2" s="497"/>
      <c r="C2" s="552" t="s">
        <v>98</v>
      </c>
      <c r="D2" s="553"/>
      <c r="E2" s="553"/>
      <c r="F2" s="554"/>
      <c r="G2" s="496"/>
      <c r="H2" s="497"/>
    </row>
    <row r="3" spans="1:8" ht="14.25" customHeight="1" x14ac:dyDescent="0.2">
      <c r="A3" s="496"/>
      <c r="B3" s="497"/>
      <c r="C3" s="129"/>
      <c r="D3" s="130"/>
      <c r="E3" s="130"/>
      <c r="F3" s="131"/>
      <c r="G3" s="496"/>
      <c r="H3" s="497"/>
    </row>
    <row r="4" spans="1:8" x14ac:dyDescent="0.2">
      <c r="A4" s="496"/>
      <c r="B4" s="497"/>
      <c r="C4" s="552" t="s">
        <v>210</v>
      </c>
      <c r="D4" s="553"/>
      <c r="E4" s="553"/>
      <c r="F4" s="554"/>
      <c r="G4" s="496"/>
      <c r="H4" s="497"/>
    </row>
    <row r="5" spans="1:8" x14ac:dyDescent="0.2">
      <c r="A5" s="496"/>
      <c r="B5" s="497"/>
      <c r="C5" s="552" t="s">
        <v>211</v>
      </c>
      <c r="D5" s="553"/>
      <c r="E5" s="553"/>
      <c r="F5" s="554"/>
      <c r="G5" s="496"/>
      <c r="H5" s="497"/>
    </row>
    <row r="6" spans="1:8" ht="13.5" thickBot="1" x14ac:dyDescent="0.25">
      <c r="A6" s="498"/>
      <c r="B6" s="499"/>
      <c r="C6" s="132"/>
      <c r="D6" s="133"/>
      <c r="E6" s="133"/>
      <c r="F6" s="134"/>
      <c r="G6" s="498"/>
      <c r="H6" s="499"/>
    </row>
    <row r="8" spans="1:8" ht="13.5" thickBot="1" x14ac:dyDescent="0.25">
      <c r="A8" s="543" t="s">
        <v>212</v>
      </c>
      <c r="B8" s="543"/>
      <c r="C8" s="543"/>
      <c r="D8" s="543"/>
      <c r="E8" s="543"/>
      <c r="F8" s="543"/>
      <c r="G8" s="543"/>
      <c r="H8" s="543"/>
    </row>
    <row r="9" spans="1:8" ht="13.5" thickBot="1" x14ac:dyDescent="0.25">
      <c r="A9" s="108"/>
      <c r="B9" s="108"/>
      <c r="C9" s="108"/>
      <c r="D9" s="108"/>
      <c r="E9" s="108"/>
      <c r="F9" s="108"/>
      <c r="G9" s="394" t="s">
        <v>279</v>
      </c>
      <c r="H9" s="395"/>
    </row>
    <row r="10" spans="1:8" ht="13.5" thickBot="1" x14ac:dyDescent="0.25"/>
    <row r="11" spans="1:8" ht="61.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13.5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103"/>
    </row>
    <row r="15" spans="1:8" ht="12.75" customHeight="1" x14ac:dyDescent="0.2">
      <c r="A15" s="491" t="s">
        <v>334</v>
      </c>
      <c r="B15" s="528" t="s">
        <v>335</v>
      </c>
      <c r="C15" s="529"/>
      <c r="D15" s="529"/>
      <c r="E15" s="529"/>
      <c r="F15" s="530"/>
      <c r="G15" s="621" t="s">
        <v>216</v>
      </c>
      <c r="H15" s="547" t="s">
        <v>282</v>
      </c>
    </row>
    <row r="16" spans="1:8" ht="22.5" customHeight="1" thickBot="1" x14ac:dyDescent="0.25">
      <c r="A16" s="492"/>
      <c r="B16" s="544"/>
      <c r="C16" s="545"/>
      <c r="D16" s="545"/>
      <c r="E16" s="545"/>
      <c r="F16" s="546"/>
      <c r="G16" s="622"/>
      <c r="H16" s="548"/>
    </row>
    <row r="17" spans="1:11" x14ac:dyDescent="0.2">
      <c r="A17" s="175" t="s">
        <v>217</v>
      </c>
    </row>
    <row r="18" spans="1:11" x14ac:dyDescent="0.2">
      <c r="A18" s="539" t="s">
        <v>1</v>
      </c>
      <c r="B18" s="539"/>
      <c r="C18" s="539" t="s">
        <v>218</v>
      </c>
      <c r="D18" s="539"/>
      <c r="E18" s="539" t="s">
        <v>219</v>
      </c>
      <c r="F18" s="539"/>
      <c r="G18" s="539" t="s">
        <v>220</v>
      </c>
      <c r="H18" s="539"/>
    </row>
    <row r="19" spans="1:11" ht="25.5" customHeight="1" x14ac:dyDescent="0.2">
      <c r="A19" s="427" t="s">
        <v>336</v>
      </c>
      <c r="B19" s="428"/>
      <c r="C19" s="390">
        <v>11563</v>
      </c>
      <c r="D19" s="391"/>
      <c r="E19" s="619">
        <v>20</v>
      </c>
      <c r="F19" s="620"/>
      <c r="G19" s="390">
        <f>+C19/E19</f>
        <v>578.15</v>
      </c>
      <c r="H19" s="391"/>
      <c r="J19" s="390"/>
      <c r="K19" s="391"/>
    </row>
    <row r="20" spans="1:11" x14ac:dyDescent="0.2">
      <c r="A20" s="386"/>
      <c r="B20" s="387"/>
      <c r="C20" s="390"/>
      <c r="D20" s="391"/>
      <c r="E20" s="603"/>
      <c r="F20" s="604"/>
      <c r="G20" s="390"/>
      <c r="H20" s="391"/>
    </row>
    <row r="21" spans="1:11" x14ac:dyDescent="0.2">
      <c r="A21" s="487" t="s">
        <v>224</v>
      </c>
      <c r="B21" s="488"/>
      <c r="C21" s="527"/>
      <c r="D21" s="527"/>
      <c r="E21" s="526">
        <v>0.1</v>
      </c>
      <c r="F21" s="527"/>
      <c r="G21" s="452">
        <f>+G40*E21</f>
        <v>111.77083333333336</v>
      </c>
      <c r="H21" s="452"/>
      <c r="K21" s="163"/>
    </row>
    <row r="22" spans="1:11" x14ac:dyDescent="0.2">
      <c r="C22" s="478" t="s">
        <v>225</v>
      </c>
      <c r="D22" s="478"/>
      <c r="E22" s="478"/>
      <c r="F22" s="478"/>
      <c r="G22" s="452">
        <f>+G19+G20+G21</f>
        <v>689.92083333333335</v>
      </c>
      <c r="H22" s="452"/>
    </row>
    <row r="23" spans="1:11" x14ac:dyDescent="0.2">
      <c r="C23" s="110"/>
      <c r="D23" s="110"/>
      <c r="E23" s="110"/>
      <c r="F23" s="110"/>
      <c r="G23" s="111"/>
      <c r="H23" s="111"/>
    </row>
    <row r="24" spans="1:11" x14ac:dyDescent="0.2">
      <c r="A24" s="175" t="s">
        <v>226</v>
      </c>
    </row>
    <row r="25" spans="1:11" x14ac:dyDescent="0.2">
      <c r="A25" s="539" t="s">
        <v>1</v>
      </c>
      <c r="B25" s="539"/>
      <c r="C25" s="139" t="s">
        <v>227</v>
      </c>
      <c r="D25" s="139" t="s">
        <v>228</v>
      </c>
      <c r="E25" s="539" t="s">
        <v>3</v>
      </c>
      <c r="F25" s="539"/>
      <c r="G25" s="539" t="s">
        <v>220</v>
      </c>
      <c r="H25" s="539"/>
    </row>
    <row r="26" spans="1:11" x14ac:dyDescent="0.2">
      <c r="A26" s="534" t="s">
        <v>286</v>
      </c>
      <c r="B26" s="534"/>
      <c r="C26" s="176" t="s">
        <v>74</v>
      </c>
      <c r="D26" s="140">
        <v>600</v>
      </c>
      <c r="E26" s="506">
        <v>2</v>
      </c>
      <c r="F26" s="507"/>
      <c r="G26" s="390">
        <f>+D26*E26</f>
        <v>1200</v>
      </c>
      <c r="H26" s="391"/>
    </row>
    <row r="27" spans="1:11" x14ac:dyDescent="0.2">
      <c r="A27" s="534" t="s">
        <v>337</v>
      </c>
      <c r="B27" s="534"/>
      <c r="C27" s="176" t="s">
        <v>338</v>
      </c>
      <c r="D27" s="140">
        <v>3800</v>
      </c>
      <c r="E27" s="506">
        <v>0.01</v>
      </c>
      <c r="F27" s="507"/>
      <c r="G27" s="390">
        <f>+D27*E27</f>
        <v>38</v>
      </c>
      <c r="H27" s="391"/>
    </row>
    <row r="28" spans="1:11" x14ac:dyDescent="0.2">
      <c r="A28" s="142"/>
      <c r="B28" s="142"/>
      <c r="C28" s="535" t="s">
        <v>225</v>
      </c>
      <c r="D28" s="535"/>
      <c r="E28" s="535"/>
      <c r="F28" s="535"/>
      <c r="G28" s="388">
        <f>SUM(G26:H27)</f>
        <v>1238</v>
      </c>
      <c r="H28" s="388"/>
    </row>
    <row r="30" spans="1:11" x14ac:dyDescent="0.2">
      <c r="A30" s="175" t="s">
        <v>232</v>
      </c>
    </row>
    <row r="31" spans="1:11" x14ac:dyDescent="0.2">
      <c r="A31" s="539" t="s">
        <v>233</v>
      </c>
      <c r="B31" s="539"/>
      <c r="C31" s="139" t="s">
        <v>234</v>
      </c>
      <c r="D31" s="144" t="s">
        <v>235</v>
      </c>
      <c r="E31" s="539" t="s">
        <v>236</v>
      </c>
      <c r="F31" s="539"/>
      <c r="G31" s="539" t="s">
        <v>220</v>
      </c>
      <c r="H31" s="539"/>
    </row>
    <row r="32" spans="1:11" x14ac:dyDescent="0.2">
      <c r="A32" s="427"/>
      <c r="B32" s="618"/>
      <c r="C32" s="124"/>
      <c r="D32" s="124"/>
      <c r="E32" s="388"/>
      <c r="F32" s="388"/>
      <c r="G32" s="388"/>
      <c r="H32" s="388"/>
    </row>
    <row r="33" spans="1:8" x14ac:dyDescent="0.2">
      <c r="A33" s="534"/>
      <c r="B33" s="534"/>
      <c r="C33" s="176"/>
      <c r="D33" s="176"/>
      <c r="E33" s="388"/>
      <c r="F33" s="388"/>
      <c r="G33" s="388"/>
      <c r="H33" s="388"/>
    </row>
    <row r="34" spans="1:8" x14ac:dyDescent="0.2">
      <c r="A34" s="142"/>
      <c r="B34" s="142"/>
      <c r="C34" s="535" t="s">
        <v>225</v>
      </c>
      <c r="D34" s="535"/>
      <c r="E34" s="535"/>
      <c r="F34" s="535"/>
      <c r="G34" s="388">
        <f>+G32</f>
        <v>0</v>
      </c>
      <c r="H34" s="388"/>
    </row>
    <row r="36" spans="1:8" x14ac:dyDescent="0.2">
      <c r="A36" s="175" t="s">
        <v>237</v>
      </c>
    </row>
    <row r="37" spans="1:8" x14ac:dyDescent="0.2">
      <c r="A37" s="539" t="s">
        <v>238</v>
      </c>
      <c r="B37" s="539"/>
      <c r="C37" s="139" t="s">
        <v>239</v>
      </c>
      <c r="D37" s="144" t="s">
        <v>240</v>
      </c>
      <c r="E37" s="139" t="s">
        <v>241</v>
      </c>
      <c r="F37" s="146" t="s">
        <v>219</v>
      </c>
      <c r="G37" s="539" t="s">
        <v>220</v>
      </c>
      <c r="H37" s="539"/>
    </row>
    <row r="38" spans="1:8" x14ac:dyDescent="0.2">
      <c r="A38" s="534" t="s">
        <v>339</v>
      </c>
      <c r="B38" s="534"/>
      <c r="C38" s="140">
        <v>75000</v>
      </c>
      <c r="D38" s="147">
        <v>0.85</v>
      </c>
      <c r="E38" s="140">
        <f>+((C38*D38)+C38)</f>
        <v>138750</v>
      </c>
      <c r="F38" s="177">
        <v>240</v>
      </c>
      <c r="G38" s="388">
        <f>+E38/F38</f>
        <v>578.125</v>
      </c>
      <c r="H38" s="388"/>
    </row>
    <row r="39" spans="1:8" x14ac:dyDescent="0.2">
      <c r="A39" s="534" t="s">
        <v>340</v>
      </c>
      <c r="B39" s="534"/>
      <c r="C39" s="140">
        <v>70000</v>
      </c>
      <c r="D39" s="147">
        <v>0.85</v>
      </c>
      <c r="E39" s="140">
        <f>+((C39*D39)+C39)</f>
        <v>129500</v>
      </c>
      <c r="F39" s="177">
        <v>240</v>
      </c>
      <c r="G39" s="388">
        <f>+E39/F39</f>
        <v>539.58333333333337</v>
      </c>
      <c r="H39" s="388"/>
    </row>
    <row r="40" spans="1:8" x14ac:dyDescent="0.2">
      <c r="A40" s="142"/>
      <c r="B40" s="142"/>
      <c r="C40" s="535" t="s">
        <v>225</v>
      </c>
      <c r="D40" s="535"/>
      <c r="E40" s="535"/>
      <c r="F40" s="535"/>
      <c r="G40" s="388">
        <f>SUM(G38:H39)</f>
        <v>1117.7083333333335</v>
      </c>
      <c r="H40" s="388"/>
    </row>
    <row r="43" spans="1:8" x14ac:dyDescent="0.2">
      <c r="A43" s="479" t="s">
        <v>244</v>
      </c>
      <c r="B43" s="479"/>
      <c r="C43" s="479"/>
      <c r="D43" s="479"/>
      <c r="E43" s="479"/>
      <c r="F43" s="479"/>
      <c r="G43" s="617">
        <f>+ROUND(G22+G28+G34+G40,0)</f>
        <v>3046</v>
      </c>
      <c r="H43" s="617"/>
    </row>
    <row r="44" spans="1:8" x14ac:dyDescent="0.2">
      <c r="G44" s="189">
        <f>+G43</f>
        <v>3046</v>
      </c>
    </row>
  </sheetData>
  <mergeCells count="64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A31:B31"/>
    <mergeCell ref="E31:F31"/>
    <mergeCell ref="G31:H31"/>
    <mergeCell ref="C22:F22"/>
    <mergeCell ref="G22:H22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32:B32"/>
    <mergeCell ref="E32:F32"/>
    <mergeCell ref="G32:H32"/>
    <mergeCell ref="A33:B33"/>
    <mergeCell ref="E33:F33"/>
    <mergeCell ref="G33:H33"/>
    <mergeCell ref="C34:F34"/>
    <mergeCell ref="G34:H34"/>
    <mergeCell ref="A37:B37"/>
    <mergeCell ref="G37:H37"/>
    <mergeCell ref="A38:B38"/>
    <mergeCell ref="G38:H38"/>
    <mergeCell ref="A39:B39"/>
    <mergeCell ref="G39:H39"/>
    <mergeCell ref="C40:F40"/>
    <mergeCell ref="G40:H40"/>
    <mergeCell ref="A43:F43"/>
    <mergeCell ref="G43:H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N667"/>
  <sheetViews>
    <sheetView tabSelected="1" zoomScaleNormal="100" workbookViewId="0">
      <selection activeCell="A7" sqref="A7:H7"/>
    </sheetView>
  </sheetViews>
  <sheetFormatPr baseColWidth="10" defaultRowHeight="13.5" x14ac:dyDescent="0.25"/>
  <cols>
    <col min="1" max="1" width="6.85546875" style="20" customWidth="1"/>
    <col min="2" max="2" width="72.7109375" style="1" customWidth="1"/>
    <col min="3" max="3" width="15.7109375" style="21" customWidth="1"/>
    <col min="4" max="5" width="17.28515625" style="22" customWidth="1"/>
    <col min="6" max="6" width="24.85546875" style="1" bestFit="1" customWidth="1"/>
    <col min="7" max="8" width="24.85546875" style="1" customWidth="1"/>
    <col min="9" max="9" width="15.85546875" style="23" bestFit="1" customWidth="1"/>
    <col min="10" max="10" width="16.85546875" style="23" bestFit="1" customWidth="1"/>
    <col min="11" max="11" width="15.85546875" style="23" bestFit="1" customWidth="1"/>
    <col min="12" max="168" width="11.42578125" style="23"/>
    <col min="169" max="211" width="11.42578125" style="1"/>
    <col min="212" max="212" width="4.28515625" style="1" customWidth="1"/>
    <col min="213" max="213" width="74.7109375" style="1" customWidth="1"/>
    <col min="214" max="214" width="8.7109375" style="1" customWidth="1"/>
    <col min="215" max="215" width="14.140625" style="1" customWidth="1"/>
    <col min="216" max="216" width="17.28515625" style="1" customWidth="1"/>
    <col min="217" max="217" width="24.85546875" style="1" bestFit="1" customWidth="1"/>
    <col min="218" max="218" width="19" style="1" bestFit="1" customWidth="1"/>
    <col min="219" max="467" width="11.42578125" style="1"/>
    <col min="468" max="468" width="4.28515625" style="1" customWidth="1"/>
    <col min="469" max="469" width="74.7109375" style="1" customWidth="1"/>
    <col min="470" max="470" width="8.7109375" style="1" customWidth="1"/>
    <col min="471" max="471" width="14.140625" style="1" customWidth="1"/>
    <col min="472" max="472" width="17.28515625" style="1" customWidth="1"/>
    <col min="473" max="473" width="24.85546875" style="1" bestFit="1" customWidth="1"/>
    <col min="474" max="474" width="19" style="1" bestFit="1" customWidth="1"/>
    <col min="475" max="723" width="11.42578125" style="1"/>
    <col min="724" max="724" width="4.28515625" style="1" customWidth="1"/>
    <col min="725" max="725" width="74.7109375" style="1" customWidth="1"/>
    <col min="726" max="726" width="8.7109375" style="1" customWidth="1"/>
    <col min="727" max="727" width="14.140625" style="1" customWidth="1"/>
    <col min="728" max="728" width="17.28515625" style="1" customWidth="1"/>
    <col min="729" max="729" width="24.85546875" style="1" bestFit="1" customWidth="1"/>
    <col min="730" max="730" width="19" style="1" bestFit="1" customWidth="1"/>
    <col min="731" max="979" width="11.42578125" style="1"/>
    <col min="980" max="980" width="4.28515625" style="1" customWidth="1"/>
    <col min="981" max="981" width="74.7109375" style="1" customWidth="1"/>
    <col min="982" max="982" width="8.7109375" style="1" customWidth="1"/>
    <col min="983" max="983" width="14.140625" style="1" customWidth="1"/>
    <col min="984" max="984" width="17.28515625" style="1" customWidth="1"/>
    <col min="985" max="985" width="24.85546875" style="1" bestFit="1" customWidth="1"/>
    <col min="986" max="986" width="19" style="1" bestFit="1" customWidth="1"/>
    <col min="987" max="1235" width="11.42578125" style="1"/>
    <col min="1236" max="1236" width="4.28515625" style="1" customWidth="1"/>
    <col min="1237" max="1237" width="74.7109375" style="1" customWidth="1"/>
    <col min="1238" max="1238" width="8.7109375" style="1" customWidth="1"/>
    <col min="1239" max="1239" width="14.140625" style="1" customWidth="1"/>
    <col min="1240" max="1240" width="17.28515625" style="1" customWidth="1"/>
    <col min="1241" max="1241" width="24.85546875" style="1" bestFit="1" customWidth="1"/>
    <col min="1242" max="1242" width="19" style="1" bestFit="1" customWidth="1"/>
    <col min="1243" max="1491" width="11.42578125" style="1"/>
    <col min="1492" max="1492" width="4.28515625" style="1" customWidth="1"/>
    <col min="1493" max="1493" width="74.7109375" style="1" customWidth="1"/>
    <col min="1494" max="1494" width="8.7109375" style="1" customWidth="1"/>
    <col min="1495" max="1495" width="14.140625" style="1" customWidth="1"/>
    <col min="1496" max="1496" width="17.28515625" style="1" customWidth="1"/>
    <col min="1497" max="1497" width="24.85546875" style="1" bestFit="1" customWidth="1"/>
    <col min="1498" max="1498" width="19" style="1" bestFit="1" customWidth="1"/>
    <col min="1499" max="1747" width="11.42578125" style="1"/>
    <col min="1748" max="1748" width="4.28515625" style="1" customWidth="1"/>
    <col min="1749" max="1749" width="74.7109375" style="1" customWidth="1"/>
    <col min="1750" max="1750" width="8.7109375" style="1" customWidth="1"/>
    <col min="1751" max="1751" width="14.140625" style="1" customWidth="1"/>
    <col min="1752" max="1752" width="17.28515625" style="1" customWidth="1"/>
    <col min="1753" max="1753" width="24.85546875" style="1" bestFit="1" customWidth="1"/>
    <col min="1754" max="1754" width="19" style="1" bestFit="1" customWidth="1"/>
    <col min="1755" max="2003" width="11.42578125" style="1"/>
    <col min="2004" max="2004" width="4.28515625" style="1" customWidth="1"/>
    <col min="2005" max="2005" width="74.7109375" style="1" customWidth="1"/>
    <col min="2006" max="2006" width="8.7109375" style="1" customWidth="1"/>
    <col min="2007" max="2007" width="14.140625" style="1" customWidth="1"/>
    <col min="2008" max="2008" width="17.28515625" style="1" customWidth="1"/>
    <col min="2009" max="2009" width="24.85546875" style="1" bestFit="1" customWidth="1"/>
    <col min="2010" max="2010" width="19" style="1" bestFit="1" customWidth="1"/>
    <col min="2011" max="2259" width="11.42578125" style="1"/>
    <col min="2260" max="2260" width="4.28515625" style="1" customWidth="1"/>
    <col min="2261" max="2261" width="74.7109375" style="1" customWidth="1"/>
    <col min="2262" max="2262" width="8.7109375" style="1" customWidth="1"/>
    <col min="2263" max="2263" width="14.140625" style="1" customWidth="1"/>
    <col min="2264" max="2264" width="17.28515625" style="1" customWidth="1"/>
    <col min="2265" max="2265" width="24.85546875" style="1" bestFit="1" customWidth="1"/>
    <col min="2266" max="2266" width="19" style="1" bestFit="1" customWidth="1"/>
    <col min="2267" max="2515" width="11.42578125" style="1"/>
    <col min="2516" max="2516" width="4.28515625" style="1" customWidth="1"/>
    <col min="2517" max="2517" width="74.7109375" style="1" customWidth="1"/>
    <col min="2518" max="2518" width="8.7109375" style="1" customWidth="1"/>
    <col min="2519" max="2519" width="14.140625" style="1" customWidth="1"/>
    <col min="2520" max="2520" width="17.28515625" style="1" customWidth="1"/>
    <col min="2521" max="2521" width="24.85546875" style="1" bestFit="1" customWidth="1"/>
    <col min="2522" max="2522" width="19" style="1" bestFit="1" customWidth="1"/>
    <col min="2523" max="2771" width="11.42578125" style="1"/>
    <col min="2772" max="2772" width="4.28515625" style="1" customWidth="1"/>
    <col min="2773" max="2773" width="74.7109375" style="1" customWidth="1"/>
    <col min="2774" max="2774" width="8.7109375" style="1" customWidth="1"/>
    <col min="2775" max="2775" width="14.140625" style="1" customWidth="1"/>
    <col min="2776" max="2776" width="17.28515625" style="1" customWidth="1"/>
    <col min="2777" max="2777" width="24.85546875" style="1" bestFit="1" customWidth="1"/>
    <col min="2778" max="2778" width="19" style="1" bestFit="1" customWidth="1"/>
    <col min="2779" max="3027" width="11.42578125" style="1"/>
    <col min="3028" max="3028" width="4.28515625" style="1" customWidth="1"/>
    <col min="3029" max="3029" width="74.7109375" style="1" customWidth="1"/>
    <col min="3030" max="3030" width="8.7109375" style="1" customWidth="1"/>
    <col min="3031" max="3031" width="14.140625" style="1" customWidth="1"/>
    <col min="3032" max="3032" width="17.28515625" style="1" customWidth="1"/>
    <col min="3033" max="3033" width="24.85546875" style="1" bestFit="1" customWidth="1"/>
    <col min="3034" max="3034" width="19" style="1" bestFit="1" customWidth="1"/>
    <col min="3035" max="3283" width="11.42578125" style="1"/>
    <col min="3284" max="3284" width="4.28515625" style="1" customWidth="1"/>
    <col min="3285" max="3285" width="74.7109375" style="1" customWidth="1"/>
    <col min="3286" max="3286" width="8.7109375" style="1" customWidth="1"/>
    <col min="3287" max="3287" width="14.140625" style="1" customWidth="1"/>
    <col min="3288" max="3288" width="17.28515625" style="1" customWidth="1"/>
    <col min="3289" max="3289" width="24.85546875" style="1" bestFit="1" customWidth="1"/>
    <col min="3290" max="3290" width="19" style="1" bestFit="1" customWidth="1"/>
    <col min="3291" max="3539" width="11.42578125" style="1"/>
    <col min="3540" max="3540" width="4.28515625" style="1" customWidth="1"/>
    <col min="3541" max="3541" width="74.7109375" style="1" customWidth="1"/>
    <col min="3542" max="3542" width="8.7109375" style="1" customWidth="1"/>
    <col min="3543" max="3543" width="14.140625" style="1" customWidth="1"/>
    <col min="3544" max="3544" width="17.28515625" style="1" customWidth="1"/>
    <col min="3545" max="3545" width="24.85546875" style="1" bestFit="1" customWidth="1"/>
    <col min="3546" max="3546" width="19" style="1" bestFit="1" customWidth="1"/>
    <col min="3547" max="3795" width="11.42578125" style="1"/>
    <col min="3796" max="3796" width="4.28515625" style="1" customWidth="1"/>
    <col min="3797" max="3797" width="74.7109375" style="1" customWidth="1"/>
    <col min="3798" max="3798" width="8.7109375" style="1" customWidth="1"/>
    <col min="3799" max="3799" width="14.140625" style="1" customWidth="1"/>
    <col min="3800" max="3800" width="17.28515625" style="1" customWidth="1"/>
    <col min="3801" max="3801" width="24.85546875" style="1" bestFit="1" customWidth="1"/>
    <col min="3802" max="3802" width="19" style="1" bestFit="1" customWidth="1"/>
    <col min="3803" max="4051" width="11.42578125" style="1"/>
    <col min="4052" max="4052" width="4.28515625" style="1" customWidth="1"/>
    <col min="4053" max="4053" width="74.7109375" style="1" customWidth="1"/>
    <col min="4054" max="4054" width="8.7109375" style="1" customWidth="1"/>
    <col min="4055" max="4055" width="14.140625" style="1" customWidth="1"/>
    <col min="4056" max="4056" width="17.28515625" style="1" customWidth="1"/>
    <col min="4057" max="4057" width="24.85546875" style="1" bestFit="1" customWidth="1"/>
    <col min="4058" max="4058" width="19" style="1" bestFit="1" customWidth="1"/>
    <col min="4059" max="4307" width="11.42578125" style="1"/>
    <col min="4308" max="4308" width="4.28515625" style="1" customWidth="1"/>
    <col min="4309" max="4309" width="74.7109375" style="1" customWidth="1"/>
    <col min="4310" max="4310" width="8.7109375" style="1" customWidth="1"/>
    <col min="4311" max="4311" width="14.140625" style="1" customWidth="1"/>
    <col min="4312" max="4312" width="17.28515625" style="1" customWidth="1"/>
    <col min="4313" max="4313" width="24.85546875" style="1" bestFit="1" customWidth="1"/>
    <col min="4314" max="4314" width="19" style="1" bestFit="1" customWidth="1"/>
    <col min="4315" max="4563" width="11.42578125" style="1"/>
    <col min="4564" max="4564" width="4.28515625" style="1" customWidth="1"/>
    <col min="4565" max="4565" width="74.7109375" style="1" customWidth="1"/>
    <col min="4566" max="4566" width="8.7109375" style="1" customWidth="1"/>
    <col min="4567" max="4567" width="14.140625" style="1" customWidth="1"/>
    <col min="4568" max="4568" width="17.28515625" style="1" customWidth="1"/>
    <col min="4569" max="4569" width="24.85546875" style="1" bestFit="1" customWidth="1"/>
    <col min="4570" max="4570" width="19" style="1" bestFit="1" customWidth="1"/>
    <col min="4571" max="4819" width="11.42578125" style="1"/>
    <col min="4820" max="4820" width="4.28515625" style="1" customWidth="1"/>
    <col min="4821" max="4821" width="74.7109375" style="1" customWidth="1"/>
    <col min="4822" max="4822" width="8.7109375" style="1" customWidth="1"/>
    <col min="4823" max="4823" width="14.140625" style="1" customWidth="1"/>
    <col min="4824" max="4824" width="17.28515625" style="1" customWidth="1"/>
    <col min="4825" max="4825" width="24.85546875" style="1" bestFit="1" customWidth="1"/>
    <col min="4826" max="4826" width="19" style="1" bestFit="1" customWidth="1"/>
    <col min="4827" max="5075" width="11.42578125" style="1"/>
    <col min="5076" max="5076" width="4.28515625" style="1" customWidth="1"/>
    <col min="5077" max="5077" width="74.7109375" style="1" customWidth="1"/>
    <col min="5078" max="5078" width="8.7109375" style="1" customWidth="1"/>
    <col min="5079" max="5079" width="14.140625" style="1" customWidth="1"/>
    <col min="5080" max="5080" width="17.28515625" style="1" customWidth="1"/>
    <col min="5081" max="5081" width="24.85546875" style="1" bestFit="1" customWidth="1"/>
    <col min="5082" max="5082" width="19" style="1" bestFit="1" customWidth="1"/>
    <col min="5083" max="5331" width="11.42578125" style="1"/>
    <col min="5332" max="5332" width="4.28515625" style="1" customWidth="1"/>
    <col min="5333" max="5333" width="74.7109375" style="1" customWidth="1"/>
    <col min="5334" max="5334" width="8.7109375" style="1" customWidth="1"/>
    <col min="5335" max="5335" width="14.140625" style="1" customWidth="1"/>
    <col min="5336" max="5336" width="17.28515625" style="1" customWidth="1"/>
    <col min="5337" max="5337" width="24.85546875" style="1" bestFit="1" customWidth="1"/>
    <col min="5338" max="5338" width="19" style="1" bestFit="1" customWidth="1"/>
    <col min="5339" max="5587" width="11.42578125" style="1"/>
    <col min="5588" max="5588" width="4.28515625" style="1" customWidth="1"/>
    <col min="5589" max="5589" width="74.7109375" style="1" customWidth="1"/>
    <col min="5590" max="5590" width="8.7109375" style="1" customWidth="1"/>
    <col min="5591" max="5591" width="14.140625" style="1" customWidth="1"/>
    <col min="5592" max="5592" width="17.28515625" style="1" customWidth="1"/>
    <col min="5593" max="5593" width="24.85546875" style="1" bestFit="1" customWidth="1"/>
    <col min="5594" max="5594" width="19" style="1" bestFit="1" customWidth="1"/>
    <col min="5595" max="5843" width="11.42578125" style="1"/>
    <col min="5844" max="5844" width="4.28515625" style="1" customWidth="1"/>
    <col min="5845" max="5845" width="74.7109375" style="1" customWidth="1"/>
    <col min="5846" max="5846" width="8.7109375" style="1" customWidth="1"/>
    <col min="5847" max="5847" width="14.140625" style="1" customWidth="1"/>
    <col min="5848" max="5848" width="17.28515625" style="1" customWidth="1"/>
    <col min="5849" max="5849" width="24.85546875" style="1" bestFit="1" customWidth="1"/>
    <col min="5850" max="5850" width="19" style="1" bestFit="1" customWidth="1"/>
    <col min="5851" max="6099" width="11.42578125" style="1"/>
    <col min="6100" max="6100" width="4.28515625" style="1" customWidth="1"/>
    <col min="6101" max="6101" width="74.7109375" style="1" customWidth="1"/>
    <col min="6102" max="6102" width="8.7109375" style="1" customWidth="1"/>
    <col min="6103" max="6103" width="14.140625" style="1" customWidth="1"/>
    <col min="6104" max="6104" width="17.28515625" style="1" customWidth="1"/>
    <col min="6105" max="6105" width="24.85546875" style="1" bestFit="1" customWidth="1"/>
    <col min="6106" max="6106" width="19" style="1" bestFit="1" customWidth="1"/>
    <col min="6107" max="6355" width="11.42578125" style="1"/>
    <col min="6356" max="6356" width="4.28515625" style="1" customWidth="1"/>
    <col min="6357" max="6357" width="74.7109375" style="1" customWidth="1"/>
    <col min="6358" max="6358" width="8.7109375" style="1" customWidth="1"/>
    <col min="6359" max="6359" width="14.140625" style="1" customWidth="1"/>
    <col min="6360" max="6360" width="17.28515625" style="1" customWidth="1"/>
    <col min="6361" max="6361" width="24.85546875" style="1" bestFit="1" customWidth="1"/>
    <col min="6362" max="6362" width="19" style="1" bestFit="1" customWidth="1"/>
    <col min="6363" max="6611" width="11.42578125" style="1"/>
    <col min="6612" max="6612" width="4.28515625" style="1" customWidth="1"/>
    <col min="6613" max="6613" width="74.7109375" style="1" customWidth="1"/>
    <col min="6614" max="6614" width="8.7109375" style="1" customWidth="1"/>
    <col min="6615" max="6615" width="14.140625" style="1" customWidth="1"/>
    <col min="6616" max="6616" width="17.28515625" style="1" customWidth="1"/>
    <col min="6617" max="6617" width="24.85546875" style="1" bestFit="1" customWidth="1"/>
    <col min="6618" max="6618" width="19" style="1" bestFit="1" customWidth="1"/>
    <col min="6619" max="6867" width="11.42578125" style="1"/>
    <col min="6868" max="6868" width="4.28515625" style="1" customWidth="1"/>
    <col min="6869" max="6869" width="74.7109375" style="1" customWidth="1"/>
    <col min="6870" max="6870" width="8.7109375" style="1" customWidth="1"/>
    <col min="6871" max="6871" width="14.140625" style="1" customWidth="1"/>
    <col min="6872" max="6872" width="17.28515625" style="1" customWidth="1"/>
    <col min="6873" max="6873" width="24.85546875" style="1" bestFit="1" customWidth="1"/>
    <col min="6874" max="6874" width="19" style="1" bestFit="1" customWidth="1"/>
    <col min="6875" max="7123" width="11.42578125" style="1"/>
    <col min="7124" max="7124" width="4.28515625" style="1" customWidth="1"/>
    <col min="7125" max="7125" width="74.7109375" style="1" customWidth="1"/>
    <col min="7126" max="7126" width="8.7109375" style="1" customWidth="1"/>
    <col min="7127" max="7127" width="14.140625" style="1" customWidth="1"/>
    <col min="7128" max="7128" width="17.28515625" style="1" customWidth="1"/>
    <col min="7129" max="7129" width="24.85546875" style="1" bestFit="1" customWidth="1"/>
    <col min="7130" max="7130" width="19" style="1" bestFit="1" customWidth="1"/>
    <col min="7131" max="7379" width="11.42578125" style="1"/>
    <col min="7380" max="7380" width="4.28515625" style="1" customWidth="1"/>
    <col min="7381" max="7381" width="74.7109375" style="1" customWidth="1"/>
    <col min="7382" max="7382" width="8.7109375" style="1" customWidth="1"/>
    <col min="7383" max="7383" width="14.140625" style="1" customWidth="1"/>
    <col min="7384" max="7384" width="17.28515625" style="1" customWidth="1"/>
    <col min="7385" max="7385" width="24.85546875" style="1" bestFit="1" customWidth="1"/>
    <col min="7386" max="7386" width="19" style="1" bestFit="1" customWidth="1"/>
    <col min="7387" max="7635" width="11.42578125" style="1"/>
    <col min="7636" max="7636" width="4.28515625" style="1" customWidth="1"/>
    <col min="7637" max="7637" width="74.7109375" style="1" customWidth="1"/>
    <col min="7638" max="7638" width="8.7109375" style="1" customWidth="1"/>
    <col min="7639" max="7639" width="14.140625" style="1" customWidth="1"/>
    <col min="7640" max="7640" width="17.28515625" style="1" customWidth="1"/>
    <col min="7641" max="7641" width="24.85546875" style="1" bestFit="1" customWidth="1"/>
    <col min="7642" max="7642" width="19" style="1" bestFit="1" customWidth="1"/>
    <col min="7643" max="7891" width="11.42578125" style="1"/>
    <col min="7892" max="7892" width="4.28515625" style="1" customWidth="1"/>
    <col min="7893" max="7893" width="74.7109375" style="1" customWidth="1"/>
    <col min="7894" max="7894" width="8.7109375" style="1" customWidth="1"/>
    <col min="7895" max="7895" width="14.140625" style="1" customWidth="1"/>
    <col min="7896" max="7896" width="17.28515625" style="1" customWidth="1"/>
    <col min="7897" max="7897" width="24.85546875" style="1" bestFit="1" customWidth="1"/>
    <col min="7898" max="7898" width="19" style="1" bestFit="1" customWidth="1"/>
    <col min="7899" max="8147" width="11.42578125" style="1"/>
    <col min="8148" max="8148" width="4.28515625" style="1" customWidth="1"/>
    <col min="8149" max="8149" width="74.7109375" style="1" customWidth="1"/>
    <col min="8150" max="8150" width="8.7109375" style="1" customWidth="1"/>
    <col min="8151" max="8151" width="14.140625" style="1" customWidth="1"/>
    <col min="8152" max="8152" width="17.28515625" style="1" customWidth="1"/>
    <col min="8153" max="8153" width="24.85546875" style="1" bestFit="1" customWidth="1"/>
    <col min="8154" max="8154" width="19" style="1" bestFit="1" customWidth="1"/>
    <col min="8155" max="8403" width="11.42578125" style="1"/>
    <col min="8404" max="8404" width="4.28515625" style="1" customWidth="1"/>
    <col min="8405" max="8405" width="74.7109375" style="1" customWidth="1"/>
    <col min="8406" max="8406" width="8.7109375" style="1" customWidth="1"/>
    <col min="8407" max="8407" width="14.140625" style="1" customWidth="1"/>
    <col min="8408" max="8408" width="17.28515625" style="1" customWidth="1"/>
    <col min="8409" max="8409" width="24.85546875" style="1" bestFit="1" customWidth="1"/>
    <col min="8410" max="8410" width="19" style="1" bestFit="1" customWidth="1"/>
    <col min="8411" max="8659" width="11.42578125" style="1"/>
    <col min="8660" max="8660" width="4.28515625" style="1" customWidth="1"/>
    <col min="8661" max="8661" width="74.7109375" style="1" customWidth="1"/>
    <col min="8662" max="8662" width="8.7109375" style="1" customWidth="1"/>
    <col min="8663" max="8663" width="14.140625" style="1" customWidth="1"/>
    <col min="8664" max="8664" width="17.28515625" style="1" customWidth="1"/>
    <col min="8665" max="8665" width="24.85546875" style="1" bestFit="1" customWidth="1"/>
    <col min="8666" max="8666" width="19" style="1" bestFit="1" customWidth="1"/>
    <col min="8667" max="8915" width="11.42578125" style="1"/>
    <col min="8916" max="8916" width="4.28515625" style="1" customWidth="1"/>
    <col min="8917" max="8917" width="74.7109375" style="1" customWidth="1"/>
    <col min="8918" max="8918" width="8.7109375" style="1" customWidth="1"/>
    <col min="8919" max="8919" width="14.140625" style="1" customWidth="1"/>
    <col min="8920" max="8920" width="17.28515625" style="1" customWidth="1"/>
    <col min="8921" max="8921" width="24.85546875" style="1" bestFit="1" customWidth="1"/>
    <col min="8922" max="8922" width="19" style="1" bestFit="1" customWidth="1"/>
    <col min="8923" max="9171" width="11.42578125" style="1"/>
    <col min="9172" max="9172" width="4.28515625" style="1" customWidth="1"/>
    <col min="9173" max="9173" width="74.7109375" style="1" customWidth="1"/>
    <col min="9174" max="9174" width="8.7109375" style="1" customWidth="1"/>
    <col min="9175" max="9175" width="14.140625" style="1" customWidth="1"/>
    <col min="9176" max="9176" width="17.28515625" style="1" customWidth="1"/>
    <col min="9177" max="9177" width="24.85546875" style="1" bestFit="1" customWidth="1"/>
    <col min="9178" max="9178" width="19" style="1" bestFit="1" customWidth="1"/>
    <col min="9179" max="9427" width="11.42578125" style="1"/>
    <col min="9428" max="9428" width="4.28515625" style="1" customWidth="1"/>
    <col min="9429" max="9429" width="74.7109375" style="1" customWidth="1"/>
    <col min="9430" max="9430" width="8.7109375" style="1" customWidth="1"/>
    <col min="9431" max="9431" width="14.140625" style="1" customWidth="1"/>
    <col min="9432" max="9432" width="17.28515625" style="1" customWidth="1"/>
    <col min="9433" max="9433" width="24.85546875" style="1" bestFit="1" customWidth="1"/>
    <col min="9434" max="9434" width="19" style="1" bestFit="1" customWidth="1"/>
    <col min="9435" max="9683" width="11.42578125" style="1"/>
    <col min="9684" max="9684" width="4.28515625" style="1" customWidth="1"/>
    <col min="9685" max="9685" width="74.7109375" style="1" customWidth="1"/>
    <col min="9686" max="9686" width="8.7109375" style="1" customWidth="1"/>
    <col min="9687" max="9687" width="14.140625" style="1" customWidth="1"/>
    <col min="9688" max="9688" width="17.28515625" style="1" customWidth="1"/>
    <col min="9689" max="9689" width="24.85546875" style="1" bestFit="1" customWidth="1"/>
    <col min="9690" max="9690" width="19" style="1" bestFit="1" customWidth="1"/>
    <col min="9691" max="9939" width="11.42578125" style="1"/>
    <col min="9940" max="9940" width="4.28515625" style="1" customWidth="1"/>
    <col min="9941" max="9941" width="74.7109375" style="1" customWidth="1"/>
    <col min="9942" max="9942" width="8.7109375" style="1" customWidth="1"/>
    <col min="9943" max="9943" width="14.140625" style="1" customWidth="1"/>
    <col min="9944" max="9944" width="17.28515625" style="1" customWidth="1"/>
    <col min="9945" max="9945" width="24.85546875" style="1" bestFit="1" customWidth="1"/>
    <col min="9946" max="9946" width="19" style="1" bestFit="1" customWidth="1"/>
    <col min="9947" max="10195" width="11.42578125" style="1"/>
    <col min="10196" max="10196" width="4.28515625" style="1" customWidth="1"/>
    <col min="10197" max="10197" width="74.7109375" style="1" customWidth="1"/>
    <col min="10198" max="10198" width="8.7109375" style="1" customWidth="1"/>
    <col min="10199" max="10199" width="14.140625" style="1" customWidth="1"/>
    <col min="10200" max="10200" width="17.28515625" style="1" customWidth="1"/>
    <col min="10201" max="10201" width="24.85546875" style="1" bestFit="1" customWidth="1"/>
    <col min="10202" max="10202" width="19" style="1" bestFit="1" customWidth="1"/>
    <col min="10203" max="10451" width="11.42578125" style="1"/>
    <col min="10452" max="10452" width="4.28515625" style="1" customWidth="1"/>
    <col min="10453" max="10453" width="74.7109375" style="1" customWidth="1"/>
    <col min="10454" max="10454" width="8.7109375" style="1" customWidth="1"/>
    <col min="10455" max="10455" width="14.140625" style="1" customWidth="1"/>
    <col min="10456" max="10456" width="17.28515625" style="1" customWidth="1"/>
    <col min="10457" max="10457" width="24.85546875" style="1" bestFit="1" customWidth="1"/>
    <col min="10458" max="10458" width="19" style="1" bestFit="1" customWidth="1"/>
    <col min="10459" max="10707" width="11.42578125" style="1"/>
    <col min="10708" max="10708" width="4.28515625" style="1" customWidth="1"/>
    <col min="10709" max="10709" width="74.7109375" style="1" customWidth="1"/>
    <col min="10710" max="10710" width="8.7109375" style="1" customWidth="1"/>
    <col min="10711" max="10711" width="14.140625" style="1" customWidth="1"/>
    <col min="10712" max="10712" width="17.28515625" style="1" customWidth="1"/>
    <col min="10713" max="10713" width="24.85546875" style="1" bestFit="1" customWidth="1"/>
    <col min="10714" max="10714" width="19" style="1" bestFit="1" customWidth="1"/>
    <col min="10715" max="10963" width="11.42578125" style="1"/>
    <col min="10964" max="10964" width="4.28515625" style="1" customWidth="1"/>
    <col min="10965" max="10965" width="74.7109375" style="1" customWidth="1"/>
    <col min="10966" max="10966" width="8.7109375" style="1" customWidth="1"/>
    <col min="10967" max="10967" width="14.140625" style="1" customWidth="1"/>
    <col min="10968" max="10968" width="17.28515625" style="1" customWidth="1"/>
    <col min="10969" max="10969" width="24.85546875" style="1" bestFit="1" customWidth="1"/>
    <col min="10970" max="10970" width="19" style="1" bestFit="1" customWidth="1"/>
    <col min="10971" max="11219" width="11.42578125" style="1"/>
    <col min="11220" max="11220" width="4.28515625" style="1" customWidth="1"/>
    <col min="11221" max="11221" width="74.7109375" style="1" customWidth="1"/>
    <col min="11222" max="11222" width="8.7109375" style="1" customWidth="1"/>
    <col min="11223" max="11223" width="14.140625" style="1" customWidth="1"/>
    <col min="11224" max="11224" width="17.28515625" style="1" customWidth="1"/>
    <col min="11225" max="11225" width="24.85546875" style="1" bestFit="1" customWidth="1"/>
    <col min="11226" max="11226" width="19" style="1" bestFit="1" customWidth="1"/>
    <col min="11227" max="11475" width="11.42578125" style="1"/>
    <col min="11476" max="11476" width="4.28515625" style="1" customWidth="1"/>
    <col min="11477" max="11477" width="74.7109375" style="1" customWidth="1"/>
    <col min="11478" max="11478" width="8.7109375" style="1" customWidth="1"/>
    <col min="11479" max="11479" width="14.140625" style="1" customWidth="1"/>
    <col min="11480" max="11480" width="17.28515625" style="1" customWidth="1"/>
    <col min="11481" max="11481" width="24.85546875" style="1" bestFit="1" customWidth="1"/>
    <col min="11482" max="11482" width="19" style="1" bestFit="1" customWidth="1"/>
    <col min="11483" max="11731" width="11.42578125" style="1"/>
    <col min="11732" max="11732" width="4.28515625" style="1" customWidth="1"/>
    <col min="11733" max="11733" width="74.7109375" style="1" customWidth="1"/>
    <col min="11734" max="11734" width="8.7109375" style="1" customWidth="1"/>
    <col min="11735" max="11735" width="14.140625" style="1" customWidth="1"/>
    <col min="11736" max="11736" width="17.28515625" style="1" customWidth="1"/>
    <col min="11737" max="11737" width="24.85546875" style="1" bestFit="1" customWidth="1"/>
    <col min="11738" max="11738" width="19" style="1" bestFit="1" customWidth="1"/>
    <col min="11739" max="11987" width="11.42578125" style="1"/>
    <col min="11988" max="11988" width="4.28515625" style="1" customWidth="1"/>
    <col min="11989" max="11989" width="74.7109375" style="1" customWidth="1"/>
    <col min="11990" max="11990" width="8.7109375" style="1" customWidth="1"/>
    <col min="11991" max="11991" width="14.140625" style="1" customWidth="1"/>
    <col min="11992" max="11992" width="17.28515625" style="1" customWidth="1"/>
    <col min="11993" max="11993" width="24.85546875" style="1" bestFit="1" customWidth="1"/>
    <col min="11994" max="11994" width="19" style="1" bestFit="1" customWidth="1"/>
    <col min="11995" max="12243" width="11.42578125" style="1"/>
    <col min="12244" max="12244" width="4.28515625" style="1" customWidth="1"/>
    <col min="12245" max="12245" width="74.7109375" style="1" customWidth="1"/>
    <col min="12246" max="12246" width="8.7109375" style="1" customWidth="1"/>
    <col min="12247" max="12247" width="14.140625" style="1" customWidth="1"/>
    <col min="12248" max="12248" width="17.28515625" style="1" customWidth="1"/>
    <col min="12249" max="12249" width="24.85546875" style="1" bestFit="1" customWidth="1"/>
    <col min="12250" max="12250" width="19" style="1" bestFit="1" customWidth="1"/>
    <col min="12251" max="12499" width="11.42578125" style="1"/>
    <col min="12500" max="12500" width="4.28515625" style="1" customWidth="1"/>
    <col min="12501" max="12501" width="74.7109375" style="1" customWidth="1"/>
    <col min="12502" max="12502" width="8.7109375" style="1" customWidth="1"/>
    <col min="12503" max="12503" width="14.140625" style="1" customWidth="1"/>
    <col min="12504" max="12504" width="17.28515625" style="1" customWidth="1"/>
    <col min="12505" max="12505" width="24.85546875" style="1" bestFit="1" customWidth="1"/>
    <col min="12506" max="12506" width="19" style="1" bestFit="1" customWidth="1"/>
    <col min="12507" max="12755" width="11.42578125" style="1"/>
    <col min="12756" max="12756" width="4.28515625" style="1" customWidth="1"/>
    <col min="12757" max="12757" width="74.7109375" style="1" customWidth="1"/>
    <col min="12758" max="12758" width="8.7109375" style="1" customWidth="1"/>
    <col min="12759" max="12759" width="14.140625" style="1" customWidth="1"/>
    <col min="12760" max="12760" width="17.28515625" style="1" customWidth="1"/>
    <col min="12761" max="12761" width="24.85546875" style="1" bestFit="1" customWidth="1"/>
    <col min="12762" max="12762" width="19" style="1" bestFit="1" customWidth="1"/>
    <col min="12763" max="13011" width="11.42578125" style="1"/>
    <col min="13012" max="13012" width="4.28515625" style="1" customWidth="1"/>
    <col min="13013" max="13013" width="74.7109375" style="1" customWidth="1"/>
    <col min="13014" max="13014" width="8.7109375" style="1" customWidth="1"/>
    <col min="13015" max="13015" width="14.140625" style="1" customWidth="1"/>
    <col min="13016" max="13016" width="17.28515625" style="1" customWidth="1"/>
    <col min="13017" max="13017" width="24.85546875" style="1" bestFit="1" customWidth="1"/>
    <col min="13018" max="13018" width="19" style="1" bestFit="1" customWidth="1"/>
    <col min="13019" max="13267" width="11.42578125" style="1"/>
    <col min="13268" max="13268" width="4.28515625" style="1" customWidth="1"/>
    <col min="13269" max="13269" width="74.7109375" style="1" customWidth="1"/>
    <col min="13270" max="13270" width="8.7109375" style="1" customWidth="1"/>
    <col min="13271" max="13271" width="14.140625" style="1" customWidth="1"/>
    <col min="13272" max="13272" width="17.28515625" style="1" customWidth="1"/>
    <col min="13273" max="13273" width="24.85546875" style="1" bestFit="1" customWidth="1"/>
    <col min="13274" max="13274" width="19" style="1" bestFit="1" customWidth="1"/>
    <col min="13275" max="13523" width="11.42578125" style="1"/>
    <col min="13524" max="13524" width="4.28515625" style="1" customWidth="1"/>
    <col min="13525" max="13525" width="74.7109375" style="1" customWidth="1"/>
    <col min="13526" max="13526" width="8.7109375" style="1" customWidth="1"/>
    <col min="13527" max="13527" width="14.140625" style="1" customWidth="1"/>
    <col min="13528" max="13528" width="17.28515625" style="1" customWidth="1"/>
    <col min="13529" max="13529" width="24.85546875" style="1" bestFit="1" customWidth="1"/>
    <col min="13530" max="13530" width="19" style="1" bestFit="1" customWidth="1"/>
    <col min="13531" max="13779" width="11.42578125" style="1"/>
    <col min="13780" max="13780" width="4.28515625" style="1" customWidth="1"/>
    <col min="13781" max="13781" width="74.7109375" style="1" customWidth="1"/>
    <col min="13782" max="13782" width="8.7109375" style="1" customWidth="1"/>
    <col min="13783" max="13783" width="14.140625" style="1" customWidth="1"/>
    <col min="13784" max="13784" width="17.28515625" style="1" customWidth="1"/>
    <col min="13785" max="13785" width="24.85546875" style="1" bestFit="1" customWidth="1"/>
    <col min="13786" max="13786" width="19" style="1" bestFit="1" customWidth="1"/>
    <col min="13787" max="14035" width="11.42578125" style="1"/>
    <col min="14036" max="14036" width="4.28515625" style="1" customWidth="1"/>
    <col min="14037" max="14037" width="74.7109375" style="1" customWidth="1"/>
    <col min="14038" max="14038" width="8.7109375" style="1" customWidth="1"/>
    <col min="14039" max="14039" width="14.140625" style="1" customWidth="1"/>
    <col min="14040" max="14040" width="17.28515625" style="1" customWidth="1"/>
    <col min="14041" max="14041" width="24.85546875" style="1" bestFit="1" customWidth="1"/>
    <col min="14042" max="14042" width="19" style="1" bestFit="1" customWidth="1"/>
    <col min="14043" max="14291" width="11.42578125" style="1"/>
    <col min="14292" max="14292" width="4.28515625" style="1" customWidth="1"/>
    <col min="14293" max="14293" width="74.7109375" style="1" customWidth="1"/>
    <col min="14294" max="14294" width="8.7109375" style="1" customWidth="1"/>
    <col min="14295" max="14295" width="14.140625" style="1" customWidth="1"/>
    <col min="14296" max="14296" width="17.28515625" style="1" customWidth="1"/>
    <col min="14297" max="14297" width="24.85546875" style="1" bestFit="1" customWidth="1"/>
    <col min="14298" max="14298" width="19" style="1" bestFit="1" customWidth="1"/>
    <col min="14299" max="14547" width="11.42578125" style="1"/>
    <col min="14548" max="14548" width="4.28515625" style="1" customWidth="1"/>
    <col min="14549" max="14549" width="74.7109375" style="1" customWidth="1"/>
    <col min="14550" max="14550" width="8.7109375" style="1" customWidth="1"/>
    <col min="14551" max="14551" width="14.140625" style="1" customWidth="1"/>
    <col min="14552" max="14552" width="17.28515625" style="1" customWidth="1"/>
    <col min="14553" max="14553" width="24.85546875" style="1" bestFit="1" customWidth="1"/>
    <col min="14554" max="14554" width="19" style="1" bestFit="1" customWidth="1"/>
    <col min="14555" max="14803" width="11.42578125" style="1"/>
    <col min="14804" max="14804" width="4.28515625" style="1" customWidth="1"/>
    <col min="14805" max="14805" width="74.7109375" style="1" customWidth="1"/>
    <col min="14806" max="14806" width="8.7109375" style="1" customWidth="1"/>
    <col min="14807" max="14807" width="14.140625" style="1" customWidth="1"/>
    <col min="14808" max="14808" width="17.28515625" style="1" customWidth="1"/>
    <col min="14809" max="14809" width="24.85546875" style="1" bestFit="1" customWidth="1"/>
    <col min="14810" max="14810" width="19" style="1" bestFit="1" customWidth="1"/>
    <col min="14811" max="15059" width="11.42578125" style="1"/>
    <col min="15060" max="15060" width="4.28515625" style="1" customWidth="1"/>
    <col min="15061" max="15061" width="74.7109375" style="1" customWidth="1"/>
    <col min="15062" max="15062" width="8.7109375" style="1" customWidth="1"/>
    <col min="15063" max="15063" width="14.140625" style="1" customWidth="1"/>
    <col min="15064" max="15064" width="17.28515625" style="1" customWidth="1"/>
    <col min="15065" max="15065" width="24.85546875" style="1" bestFit="1" customWidth="1"/>
    <col min="15066" max="15066" width="19" style="1" bestFit="1" customWidth="1"/>
    <col min="15067" max="15315" width="11.42578125" style="1"/>
    <col min="15316" max="15316" width="4.28515625" style="1" customWidth="1"/>
    <col min="15317" max="15317" width="74.7109375" style="1" customWidth="1"/>
    <col min="15318" max="15318" width="8.7109375" style="1" customWidth="1"/>
    <col min="15319" max="15319" width="14.140625" style="1" customWidth="1"/>
    <col min="15320" max="15320" width="17.28515625" style="1" customWidth="1"/>
    <col min="15321" max="15321" width="24.85546875" style="1" bestFit="1" customWidth="1"/>
    <col min="15322" max="15322" width="19" style="1" bestFit="1" customWidth="1"/>
    <col min="15323" max="15571" width="11.42578125" style="1"/>
    <col min="15572" max="15572" width="4.28515625" style="1" customWidth="1"/>
    <col min="15573" max="15573" width="74.7109375" style="1" customWidth="1"/>
    <col min="15574" max="15574" width="8.7109375" style="1" customWidth="1"/>
    <col min="15575" max="15575" width="14.140625" style="1" customWidth="1"/>
    <col min="15576" max="15576" width="17.28515625" style="1" customWidth="1"/>
    <col min="15577" max="15577" width="24.85546875" style="1" bestFit="1" customWidth="1"/>
    <col min="15578" max="15578" width="19" style="1" bestFit="1" customWidth="1"/>
    <col min="15579" max="15827" width="11.42578125" style="1"/>
    <col min="15828" max="15828" width="4.28515625" style="1" customWidth="1"/>
    <col min="15829" max="15829" width="74.7109375" style="1" customWidth="1"/>
    <col min="15830" max="15830" width="8.7109375" style="1" customWidth="1"/>
    <col min="15831" max="15831" width="14.140625" style="1" customWidth="1"/>
    <col min="15832" max="15832" width="17.28515625" style="1" customWidth="1"/>
    <col min="15833" max="15833" width="24.85546875" style="1" bestFit="1" customWidth="1"/>
    <col min="15834" max="15834" width="19" style="1" bestFit="1" customWidth="1"/>
    <col min="15835" max="16083" width="11.42578125" style="1"/>
    <col min="16084" max="16084" width="4.28515625" style="1" customWidth="1"/>
    <col min="16085" max="16085" width="74.7109375" style="1" customWidth="1"/>
    <col min="16086" max="16086" width="8.7109375" style="1" customWidth="1"/>
    <col min="16087" max="16087" width="14.140625" style="1" customWidth="1"/>
    <col min="16088" max="16088" width="17.28515625" style="1" customWidth="1"/>
    <col min="16089" max="16089" width="24.85546875" style="1" bestFit="1" customWidth="1"/>
    <col min="16090" max="16090" width="19" style="1" bestFit="1" customWidth="1"/>
    <col min="16091" max="16384" width="11.42578125" style="1"/>
  </cols>
  <sheetData>
    <row r="1" spans="1:170" ht="20.25" x14ac:dyDescent="0.25">
      <c r="A1" s="351" t="s">
        <v>98</v>
      </c>
      <c r="B1" s="351"/>
      <c r="C1" s="351"/>
      <c r="D1" s="351"/>
      <c r="E1" s="351"/>
      <c r="F1" s="351"/>
      <c r="G1" s="351"/>
      <c r="H1" s="351"/>
      <c r="FM1" s="23"/>
      <c r="FN1" s="23"/>
    </row>
    <row r="2" spans="1:170" ht="20.25" x14ac:dyDescent="0.25">
      <c r="A2" s="352" t="s">
        <v>99</v>
      </c>
      <c r="B2" s="352"/>
      <c r="C2" s="352"/>
      <c r="D2" s="352"/>
      <c r="E2" s="352"/>
      <c r="F2" s="352"/>
      <c r="G2" s="352"/>
      <c r="H2" s="352"/>
      <c r="FM2" s="23"/>
      <c r="FN2" s="23"/>
    </row>
    <row r="3" spans="1:170" ht="18" x14ac:dyDescent="0.25">
      <c r="A3" s="353" t="s">
        <v>530</v>
      </c>
      <c r="B3" s="353"/>
      <c r="C3" s="353"/>
      <c r="D3" s="353"/>
      <c r="E3" s="353"/>
      <c r="F3" s="353"/>
      <c r="G3" s="353"/>
      <c r="H3" s="353"/>
      <c r="FM3" s="23"/>
      <c r="FN3" s="23"/>
    </row>
    <row r="4" spans="1:170" ht="15.75" x14ac:dyDescent="0.25">
      <c r="A4" s="42"/>
      <c r="B4" s="43"/>
      <c r="C4" s="43"/>
      <c r="D4" s="43"/>
      <c r="E4" s="43"/>
      <c r="F4" s="43"/>
      <c r="G4" s="43"/>
      <c r="H4" s="43"/>
      <c r="FM4" s="23"/>
      <c r="FN4" s="23"/>
    </row>
    <row r="5" spans="1:170" ht="35.25" customHeight="1" x14ac:dyDescent="0.25">
      <c r="A5" s="354" t="s">
        <v>517</v>
      </c>
      <c r="B5" s="354"/>
      <c r="C5" s="354"/>
      <c r="D5" s="354"/>
      <c r="E5" s="354"/>
      <c r="F5" s="354"/>
      <c r="G5" s="354"/>
      <c r="H5" s="354"/>
      <c r="FM5" s="23"/>
      <c r="FN5" s="23"/>
    </row>
    <row r="6" spans="1:170" ht="18" x14ac:dyDescent="0.25">
      <c r="A6" s="44"/>
      <c r="B6" s="41"/>
      <c r="C6" s="41"/>
      <c r="D6" s="41"/>
      <c r="E6" s="41"/>
      <c r="F6" s="41"/>
      <c r="G6" s="41"/>
      <c r="H6" s="41"/>
      <c r="FM6" s="23"/>
      <c r="FN6" s="23"/>
    </row>
    <row r="7" spans="1:170" ht="18" x14ac:dyDescent="0.25">
      <c r="A7" s="355" t="s">
        <v>175</v>
      </c>
      <c r="B7" s="355"/>
      <c r="C7" s="355"/>
      <c r="D7" s="355"/>
      <c r="E7" s="355"/>
      <c r="F7" s="355"/>
      <c r="G7" s="355"/>
      <c r="H7" s="355"/>
      <c r="FM7" s="23"/>
      <c r="FN7" s="23"/>
    </row>
    <row r="8" spans="1:170" ht="18" x14ac:dyDescent="0.25">
      <c r="A8" s="68"/>
      <c r="B8" s="68"/>
      <c r="C8" s="68"/>
      <c r="D8" s="68"/>
      <c r="E8" s="68"/>
      <c r="F8" s="68"/>
      <c r="G8" s="297"/>
      <c r="H8" s="297"/>
      <c r="FM8" s="23"/>
      <c r="FN8" s="23"/>
    </row>
    <row r="9" spans="1:170" ht="27" customHeight="1" x14ac:dyDescent="0.25">
      <c r="A9" s="347" t="s">
        <v>107</v>
      </c>
      <c r="B9" s="347"/>
      <c r="C9" s="347"/>
      <c r="D9" s="347"/>
      <c r="E9" s="347"/>
      <c r="F9" s="347"/>
      <c r="G9" s="347"/>
      <c r="H9" s="347"/>
      <c r="FM9" s="23"/>
      <c r="FN9" s="23"/>
    </row>
    <row r="10" spans="1:170" ht="12.75" x14ac:dyDescent="0.25">
      <c r="A10" s="356"/>
      <c r="B10" s="356"/>
      <c r="C10" s="356"/>
      <c r="D10" s="356"/>
      <c r="E10" s="356"/>
      <c r="F10" s="356"/>
      <c r="G10" s="298"/>
      <c r="H10" s="298"/>
      <c r="FM10" s="23"/>
      <c r="FN10" s="23"/>
    </row>
    <row r="11" spans="1:170" ht="13.5" customHeight="1" x14ac:dyDescent="0.25">
      <c r="A11" s="357" t="s">
        <v>0</v>
      </c>
      <c r="B11" s="359" t="s">
        <v>1</v>
      </c>
      <c r="C11" s="359" t="s">
        <v>2</v>
      </c>
      <c r="D11" s="360" t="s">
        <v>3</v>
      </c>
      <c r="E11" s="359" t="s">
        <v>110</v>
      </c>
      <c r="F11" s="360" t="s">
        <v>4</v>
      </c>
      <c r="G11" s="359" t="s">
        <v>516</v>
      </c>
      <c r="H11" s="360" t="s">
        <v>4</v>
      </c>
      <c r="FM11" s="23"/>
      <c r="FN11" s="23"/>
    </row>
    <row r="12" spans="1:170" ht="12.75" x14ac:dyDescent="0.25">
      <c r="A12" s="358"/>
      <c r="B12" s="359"/>
      <c r="C12" s="359"/>
      <c r="D12" s="360" t="s">
        <v>3</v>
      </c>
      <c r="E12" s="361"/>
      <c r="F12" s="360"/>
      <c r="G12" s="361"/>
      <c r="H12" s="360"/>
      <c r="FM12" s="23"/>
      <c r="FN12" s="23"/>
    </row>
    <row r="13" spans="1:170" ht="12.75" x14ac:dyDescent="0.25">
      <c r="A13" s="358"/>
      <c r="B13" s="359"/>
      <c r="C13" s="359"/>
      <c r="D13" s="360"/>
      <c r="E13" s="361"/>
      <c r="F13" s="360"/>
      <c r="G13" s="361"/>
      <c r="H13" s="360"/>
      <c r="FM13" s="23"/>
      <c r="FN13" s="23"/>
    </row>
    <row r="14" spans="1:170" ht="12.75" x14ac:dyDescent="0.25">
      <c r="A14" s="362" t="s">
        <v>102</v>
      </c>
      <c r="B14" s="362"/>
      <c r="C14" s="362"/>
      <c r="D14" s="362"/>
      <c r="E14" s="362"/>
      <c r="F14" s="362"/>
      <c r="G14" s="309"/>
      <c r="H14" s="309"/>
    </row>
    <row r="15" spans="1:170" ht="12.75" x14ac:dyDescent="0.25">
      <c r="A15" s="67" t="s">
        <v>10</v>
      </c>
      <c r="B15" s="64" t="s">
        <v>176</v>
      </c>
      <c r="C15" s="65"/>
      <c r="D15" s="65"/>
      <c r="E15" s="65"/>
      <c r="F15" s="65"/>
      <c r="G15" s="65"/>
      <c r="H15" s="65"/>
    </row>
    <row r="16" spans="1:170" ht="12.75" x14ac:dyDescent="0.25">
      <c r="A16" s="300">
        <v>1</v>
      </c>
      <c r="B16" s="73" t="s">
        <v>156</v>
      </c>
      <c r="C16" s="3" t="s">
        <v>159</v>
      </c>
      <c r="D16" s="24">
        <v>1068</v>
      </c>
      <c r="E16" s="5">
        <f>+'1.1'!G47</f>
        <v>29944</v>
      </c>
      <c r="F16" s="5">
        <f>ROUND(D16*E16,0)</f>
        <v>31980192</v>
      </c>
      <c r="G16" s="5"/>
      <c r="H16" s="5">
        <f>ROUND(D16*G16,0)</f>
        <v>0</v>
      </c>
      <c r="L16" s="256"/>
      <c r="N16" s="256"/>
    </row>
    <row r="17" spans="1:14" ht="12.75" x14ac:dyDescent="0.25">
      <c r="A17" s="300">
        <v>2</v>
      </c>
      <c r="B17" s="73" t="s">
        <v>184</v>
      </c>
      <c r="C17" s="3" t="s">
        <v>152</v>
      </c>
      <c r="D17" s="24">
        <v>23935</v>
      </c>
      <c r="E17" s="5">
        <f>+'1.2'!G42</f>
        <v>17797</v>
      </c>
      <c r="F17" s="5">
        <f t="shared" ref="F17:F49" si="0">ROUND(D17*E17,0)</f>
        <v>425971195</v>
      </c>
      <c r="G17" s="5"/>
      <c r="H17" s="5">
        <f t="shared" ref="H17:H23" si="1">ROUND(D17*G17,0)</f>
        <v>0</v>
      </c>
      <c r="L17" s="256"/>
      <c r="N17" s="256"/>
    </row>
    <row r="18" spans="1:14" ht="25.5" x14ac:dyDescent="0.25">
      <c r="A18" s="300">
        <v>3</v>
      </c>
      <c r="B18" s="71" t="s">
        <v>436</v>
      </c>
      <c r="C18" s="3" t="s">
        <v>152</v>
      </c>
      <c r="D18" s="24">
        <v>1506</v>
      </c>
      <c r="E18" s="5">
        <f>+'1.3'!G45</f>
        <v>84246</v>
      </c>
      <c r="F18" s="5">
        <f t="shared" si="0"/>
        <v>126874476</v>
      </c>
      <c r="G18" s="5"/>
      <c r="H18" s="5">
        <f t="shared" si="1"/>
        <v>0</v>
      </c>
      <c r="L18" s="256"/>
      <c r="N18" s="256"/>
    </row>
    <row r="19" spans="1:14" ht="25.5" x14ac:dyDescent="0.25">
      <c r="A19" s="300">
        <v>4</v>
      </c>
      <c r="B19" s="72" t="s">
        <v>185</v>
      </c>
      <c r="C19" s="3" t="s">
        <v>152</v>
      </c>
      <c r="D19" s="24">
        <v>1512</v>
      </c>
      <c r="E19" s="5">
        <f>+'1.4'!G47</f>
        <v>118196</v>
      </c>
      <c r="F19" s="5">
        <f t="shared" si="0"/>
        <v>178712352</v>
      </c>
      <c r="G19" s="5"/>
      <c r="H19" s="5">
        <f t="shared" si="1"/>
        <v>0</v>
      </c>
      <c r="L19" s="256"/>
      <c r="N19" s="256"/>
    </row>
    <row r="20" spans="1:14" ht="25.5" x14ac:dyDescent="0.25">
      <c r="A20" s="300">
        <v>5</v>
      </c>
      <c r="B20" s="72" t="s">
        <v>186</v>
      </c>
      <c r="C20" s="3" t="s">
        <v>152</v>
      </c>
      <c r="D20" s="24">
        <v>1727</v>
      </c>
      <c r="E20" s="5">
        <f>+'1.5'!G46</f>
        <v>142546</v>
      </c>
      <c r="F20" s="5">
        <f t="shared" si="0"/>
        <v>246176942</v>
      </c>
      <c r="G20" s="5"/>
      <c r="H20" s="5">
        <f t="shared" si="1"/>
        <v>0</v>
      </c>
      <c r="L20" s="256"/>
      <c r="N20" s="256"/>
    </row>
    <row r="21" spans="1:14" ht="12.75" x14ac:dyDescent="0.25">
      <c r="A21" s="300">
        <v>6</v>
      </c>
      <c r="B21" s="73" t="s">
        <v>187</v>
      </c>
      <c r="C21" s="3" t="s">
        <v>159</v>
      </c>
      <c r="D21" s="24">
        <v>348</v>
      </c>
      <c r="E21" s="5">
        <f>+'1.6'!G51</f>
        <v>579055</v>
      </c>
      <c r="F21" s="5">
        <f t="shared" si="0"/>
        <v>201511140</v>
      </c>
      <c r="G21" s="5"/>
      <c r="H21" s="5">
        <f t="shared" si="1"/>
        <v>0</v>
      </c>
      <c r="L21" s="256"/>
      <c r="N21" s="256"/>
    </row>
    <row r="22" spans="1:14" ht="25.5" x14ac:dyDescent="0.25">
      <c r="A22" s="300">
        <v>7</v>
      </c>
      <c r="B22" s="72" t="s">
        <v>188</v>
      </c>
      <c r="C22" s="3" t="s">
        <v>159</v>
      </c>
      <c r="D22" s="24">
        <v>1068</v>
      </c>
      <c r="E22" s="5">
        <f>+'1.7'!G45</f>
        <v>242237</v>
      </c>
      <c r="F22" s="5">
        <f t="shared" si="0"/>
        <v>258709116</v>
      </c>
      <c r="G22" s="5"/>
      <c r="H22" s="5">
        <f t="shared" si="1"/>
        <v>0</v>
      </c>
      <c r="L22" s="256"/>
      <c r="N22" s="256"/>
    </row>
    <row r="23" spans="1:14" ht="12.75" x14ac:dyDescent="0.25">
      <c r="A23" s="300">
        <v>8</v>
      </c>
      <c r="B23" s="73" t="s">
        <v>189</v>
      </c>
      <c r="C23" s="3" t="s">
        <v>153</v>
      </c>
      <c r="D23" s="24">
        <v>4557</v>
      </c>
      <c r="E23" s="5">
        <f>+'1.8'!G45</f>
        <v>20668</v>
      </c>
      <c r="F23" s="5">
        <f t="shared" si="0"/>
        <v>94184076</v>
      </c>
      <c r="G23" s="5"/>
      <c r="H23" s="5">
        <f t="shared" si="1"/>
        <v>0</v>
      </c>
      <c r="L23" s="256"/>
      <c r="N23" s="256"/>
    </row>
    <row r="24" spans="1:14" ht="12.75" x14ac:dyDescent="0.25">
      <c r="A24" s="67" t="s">
        <v>10</v>
      </c>
      <c r="B24" s="64" t="s">
        <v>177</v>
      </c>
      <c r="C24" s="65"/>
      <c r="D24" s="65"/>
      <c r="E24" s="65"/>
      <c r="F24" s="65"/>
      <c r="G24" s="65"/>
      <c r="H24" s="65"/>
      <c r="L24" s="256"/>
      <c r="N24" s="256"/>
    </row>
    <row r="25" spans="1:14" ht="12.75" x14ac:dyDescent="0.25">
      <c r="A25" s="300">
        <v>9</v>
      </c>
      <c r="B25" s="72" t="s">
        <v>190</v>
      </c>
      <c r="C25" s="3" t="s">
        <v>152</v>
      </c>
      <c r="D25" s="24">
        <v>31</v>
      </c>
      <c r="E25" s="5">
        <f>+'1.9'!G50</f>
        <v>608711</v>
      </c>
      <c r="F25" s="5">
        <f t="shared" si="0"/>
        <v>18870041</v>
      </c>
      <c r="G25" s="5"/>
      <c r="H25" s="5">
        <f>ROUND(D25*G25,0)</f>
        <v>0</v>
      </c>
      <c r="L25" s="256"/>
      <c r="N25" s="256"/>
    </row>
    <row r="26" spans="1:14" ht="12.75" x14ac:dyDescent="0.25">
      <c r="A26" s="67" t="s">
        <v>29</v>
      </c>
      <c r="B26" s="64" t="s">
        <v>179</v>
      </c>
      <c r="C26" s="65"/>
      <c r="D26" s="65"/>
      <c r="E26" s="65"/>
      <c r="F26" s="65"/>
      <c r="G26" s="65"/>
      <c r="H26" s="65"/>
      <c r="L26" s="256"/>
      <c r="N26" s="256"/>
    </row>
    <row r="27" spans="1:14" ht="12.75" x14ac:dyDescent="0.25">
      <c r="A27" s="300">
        <v>10</v>
      </c>
      <c r="B27" s="73" t="s">
        <v>526</v>
      </c>
      <c r="C27" s="3" t="s">
        <v>153</v>
      </c>
      <c r="D27" s="24">
        <v>10320</v>
      </c>
      <c r="E27" s="5">
        <f>+'10'!G46</f>
        <v>22123</v>
      </c>
      <c r="F27" s="5">
        <f t="shared" si="0"/>
        <v>228309360</v>
      </c>
      <c r="G27" s="5"/>
      <c r="H27" s="5">
        <f t="shared" ref="H27:H28" si="2">ROUND(D27*G27,0)</f>
        <v>0</v>
      </c>
      <c r="L27" s="256"/>
      <c r="N27" s="256"/>
    </row>
    <row r="28" spans="1:14" ht="12.75" x14ac:dyDescent="0.25">
      <c r="A28" s="300">
        <v>11</v>
      </c>
      <c r="B28" s="73" t="s">
        <v>191</v>
      </c>
      <c r="C28" s="3" t="s">
        <v>152</v>
      </c>
      <c r="D28" s="24">
        <v>28481</v>
      </c>
      <c r="E28" s="5">
        <f>+'11'!G47</f>
        <v>68902</v>
      </c>
      <c r="F28" s="5">
        <f t="shared" si="0"/>
        <v>1962397862</v>
      </c>
      <c r="G28" s="5"/>
      <c r="H28" s="5">
        <f t="shared" si="2"/>
        <v>0</v>
      </c>
      <c r="L28" s="256"/>
      <c r="N28" s="256"/>
    </row>
    <row r="29" spans="1:14" ht="12.75" x14ac:dyDescent="0.25">
      <c r="A29" s="67" t="s">
        <v>31</v>
      </c>
      <c r="B29" s="64" t="s">
        <v>180</v>
      </c>
      <c r="C29" s="65"/>
      <c r="D29" s="65"/>
      <c r="E29" s="65"/>
      <c r="F29" s="65"/>
      <c r="G29" s="65"/>
      <c r="H29" s="65"/>
      <c r="L29" s="256"/>
      <c r="N29" s="256"/>
    </row>
    <row r="30" spans="1:14" ht="25.5" x14ac:dyDescent="0.2">
      <c r="A30" s="300">
        <v>12</v>
      </c>
      <c r="B30" s="222" t="s">
        <v>455</v>
      </c>
      <c r="C30" s="3" t="s">
        <v>159</v>
      </c>
      <c r="D30" s="24">
        <v>1117</v>
      </c>
      <c r="E30" s="5">
        <f>+'12-34'!G52</f>
        <v>273110</v>
      </c>
      <c r="F30" s="5">
        <f t="shared" si="0"/>
        <v>305063870</v>
      </c>
      <c r="G30" s="5"/>
      <c r="H30" s="5">
        <f>ROUND(D30*G30,0)</f>
        <v>0</v>
      </c>
      <c r="L30" s="256"/>
      <c r="N30" s="256"/>
    </row>
    <row r="31" spans="1:14" ht="12.75" x14ac:dyDescent="0.25">
      <c r="A31" s="67" t="s">
        <v>33</v>
      </c>
      <c r="B31" s="64" t="s">
        <v>181</v>
      </c>
      <c r="C31" s="65"/>
      <c r="D31" s="65"/>
      <c r="E31" s="65"/>
      <c r="F31" s="65"/>
      <c r="G31" s="65"/>
      <c r="H31" s="65"/>
      <c r="L31" s="256"/>
      <c r="N31" s="256"/>
    </row>
    <row r="32" spans="1:14" ht="12.75" x14ac:dyDescent="0.25">
      <c r="A32" s="300">
        <v>13</v>
      </c>
      <c r="B32" s="73" t="s">
        <v>192</v>
      </c>
      <c r="C32" s="3" t="s">
        <v>152</v>
      </c>
      <c r="D32" s="24">
        <v>270</v>
      </c>
      <c r="E32" s="5">
        <f>+'13'!G47</f>
        <v>251725</v>
      </c>
      <c r="F32" s="5">
        <f t="shared" si="0"/>
        <v>67965750</v>
      </c>
      <c r="G32" s="5"/>
      <c r="H32" s="5">
        <f t="shared" ref="H32:H35" si="3">ROUND(D32*G32,0)</f>
        <v>0</v>
      </c>
      <c r="L32" s="256"/>
      <c r="N32" s="256"/>
    </row>
    <row r="33" spans="1:14" ht="12.75" x14ac:dyDescent="0.25">
      <c r="A33" s="300">
        <v>14</v>
      </c>
      <c r="B33" s="73" t="s">
        <v>193</v>
      </c>
      <c r="C33" s="3" t="s">
        <v>152</v>
      </c>
      <c r="D33" s="24">
        <v>490</v>
      </c>
      <c r="E33" s="5">
        <f>+'14'!G50</f>
        <v>1052162</v>
      </c>
      <c r="F33" s="5">
        <f t="shared" si="0"/>
        <v>515559380</v>
      </c>
      <c r="G33" s="5"/>
      <c r="H33" s="5">
        <f t="shared" si="3"/>
        <v>0</v>
      </c>
      <c r="L33" s="256"/>
      <c r="N33" s="256"/>
    </row>
    <row r="34" spans="1:14" ht="12.75" x14ac:dyDescent="0.25">
      <c r="A34" s="300">
        <v>15</v>
      </c>
      <c r="B34" s="73" t="s">
        <v>194</v>
      </c>
      <c r="C34" s="3" t="s">
        <v>152</v>
      </c>
      <c r="D34" s="24">
        <v>64</v>
      </c>
      <c r="E34" s="5">
        <f>+'15'!G46</f>
        <v>244195</v>
      </c>
      <c r="F34" s="5">
        <f t="shared" si="0"/>
        <v>15628480</v>
      </c>
      <c r="G34" s="5"/>
      <c r="H34" s="5">
        <f t="shared" si="3"/>
        <v>0</v>
      </c>
      <c r="L34" s="256"/>
      <c r="N34" s="256"/>
    </row>
    <row r="35" spans="1:14" ht="12.75" x14ac:dyDescent="0.25">
      <c r="A35" s="300">
        <v>16</v>
      </c>
      <c r="B35" s="73" t="s">
        <v>195</v>
      </c>
      <c r="C35" s="3" t="s">
        <v>159</v>
      </c>
      <c r="D35" s="24">
        <v>218</v>
      </c>
      <c r="E35" s="5">
        <f>+'16'!G47</f>
        <v>33875</v>
      </c>
      <c r="F35" s="5">
        <f t="shared" si="0"/>
        <v>7384750</v>
      </c>
      <c r="G35" s="5"/>
      <c r="H35" s="5">
        <f t="shared" si="3"/>
        <v>0</v>
      </c>
      <c r="L35" s="256"/>
      <c r="N35" s="256"/>
    </row>
    <row r="36" spans="1:14" ht="12.75" x14ac:dyDescent="0.25">
      <c r="A36" s="67" t="s">
        <v>34</v>
      </c>
      <c r="B36" s="64" t="s">
        <v>178</v>
      </c>
      <c r="C36" s="64"/>
      <c r="D36" s="65"/>
      <c r="E36" s="65"/>
      <c r="F36" s="65"/>
      <c r="G36" s="65"/>
      <c r="H36" s="65"/>
      <c r="L36" s="256"/>
      <c r="N36" s="256"/>
    </row>
    <row r="37" spans="1:14" ht="12.75" x14ac:dyDescent="0.25">
      <c r="A37" s="300">
        <v>17</v>
      </c>
      <c r="B37" s="73" t="s">
        <v>196</v>
      </c>
      <c r="C37" s="3" t="s">
        <v>153</v>
      </c>
      <c r="D37" s="24">
        <v>35368</v>
      </c>
      <c r="E37" s="5">
        <f>+'17'!G44</f>
        <v>3046</v>
      </c>
      <c r="F37" s="5">
        <f t="shared" si="0"/>
        <v>107730928</v>
      </c>
      <c r="G37" s="5"/>
      <c r="H37" s="5">
        <f t="shared" ref="H37:H49" si="4">ROUND(D37*G37,0)</f>
        <v>0</v>
      </c>
      <c r="L37" s="256"/>
      <c r="N37" s="256"/>
    </row>
    <row r="38" spans="1:14" ht="12.75" x14ac:dyDescent="0.25">
      <c r="A38" s="300">
        <v>18</v>
      </c>
      <c r="B38" s="73" t="s">
        <v>197</v>
      </c>
      <c r="C38" s="299" t="s">
        <v>154</v>
      </c>
      <c r="D38" s="24">
        <v>150777</v>
      </c>
      <c r="E38" s="5">
        <f>+'18'!G46</f>
        <v>4421</v>
      </c>
      <c r="F38" s="5">
        <f t="shared" si="0"/>
        <v>666585117</v>
      </c>
      <c r="G38" s="5"/>
      <c r="H38" s="5">
        <f t="shared" si="4"/>
        <v>0</v>
      </c>
      <c r="L38" s="256"/>
      <c r="N38" s="256"/>
    </row>
    <row r="39" spans="1:14" ht="12.75" x14ac:dyDescent="0.25">
      <c r="A39" s="300">
        <v>19</v>
      </c>
      <c r="B39" s="73" t="s">
        <v>198</v>
      </c>
      <c r="C39" s="299" t="s">
        <v>152</v>
      </c>
      <c r="D39" s="24">
        <v>3208</v>
      </c>
      <c r="E39" s="5">
        <f>+'19'!G47</f>
        <v>79725</v>
      </c>
      <c r="F39" s="5">
        <f t="shared" si="0"/>
        <v>255757800</v>
      </c>
      <c r="G39" s="5"/>
      <c r="H39" s="5">
        <f t="shared" si="4"/>
        <v>0</v>
      </c>
      <c r="L39" s="256"/>
      <c r="N39" s="256"/>
    </row>
    <row r="40" spans="1:14" ht="12.75" x14ac:dyDescent="0.25">
      <c r="A40" s="300">
        <v>20</v>
      </c>
      <c r="B40" s="73" t="s">
        <v>199</v>
      </c>
      <c r="C40" s="299" t="s">
        <v>153</v>
      </c>
      <c r="D40" s="24">
        <v>8816</v>
      </c>
      <c r="E40" s="5">
        <f>+'20'!G47</f>
        <v>83762</v>
      </c>
      <c r="F40" s="5">
        <f t="shared" si="0"/>
        <v>738445792</v>
      </c>
      <c r="G40" s="5"/>
      <c r="H40" s="5">
        <f t="shared" si="4"/>
        <v>0</v>
      </c>
      <c r="L40" s="256"/>
      <c r="N40" s="256"/>
    </row>
    <row r="41" spans="1:14" ht="12.75" x14ac:dyDescent="0.25">
      <c r="A41" s="300">
        <v>21</v>
      </c>
      <c r="B41" s="73" t="s">
        <v>200</v>
      </c>
      <c r="C41" s="299" t="s">
        <v>153</v>
      </c>
      <c r="D41" s="24">
        <v>8816</v>
      </c>
      <c r="E41" s="5">
        <f>+'21'!G48</f>
        <v>199090</v>
      </c>
      <c r="F41" s="5">
        <f t="shared" si="0"/>
        <v>1755177440</v>
      </c>
      <c r="G41" s="5"/>
      <c r="H41" s="5">
        <f t="shared" si="4"/>
        <v>0</v>
      </c>
      <c r="L41" s="256"/>
      <c r="N41" s="256"/>
    </row>
    <row r="42" spans="1:14" ht="12.75" x14ac:dyDescent="0.25">
      <c r="A42" s="300">
        <v>22</v>
      </c>
      <c r="B42" s="73" t="s">
        <v>201</v>
      </c>
      <c r="C42" s="299" t="s">
        <v>159</v>
      </c>
      <c r="D42" s="24">
        <v>5099</v>
      </c>
      <c r="E42" s="5">
        <f>+'22'!G53</f>
        <v>297239</v>
      </c>
      <c r="F42" s="5">
        <f t="shared" si="0"/>
        <v>1515621661</v>
      </c>
      <c r="G42" s="5"/>
      <c r="H42" s="5">
        <f t="shared" si="4"/>
        <v>0</v>
      </c>
      <c r="L42" s="256"/>
      <c r="N42" s="256"/>
    </row>
    <row r="43" spans="1:14" ht="12.75" x14ac:dyDescent="0.25">
      <c r="A43" s="300">
        <v>23</v>
      </c>
      <c r="B43" s="73" t="s">
        <v>202</v>
      </c>
      <c r="C43" s="299" t="s">
        <v>182</v>
      </c>
      <c r="D43" s="24">
        <v>924</v>
      </c>
      <c r="E43" s="5">
        <f>+'23'!G54</f>
        <v>295933</v>
      </c>
      <c r="F43" s="5">
        <f t="shared" si="0"/>
        <v>273442092</v>
      </c>
      <c r="G43" s="5"/>
      <c r="H43" s="5">
        <f t="shared" si="4"/>
        <v>0</v>
      </c>
      <c r="L43" s="256"/>
      <c r="N43" s="256"/>
    </row>
    <row r="44" spans="1:14" ht="12.75" x14ac:dyDescent="0.25">
      <c r="A44" s="300">
        <v>24</v>
      </c>
      <c r="B44" s="73" t="s">
        <v>203</v>
      </c>
      <c r="C44" s="299" t="s">
        <v>159</v>
      </c>
      <c r="D44" s="24">
        <v>352</v>
      </c>
      <c r="E44" s="5">
        <f>+'24'!G56</f>
        <v>541886</v>
      </c>
      <c r="F44" s="5">
        <f t="shared" si="0"/>
        <v>190743872</v>
      </c>
      <c r="G44" s="5"/>
      <c r="H44" s="5">
        <f t="shared" si="4"/>
        <v>0</v>
      </c>
      <c r="L44" s="256"/>
      <c r="N44" s="256"/>
    </row>
    <row r="45" spans="1:14" ht="12.75" x14ac:dyDescent="0.25">
      <c r="A45" s="300">
        <v>25</v>
      </c>
      <c r="B45" s="73" t="s">
        <v>204</v>
      </c>
      <c r="C45" s="299" t="s">
        <v>159</v>
      </c>
      <c r="D45" s="24">
        <v>434</v>
      </c>
      <c r="E45" s="5">
        <f>+'25'!G50</f>
        <v>2410509</v>
      </c>
      <c r="F45" s="5">
        <f t="shared" si="0"/>
        <v>1046160906</v>
      </c>
      <c r="G45" s="5"/>
      <c r="H45" s="5">
        <f t="shared" si="4"/>
        <v>0</v>
      </c>
      <c r="L45" s="256"/>
      <c r="N45" s="256"/>
    </row>
    <row r="46" spans="1:14" ht="12.75" x14ac:dyDescent="0.25">
      <c r="A46" s="300">
        <v>26</v>
      </c>
      <c r="B46" s="73" t="s">
        <v>205</v>
      </c>
      <c r="C46" s="299" t="s">
        <v>152</v>
      </c>
      <c r="D46" s="24">
        <v>1018</v>
      </c>
      <c r="E46" s="5">
        <f>+'26'!G44</f>
        <v>742319</v>
      </c>
      <c r="F46" s="5">
        <f t="shared" si="0"/>
        <v>755680742</v>
      </c>
      <c r="G46" s="5"/>
      <c r="H46" s="5">
        <f t="shared" si="4"/>
        <v>0</v>
      </c>
      <c r="L46" s="256"/>
      <c r="N46" s="256"/>
    </row>
    <row r="47" spans="1:14" ht="12.75" x14ac:dyDescent="0.25">
      <c r="A47" s="300">
        <v>27</v>
      </c>
      <c r="B47" s="73" t="s">
        <v>206</v>
      </c>
      <c r="C47" s="299" t="s">
        <v>183</v>
      </c>
      <c r="D47" s="24">
        <v>119</v>
      </c>
      <c r="E47" s="5">
        <f>+'27'!G44</f>
        <v>1100000</v>
      </c>
      <c r="F47" s="5">
        <f t="shared" si="0"/>
        <v>130900000</v>
      </c>
      <c r="G47" s="5"/>
      <c r="H47" s="5">
        <f t="shared" si="4"/>
        <v>0</v>
      </c>
      <c r="L47" s="256"/>
      <c r="N47" s="256"/>
    </row>
    <row r="48" spans="1:14" ht="12.75" x14ac:dyDescent="0.25">
      <c r="A48" s="300">
        <v>28</v>
      </c>
      <c r="B48" s="73" t="s">
        <v>207</v>
      </c>
      <c r="C48" s="299" t="s">
        <v>182</v>
      </c>
      <c r="D48" s="24">
        <v>104</v>
      </c>
      <c r="E48" s="5">
        <f>+'28'!G46</f>
        <v>724200</v>
      </c>
      <c r="F48" s="5">
        <f t="shared" si="0"/>
        <v>75316800</v>
      </c>
      <c r="G48" s="5"/>
      <c r="H48" s="5">
        <f t="shared" si="4"/>
        <v>0</v>
      </c>
      <c r="L48" s="256"/>
      <c r="N48" s="256"/>
    </row>
    <row r="49" spans="1:14" ht="12.75" x14ac:dyDescent="0.25">
      <c r="A49" s="300">
        <v>29</v>
      </c>
      <c r="B49" s="73" t="s">
        <v>208</v>
      </c>
      <c r="C49" s="299" t="s">
        <v>159</v>
      </c>
      <c r="D49" s="24">
        <v>501</v>
      </c>
      <c r="E49" s="5">
        <f>+'29'!G51</f>
        <v>2594201</v>
      </c>
      <c r="F49" s="5">
        <f t="shared" si="0"/>
        <v>1299694701</v>
      </c>
      <c r="G49" s="5"/>
      <c r="H49" s="5">
        <f t="shared" si="4"/>
        <v>0</v>
      </c>
      <c r="L49" s="256"/>
      <c r="N49" s="256"/>
    </row>
    <row r="50" spans="1:14" ht="12.75" x14ac:dyDescent="0.25">
      <c r="A50" s="345" t="s">
        <v>103</v>
      </c>
      <c r="B50" s="345"/>
      <c r="C50" s="345"/>
      <c r="D50" s="345"/>
      <c r="E50" s="345"/>
      <c r="F50" s="253">
        <f>SUM(F16:F49)</f>
        <v>13496556833</v>
      </c>
      <c r="G50" s="253"/>
      <c r="H50" s="253">
        <f>SUM(H16:H49)</f>
        <v>0</v>
      </c>
      <c r="N50" s="256"/>
    </row>
    <row r="51" spans="1:14" ht="12.75" x14ac:dyDescent="0.25">
      <c r="A51" s="363" t="s">
        <v>71</v>
      </c>
      <c r="B51" s="363"/>
      <c r="C51" s="363"/>
      <c r="D51" s="363"/>
      <c r="E51" s="363"/>
      <c r="F51" s="363"/>
      <c r="G51" s="310"/>
      <c r="H51" s="310"/>
    </row>
    <row r="52" spans="1:14" ht="12.75" x14ac:dyDescent="0.25">
      <c r="A52" s="300">
        <v>30</v>
      </c>
      <c r="B52" s="250" t="s">
        <v>475</v>
      </c>
      <c r="C52" s="254" t="s">
        <v>109</v>
      </c>
      <c r="D52" s="255">
        <v>1</v>
      </c>
      <c r="E52" s="66">
        <v>70000000</v>
      </c>
      <c r="F52" s="5">
        <f t="shared" ref="F52:F61" si="5">ROUND(D52*E52,0)</f>
        <v>70000000</v>
      </c>
      <c r="G52" s="5"/>
      <c r="H52" s="5">
        <f t="shared" ref="H52:H61" si="6">ROUND(D52*G52,0)</f>
        <v>0</v>
      </c>
    </row>
    <row r="53" spans="1:14" ht="12.75" x14ac:dyDescent="0.25">
      <c r="A53" s="283">
        <v>31</v>
      </c>
      <c r="B53" s="250" t="s">
        <v>476</v>
      </c>
      <c r="C53" s="254" t="s">
        <v>149</v>
      </c>
      <c r="D53" s="255">
        <v>10395</v>
      </c>
      <c r="E53" s="66">
        <f>+'1.31'!G48</f>
        <v>238461</v>
      </c>
      <c r="F53" s="5">
        <f t="shared" si="5"/>
        <v>2478802095</v>
      </c>
      <c r="G53" s="5"/>
      <c r="H53" s="5">
        <f t="shared" si="6"/>
        <v>0</v>
      </c>
    </row>
    <row r="54" spans="1:14" ht="12.75" x14ac:dyDescent="0.25">
      <c r="A54" s="322">
        <v>32</v>
      </c>
      <c r="B54" s="2" t="s">
        <v>6</v>
      </c>
      <c r="C54" s="3" t="s">
        <v>109</v>
      </c>
      <c r="D54" s="24">
        <v>1</v>
      </c>
      <c r="E54" s="5">
        <v>80000000</v>
      </c>
      <c r="F54" s="5">
        <f t="shared" si="5"/>
        <v>80000000</v>
      </c>
      <c r="G54" s="5"/>
      <c r="H54" s="5">
        <f t="shared" si="6"/>
        <v>0</v>
      </c>
      <c r="I54" s="261" t="s">
        <v>483</v>
      </c>
    </row>
    <row r="55" spans="1:14" ht="12.75" x14ac:dyDescent="0.25">
      <c r="A55" s="283">
        <v>33</v>
      </c>
      <c r="B55" s="2" t="s">
        <v>7</v>
      </c>
      <c r="C55" s="3" t="s">
        <v>109</v>
      </c>
      <c r="D55" s="24">
        <v>1</v>
      </c>
      <c r="E55" s="5">
        <v>8000000</v>
      </c>
      <c r="F55" s="5">
        <f t="shared" si="5"/>
        <v>8000000</v>
      </c>
      <c r="G55" s="5"/>
      <c r="H55" s="5">
        <f t="shared" si="6"/>
        <v>0</v>
      </c>
      <c r="I55" s="261"/>
    </row>
    <row r="56" spans="1:14" ht="12.75" x14ac:dyDescent="0.25">
      <c r="A56" s="322">
        <v>34</v>
      </c>
      <c r="B56" s="2" t="s">
        <v>113</v>
      </c>
      <c r="C56" s="6" t="s">
        <v>114</v>
      </c>
      <c r="D56" s="24">
        <v>25000</v>
      </c>
      <c r="E56" s="5">
        <f>+'1.34'!G50</f>
        <v>361275</v>
      </c>
      <c r="F56" s="5">
        <f t="shared" si="5"/>
        <v>9031875000</v>
      </c>
      <c r="G56" s="5"/>
      <c r="H56" s="5">
        <f t="shared" si="6"/>
        <v>0</v>
      </c>
    </row>
    <row r="57" spans="1:14" ht="12.75" x14ac:dyDescent="0.25">
      <c r="A57" s="283">
        <v>35</v>
      </c>
      <c r="B57" s="2" t="s">
        <v>472</v>
      </c>
      <c r="C57" s="6" t="s">
        <v>116</v>
      </c>
      <c r="D57" s="24">
        <v>21000</v>
      </c>
      <c r="E57" s="5">
        <f>+'1.35'!G44</f>
        <v>168000</v>
      </c>
      <c r="F57" s="5">
        <f t="shared" si="5"/>
        <v>3528000000</v>
      </c>
      <c r="G57" s="5"/>
      <c r="H57" s="5">
        <f t="shared" si="6"/>
        <v>0</v>
      </c>
    </row>
    <row r="58" spans="1:14" ht="12.75" x14ac:dyDescent="0.25">
      <c r="A58" s="322">
        <v>36</v>
      </c>
      <c r="B58" s="2" t="s">
        <v>510</v>
      </c>
      <c r="C58" s="6" t="s">
        <v>114</v>
      </c>
      <c r="D58" s="24">
        <v>50000</v>
      </c>
      <c r="E58" s="5">
        <f>+'1.36'!G43</f>
        <v>9002</v>
      </c>
      <c r="F58" s="5">
        <f t="shared" si="5"/>
        <v>450100000</v>
      </c>
      <c r="G58" s="5"/>
      <c r="H58" s="5">
        <f t="shared" si="6"/>
        <v>0</v>
      </c>
    </row>
    <row r="59" spans="1:14" ht="12.75" x14ac:dyDescent="0.25">
      <c r="A59" s="283">
        <v>37</v>
      </c>
      <c r="B59" s="2" t="s">
        <v>514</v>
      </c>
      <c r="C59" s="6" t="s">
        <v>114</v>
      </c>
      <c r="D59" s="24">
        <v>1000</v>
      </c>
      <c r="E59" s="5">
        <f>+'1.37'!G44</f>
        <v>287223</v>
      </c>
      <c r="F59" s="5">
        <f t="shared" si="5"/>
        <v>287223000</v>
      </c>
      <c r="G59" s="5"/>
      <c r="H59" s="5">
        <f t="shared" si="6"/>
        <v>0</v>
      </c>
    </row>
    <row r="60" spans="1:14" ht="12.75" x14ac:dyDescent="0.25">
      <c r="A60" s="322">
        <v>38</v>
      </c>
      <c r="B60" s="2" t="s">
        <v>87</v>
      </c>
      <c r="C60" s="6" t="s">
        <v>114</v>
      </c>
      <c r="D60" s="24">
        <v>1000</v>
      </c>
      <c r="E60" s="5">
        <f>+'1.38'!G55</f>
        <v>499393</v>
      </c>
      <c r="F60" s="5">
        <f t="shared" si="5"/>
        <v>499393000</v>
      </c>
      <c r="G60" s="5"/>
      <c r="H60" s="5">
        <f t="shared" si="6"/>
        <v>0</v>
      </c>
    </row>
    <row r="61" spans="1:14" ht="12.75" x14ac:dyDescent="0.25">
      <c r="A61" s="283">
        <v>39</v>
      </c>
      <c r="B61" s="2" t="s">
        <v>130</v>
      </c>
      <c r="C61" s="6" t="s">
        <v>109</v>
      </c>
      <c r="D61" s="24">
        <v>1</v>
      </c>
      <c r="E61" s="5">
        <v>115000000</v>
      </c>
      <c r="F61" s="5">
        <f t="shared" si="5"/>
        <v>115000000</v>
      </c>
      <c r="G61" s="5"/>
      <c r="H61" s="5">
        <f t="shared" si="6"/>
        <v>0</v>
      </c>
      <c r="I61" s="261" t="s">
        <v>483</v>
      </c>
    </row>
    <row r="62" spans="1:14" ht="12.75" x14ac:dyDescent="0.25">
      <c r="A62" s="345" t="s">
        <v>9</v>
      </c>
      <c r="B62" s="345"/>
      <c r="C62" s="345"/>
      <c r="D62" s="345"/>
      <c r="E62" s="345"/>
      <c r="F62" s="314">
        <f>SUM(F52:F61)</f>
        <v>16548393095</v>
      </c>
      <c r="G62" s="5"/>
      <c r="H62" s="314">
        <f>SUM(H52:H61)</f>
        <v>0</v>
      </c>
    </row>
    <row r="63" spans="1:14" ht="25.5" customHeight="1" x14ac:dyDescent="0.25">
      <c r="A63" s="363" t="s">
        <v>468</v>
      </c>
      <c r="B63" s="363"/>
      <c r="C63" s="363"/>
      <c r="D63" s="363"/>
      <c r="E63" s="363"/>
      <c r="F63" s="363"/>
      <c r="G63" s="310"/>
      <c r="H63" s="310"/>
    </row>
    <row r="64" spans="1:14" ht="29.25" customHeight="1" x14ac:dyDescent="0.25">
      <c r="A64" s="300">
        <v>40</v>
      </c>
      <c r="B64" s="2" t="s">
        <v>160</v>
      </c>
      <c r="C64" s="6" t="s">
        <v>109</v>
      </c>
      <c r="D64" s="4">
        <v>1</v>
      </c>
      <c r="E64" s="5">
        <v>500000000</v>
      </c>
      <c r="F64" s="5">
        <f t="shared" ref="F64" si="7">ROUND(D64*E64,0)</f>
        <v>500000000</v>
      </c>
      <c r="G64" s="5"/>
      <c r="H64" s="5">
        <f t="shared" ref="H64" si="8">ROUND(D64*G64,0)</f>
        <v>0</v>
      </c>
      <c r="I64" s="261" t="s">
        <v>483</v>
      </c>
    </row>
    <row r="65" spans="1:170" ht="12.75" x14ac:dyDescent="0.25">
      <c r="A65" s="345" t="s">
        <v>72</v>
      </c>
      <c r="B65" s="345"/>
      <c r="C65" s="345"/>
      <c r="D65" s="345"/>
      <c r="E65" s="345"/>
      <c r="F65" s="314">
        <f>+SUM(F64:F64)</f>
        <v>500000000</v>
      </c>
      <c r="G65" s="5"/>
      <c r="H65" s="314">
        <f>+SUM(H64:H64)</f>
        <v>0</v>
      </c>
    </row>
    <row r="66" spans="1:170" ht="12.75" x14ac:dyDescent="0.25">
      <c r="A66" s="363" t="s">
        <v>469</v>
      </c>
      <c r="B66" s="363"/>
      <c r="C66" s="363"/>
      <c r="D66" s="363"/>
      <c r="E66" s="363"/>
      <c r="F66" s="363"/>
      <c r="G66" s="310"/>
      <c r="H66" s="310"/>
    </row>
    <row r="67" spans="1:170" ht="12.75" x14ac:dyDescent="0.25">
      <c r="A67" s="300">
        <v>41</v>
      </c>
      <c r="B67" s="315" t="s">
        <v>161</v>
      </c>
      <c r="C67" s="316" t="s">
        <v>109</v>
      </c>
      <c r="D67" s="24">
        <v>1</v>
      </c>
      <c r="E67" s="5">
        <v>5500000000</v>
      </c>
      <c r="F67" s="5">
        <f t="shared" ref="F67" si="9">ROUND(D67*E67,0)</f>
        <v>5500000000</v>
      </c>
      <c r="G67" s="5"/>
      <c r="H67" s="5">
        <f t="shared" ref="H67" si="10">ROUND(D67*G67,0)</f>
        <v>0</v>
      </c>
      <c r="I67" s="261" t="s">
        <v>483</v>
      </c>
    </row>
    <row r="68" spans="1:170" s="23" customFormat="1" ht="12.75" x14ac:dyDescent="0.25">
      <c r="A68" s="345" t="s">
        <v>121</v>
      </c>
      <c r="B68" s="345"/>
      <c r="C68" s="345"/>
      <c r="D68" s="345"/>
      <c r="E68" s="345"/>
      <c r="F68" s="314">
        <f>+F67</f>
        <v>5500000000</v>
      </c>
      <c r="G68" s="5"/>
      <c r="H68" s="314">
        <f>+H67</f>
        <v>0</v>
      </c>
      <c r="FM68" s="1"/>
      <c r="FN68" s="1"/>
    </row>
    <row r="69" spans="1:170" ht="16.5" customHeight="1" x14ac:dyDescent="0.25">
      <c r="A69" s="363" t="s">
        <v>470</v>
      </c>
      <c r="B69" s="363"/>
      <c r="C69" s="363"/>
      <c r="D69" s="363"/>
      <c r="E69" s="363"/>
      <c r="F69" s="363"/>
      <c r="G69" s="310"/>
      <c r="H69" s="310"/>
    </row>
    <row r="70" spans="1:170" ht="12.75" x14ac:dyDescent="0.25">
      <c r="A70" s="300">
        <v>42</v>
      </c>
      <c r="B70" s="2" t="s">
        <v>520</v>
      </c>
      <c r="C70" s="300" t="s">
        <v>114</v>
      </c>
      <c r="D70" s="24">
        <v>500</v>
      </c>
      <c r="E70" s="24">
        <v>80000</v>
      </c>
      <c r="F70" s="5">
        <f t="shared" ref="F70:F71" si="11">ROUND(D70*E70,0)</f>
        <v>40000000</v>
      </c>
      <c r="G70" s="5"/>
      <c r="H70" s="5">
        <f t="shared" ref="H70:H71" si="12">ROUND(D70*G70,0)</f>
        <v>0</v>
      </c>
    </row>
    <row r="71" spans="1:170" ht="12.75" x14ac:dyDescent="0.25">
      <c r="A71" s="300">
        <v>43</v>
      </c>
      <c r="B71" s="2" t="s">
        <v>134</v>
      </c>
      <c r="C71" s="300" t="s">
        <v>114</v>
      </c>
      <c r="D71" s="24">
        <v>600</v>
      </c>
      <c r="E71" s="24">
        <v>400000</v>
      </c>
      <c r="F71" s="5">
        <f t="shared" si="11"/>
        <v>240000000</v>
      </c>
      <c r="G71" s="5"/>
      <c r="H71" s="5">
        <f t="shared" si="12"/>
        <v>0</v>
      </c>
    </row>
    <row r="72" spans="1:170" s="23" customFormat="1" ht="12.75" x14ac:dyDescent="0.25">
      <c r="A72" s="345" t="s">
        <v>132</v>
      </c>
      <c r="B72" s="345"/>
      <c r="C72" s="345"/>
      <c r="D72" s="345"/>
      <c r="E72" s="345"/>
      <c r="F72" s="314">
        <f>+SUM(F70:F71)</f>
        <v>280000000</v>
      </c>
      <c r="G72" s="5"/>
      <c r="H72" s="314">
        <f>+SUM(H70:H71)</f>
        <v>0</v>
      </c>
      <c r="FM72" s="1"/>
      <c r="FN72" s="1"/>
    </row>
    <row r="73" spans="1:170" s="23" customFormat="1" ht="12.75" x14ac:dyDescent="0.25">
      <c r="A73" s="362" t="s">
        <v>471</v>
      </c>
      <c r="B73" s="362"/>
      <c r="C73" s="362"/>
      <c r="D73" s="362"/>
      <c r="E73" s="362"/>
      <c r="F73" s="362"/>
      <c r="G73" s="309"/>
      <c r="H73" s="309"/>
      <c r="FM73" s="1"/>
      <c r="FN73" s="1"/>
    </row>
    <row r="74" spans="1:170" s="23" customFormat="1" ht="12.75" x14ac:dyDescent="0.25">
      <c r="A74" s="300">
        <v>44</v>
      </c>
      <c r="B74" s="317" t="s">
        <v>169</v>
      </c>
      <c r="C74" s="6" t="s">
        <v>73</v>
      </c>
      <c r="D74" s="24">
        <v>1</v>
      </c>
      <c r="E74" s="5">
        <v>1000000000</v>
      </c>
      <c r="F74" s="5">
        <f t="shared" ref="F74" si="13">ROUNDUP(D74*E74,0)</f>
        <v>1000000000</v>
      </c>
      <c r="G74" s="5"/>
      <c r="H74" s="5">
        <f t="shared" ref="H74" si="14">ROUND(D74*G74,0)</f>
        <v>0</v>
      </c>
      <c r="I74" s="261" t="s">
        <v>483</v>
      </c>
      <c r="J74" s="256"/>
      <c r="FM74" s="1"/>
      <c r="FN74" s="1"/>
    </row>
    <row r="75" spans="1:170" s="23" customFormat="1" ht="12.75" x14ac:dyDescent="0.25">
      <c r="A75" s="345" t="s">
        <v>170</v>
      </c>
      <c r="B75" s="345"/>
      <c r="C75" s="345"/>
      <c r="D75" s="345"/>
      <c r="E75" s="345"/>
      <c r="F75" s="5">
        <f>+F74</f>
        <v>1000000000</v>
      </c>
      <c r="G75" s="5"/>
      <c r="H75" s="5">
        <f>+H74</f>
        <v>0</v>
      </c>
      <c r="FM75" s="1"/>
      <c r="FN75" s="1"/>
    </row>
    <row r="76" spans="1:170" s="23" customFormat="1" ht="41.25" customHeight="1" x14ac:dyDescent="0.25">
      <c r="A76" s="365" t="s">
        <v>473</v>
      </c>
      <c r="B76" s="365"/>
      <c r="C76" s="365"/>
      <c r="D76" s="365"/>
      <c r="E76" s="365"/>
      <c r="F76" s="9">
        <f>+F62+F65+F68+F72+F50+F75</f>
        <v>37324949928</v>
      </c>
      <c r="G76" s="9"/>
      <c r="H76" s="9">
        <f>+H62+H65+H68+H72+H50+H75</f>
        <v>0</v>
      </c>
      <c r="FM76" s="1"/>
      <c r="FN76" s="1"/>
    </row>
    <row r="77" spans="1:170" s="23" customFormat="1" ht="16.5" x14ac:dyDescent="0.25">
      <c r="A77" s="365" t="s">
        <v>12</v>
      </c>
      <c r="B77" s="365"/>
      <c r="C77" s="365"/>
      <c r="D77" s="365"/>
      <c r="E77" s="365"/>
      <c r="F77" s="9">
        <f>+F76</f>
        <v>37324949928</v>
      </c>
      <c r="G77" s="9"/>
      <c r="H77" s="9">
        <f>+H76</f>
        <v>0</v>
      </c>
      <c r="FM77" s="1"/>
      <c r="FN77" s="1"/>
    </row>
    <row r="78" spans="1:170" s="23" customFormat="1" ht="16.5" x14ac:dyDescent="0.25">
      <c r="A78" s="365" t="s">
        <v>521</v>
      </c>
      <c r="B78" s="365"/>
      <c r="C78" s="365"/>
      <c r="D78" s="365"/>
      <c r="E78" s="365"/>
      <c r="F78" s="9">
        <f>+ROUND(F77*0.19*$D$84,0)</f>
        <v>354587024</v>
      </c>
      <c r="G78" s="9"/>
      <c r="H78" s="9">
        <f>+ROUND(H77*0.16*$D$84,0)</f>
        <v>0</v>
      </c>
      <c r="FM78" s="1"/>
      <c r="FN78" s="1"/>
    </row>
    <row r="79" spans="1:170" s="23" customFormat="1" ht="16.5" x14ac:dyDescent="0.25">
      <c r="A79" s="365" t="s">
        <v>14</v>
      </c>
      <c r="B79" s="365"/>
      <c r="C79" s="365"/>
      <c r="D79" s="365"/>
      <c r="E79" s="365"/>
      <c r="F79" s="9">
        <f>+F77+F78</f>
        <v>37679536952</v>
      </c>
      <c r="G79" s="9"/>
      <c r="H79" s="9">
        <f>+H77+H78</f>
        <v>0</v>
      </c>
      <c r="FM79" s="1"/>
      <c r="FN79" s="1"/>
    </row>
    <row r="80" spans="1:170" s="23" customFormat="1" ht="16.5" customHeight="1" x14ac:dyDescent="0.25">
      <c r="A80" s="335" t="s">
        <v>15</v>
      </c>
      <c r="B80" s="335"/>
      <c r="C80" s="335"/>
      <c r="D80" s="335"/>
      <c r="E80" s="335"/>
      <c r="F80" s="10">
        <f>+F79+E85</f>
        <v>47010774433</v>
      </c>
      <c r="G80" s="10"/>
      <c r="H80" s="10">
        <f>+H79+H85</f>
        <v>0</v>
      </c>
      <c r="FM80" s="1"/>
      <c r="FN80" s="1"/>
    </row>
    <row r="81" spans="1:170" s="23" customFormat="1" ht="12.75" x14ac:dyDescent="0.25">
      <c r="A81" s="346" t="s">
        <v>1</v>
      </c>
      <c r="B81" s="346"/>
      <c r="C81" s="346"/>
      <c r="D81" s="11" t="s">
        <v>16</v>
      </c>
      <c r="E81" s="11"/>
      <c r="F81" s="305" t="s">
        <v>17</v>
      </c>
      <c r="G81" s="11"/>
      <c r="H81" s="11"/>
      <c r="FM81" s="1"/>
      <c r="FN81" s="1"/>
    </row>
    <row r="82" spans="1:170" s="23" customFormat="1" ht="16.5" x14ac:dyDescent="0.25">
      <c r="A82" s="336" t="s">
        <v>18</v>
      </c>
      <c r="B82" s="336"/>
      <c r="C82" s="12" t="s">
        <v>19</v>
      </c>
      <c r="D82" s="13">
        <v>0.15</v>
      </c>
      <c r="E82" s="337">
        <f>+ROUND($F$77*D82,0)</f>
        <v>5598742489</v>
      </c>
      <c r="F82" s="364"/>
      <c r="G82" s="13"/>
      <c r="H82" s="311">
        <f>+ROUND($H$77*G82,0)</f>
        <v>0</v>
      </c>
      <c r="FM82" s="1"/>
      <c r="FN82" s="1"/>
    </row>
    <row r="83" spans="1:170" s="23" customFormat="1" ht="16.5" x14ac:dyDescent="0.25">
      <c r="A83" s="336" t="s">
        <v>20</v>
      </c>
      <c r="B83" s="336"/>
      <c r="C83" s="12" t="s">
        <v>21</v>
      </c>
      <c r="D83" s="13">
        <v>0.05</v>
      </c>
      <c r="E83" s="337">
        <f>ROUND($F$77*D83,0)</f>
        <v>1866247496</v>
      </c>
      <c r="F83" s="364"/>
      <c r="G83" s="13"/>
      <c r="H83" s="311">
        <f>+ROUND($H$77*G83,0)</f>
        <v>0</v>
      </c>
      <c r="FM83" s="1"/>
      <c r="FN83" s="1"/>
    </row>
    <row r="84" spans="1:170" s="23" customFormat="1" ht="15" customHeight="1" x14ac:dyDescent="0.25">
      <c r="A84" s="336" t="s">
        <v>22</v>
      </c>
      <c r="B84" s="336"/>
      <c r="C84" s="12" t="s">
        <v>23</v>
      </c>
      <c r="D84" s="13">
        <v>0.05</v>
      </c>
      <c r="E84" s="337">
        <f>ROUND($F$77*D84,0)</f>
        <v>1866247496</v>
      </c>
      <c r="F84" s="364"/>
      <c r="G84" s="13"/>
      <c r="H84" s="311">
        <f>+ROUND($H$77*G84,0)</f>
        <v>0</v>
      </c>
      <c r="FM84" s="1"/>
      <c r="FN84" s="1"/>
    </row>
    <row r="85" spans="1:170" s="23" customFormat="1" ht="15" customHeight="1" x14ac:dyDescent="0.25">
      <c r="A85" s="336" t="s">
        <v>24</v>
      </c>
      <c r="B85" s="336"/>
      <c r="C85" s="12" t="s">
        <v>25</v>
      </c>
      <c r="D85" s="13">
        <f>SUM(D82:D84)</f>
        <v>0.25</v>
      </c>
      <c r="E85" s="337">
        <f>SUM(E82:F84)</f>
        <v>9331237481</v>
      </c>
      <c r="F85" s="364"/>
      <c r="G85" s="13">
        <f>SUM(G82:G84)</f>
        <v>0</v>
      </c>
      <c r="H85" s="311">
        <f>SUM(H82:H84)</f>
        <v>0</v>
      </c>
      <c r="FM85" s="1"/>
      <c r="FN85" s="1"/>
    </row>
    <row r="86" spans="1:170" ht="15" customHeight="1" x14ac:dyDescent="0.25">
      <c r="A86" s="339" t="s">
        <v>171</v>
      </c>
      <c r="B86" s="340"/>
      <c r="C86" s="340"/>
      <c r="D86" s="340"/>
      <c r="E86" s="340"/>
      <c r="F86" s="340"/>
      <c r="G86" s="310"/>
      <c r="H86" s="310"/>
    </row>
    <row r="87" spans="1:170" ht="15" customHeight="1" x14ac:dyDescent="0.25">
      <c r="A87" s="67" t="s">
        <v>5</v>
      </c>
      <c r="B87" s="14" t="s">
        <v>27</v>
      </c>
      <c r="C87" s="15" t="s">
        <v>74</v>
      </c>
      <c r="D87" s="16" t="s">
        <v>3</v>
      </c>
      <c r="E87" s="29" t="s">
        <v>110</v>
      </c>
      <c r="F87" s="306" t="s">
        <v>4</v>
      </c>
      <c r="G87" s="17" t="str">
        <f>+G11</f>
        <v>VALOR UNITARIO OFERTADO</v>
      </c>
      <c r="H87" s="17" t="str">
        <f>+F87</f>
        <v>VALOR TOTAL</v>
      </c>
    </row>
    <row r="88" spans="1:170" ht="15" customHeight="1" x14ac:dyDescent="0.25">
      <c r="A88" s="69">
        <v>45</v>
      </c>
      <c r="B88" s="2" t="s">
        <v>104</v>
      </c>
      <c r="C88" s="69" t="s">
        <v>8</v>
      </c>
      <c r="D88" s="55">
        <v>1</v>
      </c>
      <c r="E88" s="5">
        <v>11145472</v>
      </c>
      <c r="F88" s="302">
        <f t="shared" ref="F88:F96" si="15">ROUND(D88*E88,0)</f>
        <v>11145472</v>
      </c>
      <c r="G88" s="5"/>
      <c r="H88" s="5">
        <f t="shared" ref="H88:H96" si="16">ROUND(D88*G88,0)</f>
        <v>0</v>
      </c>
    </row>
    <row r="89" spans="1:170" ht="12.75" x14ac:dyDescent="0.25">
      <c r="A89" s="69">
        <v>46</v>
      </c>
      <c r="B89" s="2" t="s">
        <v>122</v>
      </c>
      <c r="C89" s="69" t="s">
        <v>8</v>
      </c>
      <c r="D89" s="55">
        <v>2</v>
      </c>
      <c r="E89" s="5">
        <v>7244557</v>
      </c>
      <c r="F89" s="302">
        <f t="shared" si="15"/>
        <v>14489114</v>
      </c>
      <c r="G89" s="5"/>
      <c r="H89" s="5">
        <f t="shared" si="16"/>
        <v>0</v>
      </c>
    </row>
    <row r="90" spans="1:170" ht="12.75" x14ac:dyDescent="0.25">
      <c r="A90" s="322">
        <v>47</v>
      </c>
      <c r="B90" s="2" t="s">
        <v>123</v>
      </c>
      <c r="C90" s="69" t="s">
        <v>8</v>
      </c>
      <c r="D90" s="55">
        <v>2</v>
      </c>
      <c r="E90" s="5">
        <v>1913018</v>
      </c>
      <c r="F90" s="302">
        <f t="shared" si="15"/>
        <v>3826036</v>
      </c>
      <c r="G90" s="5"/>
      <c r="H90" s="5">
        <f t="shared" si="16"/>
        <v>0</v>
      </c>
    </row>
    <row r="91" spans="1:170" ht="12.75" x14ac:dyDescent="0.25">
      <c r="A91" s="322">
        <v>48</v>
      </c>
      <c r="B91" s="2" t="s">
        <v>97</v>
      </c>
      <c r="C91" s="69" t="s">
        <v>8</v>
      </c>
      <c r="D91" s="55">
        <v>4</v>
      </c>
      <c r="E91" s="5">
        <v>1337457</v>
      </c>
      <c r="F91" s="302">
        <f t="shared" si="15"/>
        <v>5349828</v>
      </c>
      <c r="G91" s="5"/>
      <c r="H91" s="5">
        <f t="shared" si="16"/>
        <v>0</v>
      </c>
    </row>
    <row r="92" spans="1:170" ht="12.75" x14ac:dyDescent="0.25">
      <c r="A92" s="322">
        <v>49</v>
      </c>
      <c r="B92" s="2" t="s">
        <v>75</v>
      </c>
      <c r="C92" s="69" t="s">
        <v>8</v>
      </c>
      <c r="D92" s="55">
        <v>14</v>
      </c>
      <c r="E92" s="5">
        <v>1458000</v>
      </c>
      <c r="F92" s="302">
        <f t="shared" si="15"/>
        <v>20412000</v>
      </c>
      <c r="G92" s="5"/>
      <c r="H92" s="5">
        <f t="shared" si="16"/>
        <v>0</v>
      </c>
    </row>
    <row r="93" spans="1:170" ht="12.75" x14ac:dyDescent="0.25">
      <c r="A93" s="322">
        <v>50</v>
      </c>
      <c r="B93" s="2" t="s">
        <v>519</v>
      </c>
      <c r="C93" s="6" t="s">
        <v>8</v>
      </c>
      <c r="D93" s="55">
        <v>140</v>
      </c>
      <c r="E93" s="5">
        <v>892160</v>
      </c>
      <c r="F93" s="302">
        <f t="shared" si="15"/>
        <v>124902400</v>
      </c>
      <c r="G93" s="5"/>
      <c r="H93" s="5">
        <f t="shared" si="16"/>
        <v>0</v>
      </c>
    </row>
    <row r="94" spans="1:170" ht="12.75" x14ac:dyDescent="0.25">
      <c r="A94" s="322">
        <v>51</v>
      </c>
      <c r="B94" s="2" t="s">
        <v>125</v>
      </c>
      <c r="C94" s="6" t="s">
        <v>8</v>
      </c>
      <c r="D94" s="55">
        <v>3</v>
      </c>
      <c r="E94" s="5">
        <v>1114547</v>
      </c>
      <c r="F94" s="302">
        <f t="shared" si="15"/>
        <v>3343641</v>
      </c>
      <c r="G94" s="5"/>
      <c r="H94" s="5">
        <f t="shared" si="16"/>
        <v>0</v>
      </c>
    </row>
    <row r="95" spans="1:170" ht="12.75" x14ac:dyDescent="0.25">
      <c r="A95" s="322">
        <v>52</v>
      </c>
      <c r="B95" s="2" t="s">
        <v>164</v>
      </c>
      <c r="C95" s="6" t="s">
        <v>8</v>
      </c>
      <c r="D95" s="55">
        <v>1</v>
      </c>
      <c r="E95" s="5">
        <v>2229095</v>
      </c>
      <c r="F95" s="302">
        <f t="shared" si="15"/>
        <v>2229095</v>
      </c>
      <c r="G95" s="5"/>
      <c r="H95" s="5">
        <f t="shared" si="16"/>
        <v>0</v>
      </c>
    </row>
    <row r="96" spans="1:170" ht="12.75" x14ac:dyDescent="0.25">
      <c r="A96" s="322">
        <v>53</v>
      </c>
      <c r="B96" s="2" t="s">
        <v>127</v>
      </c>
      <c r="C96" s="69" t="s">
        <v>8</v>
      </c>
      <c r="D96" s="55">
        <v>2</v>
      </c>
      <c r="E96" s="5">
        <v>1114547</v>
      </c>
      <c r="F96" s="302">
        <f t="shared" si="15"/>
        <v>2229094</v>
      </c>
      <c r="G96" s="5"/>
      <c r="H96" s="5">
        <f t="shared" si="16"/>
        <v>0</v>
      </c>
    </row>
    <row r="97" spans="1:170" ht="12.75" x14ac:dyDescent="0.25">
      <c r="A97" s="67" t="s">
        <v>10</v>
      </c>
      <c r="B97" s="14" t="s">
        <v>28</v>
      </c>
      <c r="C97" s="18"/>
      <c r="D97" s="53"/>
      <c r="E97" s="17"/>
      <c r="F97" s="306"/>
      <c r="G97" s="17"/>
      <c r="H97" s="17"/>
    </row>
    <row r="98" spans="1:170" s="23" customFormat="1" ht="12.75" x14ac:dyDescent="0.25">
      <c r="A98" s="69">
        <v>54</v>
      </c>
      <c r="B98" s="2" t="s">
        <v>76</v>
      </c>
      <c r="C98" s="69" t="s">
        <v>8</v>
      </c>
      <c r="D98" s="55">
        <v>4</v>
      </c>
      <c r="E98" s="5">
        <v>4352000</v>
      </c>
      <c r="F98" s="302">
        <f t="shared" ref="F98:F99" si="17">ROUND(D98*E98,0)</f>
        <v>17408000</v>
      </c>
      <c r="G98" s="5"/>
      <c r="H98" s="5">
        <f t="shared" ref="H98:H99" si="18">ROUND(D98*G98,0)</f>
        <v>0</v>
      </c>
      <c r="FM98" s="1"/>
      <c r="FN98" s="1"/>
    </row>
    <row r="99" spans="1:170" s="23" customFormat="1" ht="12.75" x14ac:dyDescent="0.25">
      <c r="A99" s="69">
        <v>55</v>
      </c>
      <c r="B99" s="2" t="s">
        <v>77</v>
      </c>
      <c r="C99" s="69" t="s">
        <v>8</v>
      </c>
      <c r="D99" s="55">
        <v>4</v>
      </c>
      <c r="E99" s="5">
        <v>1632000</v>
      </c>
      <c r="F99" s="302">
        <f t="shared" si="17"/>
        <v>6528000</v>
      </c>
      <c r="G99" s="5"/>
      <c r="H99" s="5">
        <f t="shared" si="18"/>
        <v>0</v>
      </c>
      <c r="FM99" s="1"/>
      <c r="FN99" s="1"/>
    </row>
    <row r="100" spans="1:170" s="23" customFormat="1" ht="12.75" x14ac:dyDescent="0.25">
      <c r="A100" s="67" t="s">
        <v>29</v>
      </c>
      <c r="B100" s="14" t="s">
        <v>85</v>
      </c>
      <c r="C100" s="18"/>
      <c r="D100" s="53"/>
      <c r="E100" s="17"/>
      <c r="F100" s="306"/>
      <c r="G100" s="17"/>
      <c r="H100" s="17"/>
      <c r="FM100" s="1"/>
      <c r="FN100" s="1"/>
    </row>
    <row r="101" spans="1:170" ht="12.75" x14ac:dyDescent="0.25">
      <c r="A101" s="69">
        <v>56</v>
      </c>
      <c r="B101" s="2" t="s">
        <v>30</v>
      </c>
      <c r="C101" s="69" t="s">
        <v>8</v>
      </c>
      <c r="D101" s="55">
        <v>1</v>
      </c>
      <c r="E101" s="5">
        <v>7244557</v>
      </c>
      <c r="F101" s="302">
        <f t="shared" ref="F101:F105" si="19">ROUND(D101*E101,0)</f>
        <v>7244557</v>
      </c>
      <c r="G101" s="5"/>
      <c r="H101" s="5">
        <f t="shared" ref="H101:H105" si="20">ROUND(D101*G101,0)</f>
        <v>0</v>
      </c>
    </row>
    <row r="102" spans="1:170" ht="12.75" x14ac:dyDescent="0.25">
      <c r="A102" s="69">
        <v>57</v>
      </c>
      <c r="B102" s="2" t="s">
        <v>128</v>
      </c>
      <c r="C102" s="69" t="s">
        <v>8</v>
      </c>
      <c r="D102" s="55">
        <v>1</v>
      </c>
      <c r="E102" s="5">
        <v>2460000</v>
      </c>
      <c r="F102" s="302">
        <f t="shared" si="19"/>
        <v>2460000</v>
      </c>
      <c r="G102" s="5"/>
      <c r="H102" s="5">
        <f t="shared" si="20"/>
        <v>0</v>
      </c>
    </row>
    <row r="103" spans="1:170" ht="12.75" x14ac:dyDescent="0.25">
      <c r="A103" s="322">
        <v>58</v>
      </c>
      <c r="B103" s="2" t="s">
        <v>165</v>
      </c>
      <c r="C103" s="69" t="s">
        <v>8</v>
      </c>
      <c r="D103" s="55">
        <v>4</v>
      </c>
      <c r="E103" s="5">
        <v>2720000</v>
      </c>
      <c r="F103" s="302">
        <f t="shared" si="19"/>
        <v>10880000</v>
      </c>
      <c r="G103" s="5"/>
      <c r="H103" s="5">
        <f t="shared" si="20"/>
        <v>0</v>
      </c>
    </row>
    <row r="104" spans="1:170" ht="12.75" x14ac:dyDescent="0.25">
      <c r="A104" s="322">
        <v>59</v>
      </c>
      <c r="B104" s="2" t="s">
        <v>77</v>
      </c>
      <c r="C104" s="69" t="s">
        <v>8</v>
      </c>
      <c r="D104" s="55">
        <v>2</v>
      </c>
      <c r="E104" s="5">
        <v>1632000</v>
      </c>
      <c r="F104" s="302">
        <f t="shared" si="19"/>
        <v>3264000</v>
      </c>
      <c r="G104" s="5"/>
      <c r="H104" s="5">
        <f t="shared" si="20"/>
        <v>0</v>
      </c>
    </row>
    <row r="105" spans="1:170" ht="12.75" x14ac:dyDescent="0.25">
      <c r="A105" s="322">
        <v>60</v>
      </c>
      <c r="B105" s="2" t="s">
        <v>78</v>
      </c>
      <c r="C105" s="69" t="s">
        <v>8</v>
      </c>
      <c r="D105" s="55">
        <v>2</v>
      </c>
      <c r="E105" s="66">
        <v>2720000</v>
      </c>
      <c r="F105" s="302">
        <f t="shared" si="19"/>
        <v>5440000</v>
      </c>
      <c r="G105" s="5"/>
      <c r="H105" s="5">
        <f t="shared" si="20"/>
        <v>0</v>
      </c>
    </row>
    <row r="106" spans="1:170" s="23" customFormat="1" ht="12.75" x14ac:dyDescent="0.25">
      <c r="A106" s="67" t="s">
        <v>31</v>
      </c>
      <c r="B106" s="14" t="s">
        <v>32</v>
      </c>
      <c r="C106" s="18"/>
      <c r="D106" s="53"/>
      <c r="E106" s="17"/>
      <c r="F106" s="306"/>
      <c r="G106" s="17"/>
      <c r="H106" s="17"/>
      <c r="FM106" s="1"/>
      <c r="FN106" s="1"/>
    </row>
    <row r="107" spans="1:170" s="23" customFormat="1" ht="12.75" x14ac:dyDescent="0.25">
      <c r="A107" s="69">
        <v>61</v>
      </c>
      <c r="B107" s="2" t="s">
        <v>136</v>
      </c>
      <c r="C107" s="6" t="s">
        <v>8</v>
      </c>
      <c r="D107" s="55">
        <v>3</v>
      </c>
      <c r="E107" s="5">
        <v>4729536</v>
      </c>
      <c r="F107" s="302">
        <f t="shared" ref="F107" si="21">ROUND(D107*E107,0)</f>
        <v>14188608</v>
      </c>
      <c r="G107" s="5"/>
      <c r="H107" s="5">
        <f t="shared" ref="H107" si="22">ROUND(D107*G107,0)</f>
        <v>0</v>
      </c>
      <c r="FM107" s="1"/>
      <c r="FN107" s="1"/>
    </row>
    <row r="108" spans="1:170" s="23" customFormat="1" ht="12.75" x14ac:dyDescent="0.25">
      <c r="A108" s="67" t="s">
        <v>33</v>
      </c>
      <c r="B108" s="14" t="s">
        <v>139</v>
      </c>
      <c r="C108" s="18"/>
      <c r="D108" s="53"/>
      <c r="E108" s="17"/>
      <c r="F108" s="306"/>
      <c r="G108" s="17"/>
      <c r="H108" s="17"/>
      <c r="FM108" s="1"/>
      <c r="FN108" s="1"/>
    </row>
    <row r="109" spans="1:170" s="23" customFormat="1" ht="12.75" x14ac:dyDescent="0.25">
      <c r="A109" s="69">
        <v>62</v>
      </c>
      <c r="B109" s="2" t="s">
        <v>138</v>
      </c>
      <c r="C109" s="6" t="s">
        <v>109</v>
      </c>
      <c r="D109" s="55">
        <v>1</v>
      </c>
      <c r="E109" s="5">
        <v>420000000</v>
      </c>
      <c r="F109" s="302">
        <f t="shared" ref="F109:F110" si="23">ROUND(D109*E109,0)</f>
        <v>420000000</v>
      </c>
      <c r="G109" s="5"/>
      <c r="H109" s="5">
        <f t="shared" ref="H109:H110" si="24">ROUND(D109*G109,0)</f>
        <v>0</v>
      </c>
      <c r="I109" s="261" t="s">
        <v>528</v>
      </c>
      <c r="FM109" s="1"/>
      <c r="FN109" s="1"/>
    </row>
    <row r="110" spans="1:170" s="23" customFormat="1" ht="12.75" x14ac:dyDescent="0.25">
      <c r="A110" s="69">
        <v>63</v>
      </c>
      <c r="B110" s="2" t="s">
        <v>140</v>
      </c>
      <c r="C110" s="6" t="s">
        <v>109</v>
      </c>
      <c r="D110" s="55">
        <v>1</v>
      </c>
      <c r="E110" s="5">
        <v>70000000</v>
      </c>
      <c r="F110" s="302">
        <f t="shared" si="23"/>
        <v>70000000</v>
      </c>
      <c r="G110" s="5"/>
      <c r="H110" s="5">
        <f t="shared" si="24"/>
        <v>0</v>
      </c>
      <c r="I110" s="261" t="s">
        <v>528</v>
      </c>
      <c r="FM110" s="1"/>
      <c r="FN110" s="1"/>
    </row>
    <row r="111" spans="1:170" s="23" customFormat="1" ht="12.75" x14ac:dyDescent="0.25">
      <c r="A111" s="67" t="s">
        <v>34</v>
      </c>
      <c r="B111" s="14" t="s">
        <v>35</v>
      </c>
      <c r="C111" s="18"/>
      <c r="D111" s="53"/>
      <c r="E111" s="17"/>
      <c r="F111" s="306"/>
      <c r="G111" s="17"/>
      <c r="H111" s="17"/>
      <c r="FM111" s="1"/>
      <c r="FN111" s="1"/>
    </row>
    <row r="112" spans="1:170" s="23" customFormat="1" ht="12.75" x14ac:dyDescent="0.25">
      <c r="A112" s="69">
        <v>64</v>
      </c>
      <c r="B112" s="250" t="s">
        <v>474</v>
      </c>
      <c r="C112" s="6" t="s">
        <v>8</v>
      </c>
      <c r="D112" s="55">
        <v>1</v>
      </c>
      <c r="E112" s="5">
        <v>9000000</v>
      </c>
      <c r="F112" s="302">
        <f t="shared" ref="F112:F114" si="25">ROUND(D112*E112,0)</f>
        <v>9000000</v>
      </c>
      <c r="G112" s="5"/>
      <c r="H112" s="5">
        <f t="shared" ref="H112:H114" si="26">ROUND(D112*G112,0)</f>
        <v>0</v>
      </c>
      <c r="FM112" s="1"/>
      <c r="FN112" s="1"/>
    </row>
    <row r="113" spans="1:170" s="23" customFormat="1" ht="12.75" x14ac:dyDescent="0.25">
      <c r="A113" s="69">
        <v>65</v>
      </c>
      <c r="B113" s="2" t="s">
        <v>477</v>
      </c>
      <c r="C113" s="6" t="s">
        <v>8</v>
      </c>
      <c r="D113" s="55">
        <v>1</v>
      </c>
      <c r="E113" s="5">
        <v>4500000</v>
      </c>
      <c r="F113" s="302">
        <f t="shared" si="25"/>
        <v>4500000</v>
      </c>
      <c r="G113" s="5"/>
      <c r="H113" s="5">
        <f t="shared" si="26"/>
        <v>0</v>
      </c>
      <c r="FM113" s="1"/>
      <c r="FN113" s="1"/>
    </row>
    <row r="114" spans="1:170" s="23" customFormat="1" ht="12.75" x14ac:dyDescent="0.25">
      <c r="A114" s="69">
        <v>66</v>
      </c>
      <c r="B114" s="2" t="s">
        <v>37</v>
      </c>
      <c r="C114" s="6" t="s">
        <v>8</v>
      </c>
      <c r="D114" s="55">
        <v>1</v>
      </c>
      <c r="E114" s="5">
        <v>4000000</v>
      </c>
      <c r="F114" s="302">
        <f t="shared" si="25"/>
        <v>4000000</v>
      </c>
      <c r="G114" s="5"/>
      <c r="H114" s="5">
        <f t="shared" si="26"/>
        <v>0</v>
      </c>
      <c r="FM114" s="1"/>
      <c r="FN114" s="1"/>
    </row>
    <row r="115" spans="1:170" s="23" customFormat="1" ht="12.75" x14ac:dyDescent="0.25">
      <c r="A115" s="342" t="s">
        <v>38</v>
      </c>
      <c r="B115" s="343"/>
      <c r="C115" s="343"/>
      <c r="D115" s="343"/>
      <c r="E115" s="344"/>
      <c r="F115" s="302">
        <f>+SUM(F88:F105)</f>
        <v>241151237</v>
      </c>
      <c r="G115" s="5"/>
      <c r="H115" s="5">
        <f>+SUM(H88:H105)</f>
        <v>0</v>
      </c>
      <c r="FM115" s="1"/>
      <c r="FN115" s="1"/>
    </row>
    <row r="116" spans="1:170" s="23" customFormat="1" ht="12.75" x14ac:dyDescent="0.25">
      <c r="A116" s="342" t="s">
        <v>141</v>
      </c>
      <c r="B116" s="343"/>
      <c r="C116" s="343"/>
      <c r="D116" s="343"/>
      <c r="E116" s="344"/>
      <c r="F116" s="302">
        <f>+SUM(F107:F107)+SUM(F112:F114)</f>
        <v>31688608</v>
      </c>
      <c r="G116" s="5"/>
      <c r="H116" s="5">
        <f>+SUM(H107:H107)+SUM(H112:H114)</f>
        <v>0</v>
      </c>
      <c r="FM116" s="1"/>
      <c r="FN116" s="1"/>
    </row>
    <row r="117" spans="1:170" s="23" customFormat="1" ht="12.75" x14ac:dyDescent="0.25">
      <c r="A117" s="342" t="s">
        <v>142</v>
      </c>
      <c r="B117" s="343"/>
      <c r="C117" s="343"/>
      <c r="D117" s="343"/>
      <c r="E117" s="344"/>
      <c r="F117" s="302">
        <f>+SUM(F109:F110)</f>
        <v>490000000</v>
      </c>
      <c r="G117" s="5"/>
      <c r="H117" s="5">
        <f>+SUM(H109:H110)</f>
        <v>0</v>
      </c>
      <c r="FM117" s="1"/>
      <c r="FN117" s="1"/>
    </row>
    <row r="118" spans="1:170" s="23" customFormat="1" ht="12.75" x14ac:dyDescent="0.25">
      <c r="A118" s="342" t="s">
        <v>39</v>
      </c>
      <c r="B118" s="343"/>
      <c r="C118" s="343"/>
      <c r="D118" s="343"/>
      <c r="E118" s="344"/>
      <c r="F118" s="302">
        <f>+F115+F116</f>
        <v>272839845</v>
      </c>
      <c r="G118" s="5"/>
      <c r="H118" s="5">
        <f>+H115+H116</f>
        <v>0</v>
      </c>
      <c r="FM118" s="1"/>
      <c r="FN118" s="1"/>
    </row>
    <row r="119" spans="1:170" s="23" customFormat="1" ht="12.75" x14ac:dyDescent="0.25">
      <c r="A119" s="339" t="s">
        <v>172</v>
      </c>
      <c r="B119" s="340"/>
      <c r="C119" s="340"/>
      <c r="D119" s="340"/>
      <c r="E119" s="340"/>
      <c r="F119" s="340"/>
      <c r="G119" s="310"/>
      <c r="H119" s="310"/>
      <c r="FM119" s="1"/>
      <c r="FN119" s="1"/>
    </row>
    <row r="120" spans="1:170" s="23" customFormat="1" ht="12.75" x14ac:dyDescent="0.25">
      <c r="A120" s="67" t="s">
        <v>5</v>
      </c>
      <c r="B120" s="59" t="s">
        <v>41</v>
      </c>
      <c r="C120" s="16"/>
      <c r="D120" s="17"/>
      <c r="E120" s="17"/>
      <c r="F120" s="306"/>
      <c r="G120" s="17"/>
      <c r="H120" s="17"/>
      <c r="FM120" s="1"/>
      <c r="FN120" s="1"/>
    </row>
    <row r="121" spans="1:170" s="23" customFormat="1" ht="12.75" x14ac:dyDescent="0.25">
      <c r="A121" s="69">
        <v>67</v>
      </c>
      <c r="B121" s="2" t="s">
        <v>143</v>
      </c>
      <c r="C121" s="6" t="s">
        <v>8</v>
      </c>
      <c r="D121" s="55">
        <v>1</v>
      </c>
      <c r="E121" s="5">
        <v>5015462</v>
      </c>
      <c r="F121" s="302">
        <f t="shared" ref="F121:F125" si="27">ROUND(D121*E121,0)</f>
        <v>5015462</v>
      </c>
      <c r="G121" s="5"/>
      <c r="H121" s="5">
        <f t="shared" ref="H121:H125" si="28">ROUND(D121*G121,0)</f>
        <v>0</v>
      </c>
      <c r="FM121" s="1"/>
      <c r="FN121" s="1"/>
    </row>
    <row r="122" spans="1:170" s="23" customFormat="1" ht="12.75" x14ac:dyDescent="0.25">
      <c r="A122" s="69">
        <v>68</v>
      </c>
      <c r="B122" s="2" t="s">
        <v>144</v>
      </c>
      <c r="C122" s="6" t="s">
        <v>8</v>
      </c>
      <c r="D122" s="55">
        <v>1</v>
      </c>
      <c r="E122" s="5">
        <v>2003956</v>
      </c>
      <c r="F122" s="302">
        <f t="shared" si="27"/>
        <v>2003956</v>
      </c>
      <c r="G122" s="5"/>
      <c r="H122" s="5">
        <f t="shared" si="28"/>
        <v>0</v>
      </c>
      <c r="FM122" s="1"/>
      <c r="FN122" s="1"/>
    </row>
    <row r="123" spans="1:170" s="23" customFormat="1" ht="12.75" x14ac:dyDescent="0.25">
      <c r="A123" s="322">
        <v>69</v>
      </c>
      <c r="B123" s="2" t="s">
        <v>145</v>
      </c>
      <c r="C123" s="6" t="s">
        <v>8</v>
      </c>
      <c r="D123" s="55">
        <v>4</v>
      </c>
      <c r="E123" s="5">
        <v>5572736</v>
      </c>
      <c r="F123" s="302">
        <f t="shared" si="27"/>
        <v>22290944</v>
      </c>
      <c r="G123" s="5"/>
      <c r="H123" s="5">
        <f t="shared" si="28"/>
        <v>0</v>
      </c>
      <c r="FM123" s="1"/>
      <c r="FN123" s="1"/>
    </row>
    <row r="124" spans="1:170" s="23" customFormat="1" ht="12.75" x14ac:dyDescent="0.25">
      <c r="A124" s="322">
        <v>70</v>
      </c>
      <c r="B124" s="2" t="s">
        <v>79</v>
      </c>
      <c r="C124" s="6" t="s">
        <v>8</v>
      </c>
      <c r="D124" s="55">
        <v>4</v>
      </c>
      <c r="E124" s="5">
        <v>2786368</v>
      </c>
      <c r="F124" s="302">
        <f t="shared" si="27"/>
        <v>11145472</v>
      </c>
      <c r="G124" s="5"/>
      <c r="H124" s="5">
        <f t="shared" si="28"/>
        <v>0</v>
      </c>
      <c r="FM124" s="1"/>
      <c r="FN124" s="1"/>
    </row>
    <row r="125" spans="1:170" s="23" customFormat="1" ht="12.75" x14ac:dyDescent="0.25">
      <c r="A125" s="322">
        <v>71</v>
      </c>
      <c r="B125" s="250" t="s">
        <v>529</v>
      </c>
      <c r="C125" s="6" t="s">
        <v>8</v>
      </c>
      <c r="D125" s="55">
        <v>177</v>
      </c>
      <c r="E125" s="5">
        <v>972568</v>
      </c>
      <c r="F125" s="302">
        <f t="shared" si="27"/>
        <v>172144536</v>
      </c>
      <c r="G125" s="5"/>
      <c r="H125" s="5">
        <f t="shared" si="28"/>
        <v>0</v>
      </c>
      <c r="FM125" s="1"/>
      <c r="FN125" s="1"/>
    </row>
    <row r="126" spans="1:170" s="23" customFormat="1" ht="12.75" x14ac:dyDescent="0.25">
      <c r="A126" s="366" t="s">
        <v>42</v>
      </c>
      <c r="B126" s="367"/>
      <c r="C126" s="367"/>
      <c r="D126" s="367"/>
      <c r="E126" s="368"/>
      <c r="F126" s="313">
        <f>SUM(F121:F125)</f>
        <v>212600370</v>
      </c>
      <c r="G126" s="5"/>
      <c r="H126" s="314">
        <f>SUM(H121:H125)</f>
        <v>0</v>
      </c>
      <c r="FM126" s="1"/>
      <c r="FN126" s="1"/>
    </row>
    <row r="127" spans="1:170" s="23" customFormat="1" ht="12.75" x14ac:dyDescent="0.2">
      <c r="A127" s="67" t="s">
        <v>10</v>
      </c>
      <c r="B127" s="59" t="s">
        <v>43</v>
      </c>
      <c r="C127" s="7"/>
      <c r="D127" s="8"/>
      <c r="E127" s="8"/>
      <c r="F127" s="307"/>
      <c r="G127" s="8"/>
      <c r="H127" s="8"/>
      <c r="FM127" s="1"/>
      <c r="FN127" s="1"/>
    </row>
    <row r="128" spans="1:170" s="23" customFormat="1" ht="12.75" x14ac:dyDescent="0.25">
      <c r="A128" s="69">
        <v>72</v>
      </c>
      <c r="B128" s="2" t="s">
        <v>162</v>
      </c>
      <c r="C128" s="6" t="s">
        <v>8</v>
      </c>
      <c r="D128" s="55">
        <v>68</v>
      </c>
      <c r="E128" s="5">
        <v>480274</v>
      </c>
      <c r="F128" s="302">
        <f t="shared" ref="F128" si="29">ROUND(D128*E128,0)</f>
        <v>32658632</v>
      </c>
      <c r="G128" s="5"/>
      <c r="H128" s="5">
        <f t="shared" ref="H128" si="30">ROUND(D128*G128,0)</f>
        <v>0</v>
      </c>
      <c r="FM128" s="1"/>
      <c r="FN128" s="1"/>
    </row>
    <row r="129" spans="1:170" s="23" customFormat="1" ht="12.75" x14ac:dyDescent="0.25">
      <c r="A129" s="342" t="s">
        <v>45</v>
      </c>
      <c r="B129" s="343"/>
      <c r="C129" s="343"/>
      <c r="D129" s="343"/>
      <c r="E129" s="344"/>
      <c r="F129" s="313">
        <f>SUM(F128:F128)</f>
        <v>32658632</v>
      </c>
      <c r="G129" s="5"/>
      <c r="H129" s="314">
        <f>SUM(H128:H128)</f>
        <v>0</v>
      </c>
      <c r="FM129" s="1"/>
      <c r="FN129" s="1"/>
    </row>
    <row r="130" spans="1:170" s="23" customFormat="1" ht="12.75" x14ac:dyDescent="0.25">
      <c r="A130" s="339" t="s">
        <v>173</v>
      </c>
      <c r="B130" s="340"/>
      <c r="C130" s="340"/>
      <c r="D130" s="340"/>
      <c r="E130" s="340"/>
      <c r="F130" s="340"/>
      <c r="G130" s="310"/>
      <c r="H130" s="310"/>
      <c r="FM130" s="1"/>
      <c r="FN130" s="1"/>
    </row>
    <row r="131" spans="1:170" s="23" customFormat="1" ht="12.75" x14ac:dyDescent="0.25">
      <c r="A131" s="69">
        <v>73</v>
      </c>
      <c r="B131" s="2" t="s">
        <v>163</v>
      </c>
      <c r="C131" s="6" t="s">
        <v>8</v>
      </c>
      <c r="D131" s="55">
        <v>1</v>
      </c>
      <c r="E131" s="5">
        <v>7500000</v>
      </c>
      <c r="F131" s="302">
        <f t="shared" ref="F131:F148" si="31">ROUND(D131*E131,0)</f>
        <v>7500000</v>
      </c>
      <c r="G131" s="5"/>
      <c r="H131" s="5">
        <f t="shared" ref="H131:H148" si="32">ROUND(D131*G131,0)</f>
        <v>0</v>
      </c>
      <c r="FM131" s="1"/>
      <c r="FN131" s="1"/>
    </row>
    <row r="132" spans="1:170" s="23" customFormat="1" ht="12.75" x14ac:dyDescent="0.25">
      <c r="A132" s="69">
        <v>74</v>
      </c>
      <c r="B132" s="2" t="s">
        <v>48</v>
      </c>
      <c r="C132" s="6" t="s">
        <v>8</v>
      </c>
      <c r="D132" s="55">
        <v>1</v>
      </c>
      <c r="E132" s="5">
        <v>7410000</v>
      </c>
      <c r="F132" s="302">
        <f t="shared" si="31"/>
        <v>7410000</v>
      </c>
      <c r="G132" s="5"/>
      <c r="H132" s="5">
        <f t="shared" si="32"/>
        <v>0</v>
      </c>
      <c r="FM132" s="1"/>
      <c r="FN132" s="1"/>
    </row>
    <row r="133" spans="1:170" s="23" customFormat="1" ht="12.75" x14ac:dyDescent="0.25">
      <c r="A133" s="322">
        <v>75</v>
      </c>
      <c r="B133" s="2" t="s">
        <v>166</v>
      </c>
      <c r="C133" s="6" t="s">
        <v>8</v>
      </c>
      <c r="D133" s="55">
        <v>1</v>
      </c>
      <c r="E133" s="5">
        <v>7410000</v>
      </c>
      <c r="F133" s="302">
        <f t="shared" si="31"/>
        <v>7410000</v>
      </c>
      <c r="G133" s="5"/>
      <c r="H133" s="5">
        <f t="shared" si="32"/>
        <v>0</v>
      </c>
      <c r="FM133" s="1"/>
      <c r="FN133" s="1"/>
    </row>
    <row r="134" spans="1:170" s="23" customFormat="1" ht="12.75" x14ac:dyDescent="0.25">
      <c r="A134" s="322">
        <v>76</v>
      </c>
      <c r="B134" s="2" t="s">
        <v>50</v>
      </c>
      <c r="C134" s="6" t="s">
        <v>8</v>
      </c>
      <c r="D134" s="55">
        <v>1</v>
      </c>
      <c r="E134" s="5">
        <v>7410000</v>
      </c>
      <c r="F134" s="302">
        <f t="shared" si="31"/>
        <v>7410000</v>
      </c>
      <c r="G134" s="5"/>
      <c r="H134" s="5">
        <f t="shared" si="32"/>
        <v>0</v>
      </c>
      <c r="FM134" s="1"/>
      <c r="FN134" s="1"/>
    </row>
    <row r="135" spans="1:170" s="23" customFormat="1" ht="12.75" x14ac:dyDescent="0.25">
      <c r="A135" s="322">
        <v>77</v>
      </c>
      <c r="B135" s="2" t="s">
        <v>51</v>
      </c>
      <c r="C135" s="6" t="s">
        <v>8</v>
      </c>
      <c r="D135" s="55">
        <v>1</v>
      </c>
      <c r="E135" s="5">
        <v>7410000</v>
      </c>
      <c r="F135" s="302">
        <f t="shared" si="31"/>
        <v>7410000</v>
      </c>
      <c r="G135" s="5"/>
      <c r="H135" s="5">
        <f t="shared" si="32"/>
        <v>0</v>
      </c>
      <c r="FM135" s="1"/>
      <c r="FN135" s="1"/>
    </row>
    <row r="136" spans="1:170" s="23" customFormat="1" ht="12.75" x14ac:dyDescent="0.25">
      <c r="A136" s="322">
        <v>78</v>
      </c>
      <c r="B136" s="2" t="s">
        <v>52</v>
      </c>
      <c r="C136" s="6" t="s">
        <v>8</v>
      </c>
      <c r="D136" s="55">
        <v>1</v>
      </c>
      <c r="E136" s="5">
        <v>7410000</v>
      </c>
      <c r="F136" s="302">
        <f t="shared" si="31"/>
        <v>7410000</v>
      </c>
      <c r="G136" s="5"/>
      <c r="H136" s="5">
        <f t="shared" si="32"/>
        <v>0</v>
      </c>
      <c r="FM136" s="1"/>
      <c r="FN136" s="1"/>
    </row>
    <row r="137" spans="1:170" s="23" customFormat="1" ht="12.75" x14ac:dyDescent="0.25">
      <c r="A137" s="322">
        <v>79</v>
      </c>
      <c r="B137" s="2" t="s">
        <v>53</v>
      </c>
      <c r="C137" s="6" t="s">
        <v>8</v>
      </c>
      <c r="D137" s="55">
        <v>1</v>
      </c>
      <c r="E137" s="5">
        <v>7410000</v>
      </c>
      <c r="F137" s="302">
        <f t="shared" si="31"/>
        <v>7410000</v>
      </c>
      <c r="G137" s="5"/>
      <c r="H137" s="5">
        <f t="shared" si="32"/>
        <v>0</v>
      </c>
      <c r="FM137" s="1"/>
      <c r="FN137" s="1"/>
    </row>
    <row r="138" spans="1:170" s="23" customFormat="1" ht="12.75" x14ac:dyDescent="0.25">
      <c r="A138" s="322">
        <v>80</v>
      </c>
      <c r="B138" s="2" t="s">
        <v>54</v>
      </c>
      <c r="C138" s="6" t="s">
        <v>8</v>
      </c>
      <c r="D138" s="55">
        <v>1</v>
      </c>
      <c r="E138" s="5">
        <v>7410000</v>
      </c>
      <c r="F138" s="302">
        <f t="shared" si="31"/>
        <v>7410000</v>
      </c>
      <c r="G138" s="5"/>
      <c r="H138" s="5">
        <f t="shared" si="32"/>
        <v>0</v>
      </c>
      <c r="FM138" s="1"/>
      <c r="FN138" s="1"/>
    </row>
    <row r="139" spans="1:170" s="23" customFormat="1" ht="12.75" x14ac:dyDescent="0.25">
      <c r="A139" s="322">
        <v>81</v>
      </c>
      <c r="B139" s="2" t="s">
        <v>55</v>
      </c>
      <c r="C139" s="6" t="s">
        <v>8</v>
      </c>
      <c r="D139" s="55">
        <v>1</v>
      </c>
      <c r="E139" s="5">
        <v>7410000</v>
      </c>
      <c r="F139" s="302">
        <f t="shared" si="31"/>
        <v>7410000</v>
      </c>
      <c r="G139" s="5"/>
      <c r="H139" s="5">
        <f t="shared" si="32"/>
        <v>0</v>
      </c>
      <c r="FM139" s="1"/>
      <c r="FN139" s="1"/>
    </row>
    <row r="140" spans="1:170" s="23" customFormat="1" ht="12.75" x14ac:dyDescent="0.25">
      <c r="A140" s="322">
        <v>82</v>
      </c>
      <c r="B140" s="2" t="s">
        <v>56</v>
      </c>
      <c r="C140" s="6" t="s">
        <v>8</v>
      </c>
      <c r="D140" s="55">
        <v>1</v>
      </c>
      <c r="E140" s="5">
        <v>7410000</v>
      </c>
      <c r="F140" s="302">
        <f t="shared" si="31"/>
        <v>7410000</v>
      </c>
      <c r="G140" s="5"/>
      <c r="H140" s="5">
        <f t="shared" si="32"/>
        <v>0</v>
      </c>
      <c r="FM140" s="1"/>
      <c r="FN140" s="1"/>
    </row>
    <row r="141" spans="1:170" s="23" customFormat="1" ht="12.75" x14ac:dyDescent="0.25">
      <c r="A141" s="322">
        <v>83</v>
      </c>
      <c r="B141" s="2" t="s">
        <v>57</v>
      </c>
      <c r="C141" s="6" t="s">
        <v>8</v>
      </c>
      <c r="D141" s="55">
        <v>1</v>
      </c>
      <c r="E141" s="5">
        <v>7410000</v>
      </c>
      <c r="F141" s="302">
        <f t="shared" si="31"/>
        <v>7410000</v>
      </c>
      <c r="G141" s="5"/>
      <c r="H141" s="5">
        <f t="shared" si="32"/>
        <v>0</v>
      </c>
      <c r="FM141" s="1"/>
      <c r="FN141" s="1"/>
    </row>
    <row r="142" spans="1:170" s="23" customFormat="1" ht="12.75" x14ac:dyDescent="0.25">
      <c r="A142" s="322">
        <v>84</v>
      </c>
      <c r="B142" s="2" t="s">
        <v>58</v>
      </c>
      <c r="C142" s="6" t="s">
        <v>8</v>
      </c>
      <c r="D142" s="55">
        <v>1</v>
      </c>
      <c r="E142" s="5">
        <v>7410000</v>
      </c>
      <c r="F142" s="302">
        <f t="shared" si="31"/>
        <v>7410000</v>
      </c>
      <c r="G142" s="5"/>
      <c r="H142" s="5">
        <f t="shared" si="32"/>
        <v>0</v>
      </c>
      <c r="FM142" s="1"/>
      <c r="FN142" s="1"/>
    </row>
    <row r="143" spans="1:170" s="23" customFormat="1" ht="12.75" x14ac:dyDescent="0.25">
      <c r="A143" s="322">
        <v>85</v>
      </c>
      <c r="B143" s="2" t="s">
        <v>59</v>
      </c>
      <c r="C143" s="6" t="s">
        <v>8</v>
      </c>
      <c r="D143" s="55">
        <v>1</v>
      </c>
      <c r="E143" s="5">
        <v>7410000</v>
      </c>
      <c r="F143" s="302">
        <f t="shared" si="31"/>
        <v>7410000</v>
      </c>
      <c r="G143" s="5"/>
      <c r="H143" s="5">
        <f t="shared" si="32"/>
        <v>0</v>
      </c>
      <c r="FM143" s="1"/>
      <c r="FN143" s="1"/>
    </row>
    <row r="144" spans="1:170" s="23" customFormat="1" ht="12.75" x14ac:dyDescent="0.25">
      <c r="A144" s="322">
        <v>86</v>
      </c>
      <c r="B144" s="2" t="s">
        <v>60</v>
      </c>
      <c r="C144" s="6" t="s">
        <v>8</v>
      </c>
      <c r="D144" s="55">
        <v>1</v>
      </c>
      <c r="E144" s="5">
        <v>7410000</v>
      </c>
      <c r="F144" s="302">
        <f t="shared" si="31"/>
        <v>7410000</v>
      </c>
      <c r="G144" s="5"/>
      <c r="H144" s="5">
        <f t="shared" si="32"/>
        <v>0</v>
      </c>
      <c r="FM144" s="1"/>
      <c r="FN144" s="1"/>
    </row>
    <row r="145" spans="1:170" s="23" customFormat="1" ht="12.75" x14ac:dyDescent="0.25">
      <c r="A145" s="322">
        <v>87</v>
      </c>
      <c r="B145" s="2" t="s">
        <v>61</v>
      </c>
      <c r="C145" s="6" t="s">
        <v>8</v>
      </c>
      <c r="D145" s="55">
        <v>3</v>
      </c>
      <c r="E145" s="5">
        <v>7410000</v>
      </c>
      <c r="F145" s="302">
        <f t="shared" si="31"/>
        <v>22230000</v>
      </c>
      <c r="G145" s="5"/>
      <c r="H145" s="5">
        <f t="shared" si="32"/>
        <v>0</v>
      </c>
      <c r="FM145" s="1"/>
      <c r="FN145" s="1"/>
    </row>
    <row r="146" spans="1:170" s="23" customFormat="1" ht="12.75" x14ac:dyDescent="0.25">
      <c r="A146" s="322">
        <v>88</v>
      </c>
      <c r="B146" s="2" t="s">
        <v>62</v>
      </c>
      <c r="C146" s="6" t="s">
        <v>8</v>
      </c>
      <c r="D146" s="55">
        <v>3</v>
      </c>
      <c r="E146" s="5">
        <v>7410000</v>
      </c>
      <c r="F146" s="302">
        <f t="shared" si="31"/>
        <v>22230000</v>
      </c>
      <c r="G146" s="5"/>
      <c r="H146" s="5">
        <f t="shared" si="32"/>
        <v>0</v>
      </c>
      <c r="FM146" s="1"/>
      <c r="FN146" s="1"/>
    </row>
    <row r="147" spans="1:170" s="23" customFormat="1" ht="12.75" x14ac:dyDescent="0.25">
      <c r="A147" s="322">
        <v>89</v>
      </c>
      <c r="B147" s="2" t="s">
        <v>167</v>
      </c>
      <c r="C147" s="6" t="s">
        <v>8</v>
      </c>
      <c r="D147" s="55">
        <v>1</v>
      </c>
      <c r="E147" s="5">
        <v>7410000</v>
      </c>
      <c r="F147" s="302">
        <f t="shared" si="31"/>
        <v>7410000</v>
      </c>
      <c r="G147" s="5"/>
      <c r="H147" s="5">
        <f t="shared" si="32"/>
        <v>0</v>
      </c>
      <c r="FM147" s="1"/>
      <c r="FN147" s="1"/>
    </row>
    <row r="148" spans="1:170" s="23" customFormat="1" ht="12.75" x14ac:dyDescent="0.25">
      <c r="A148" s="322">
        <v>90</v>
      </c>
      <c r="B148" s="2" t="s">
        <v>64</v>
      </c>
      <c r="C148" s="6" t="s">
        <v>8</v>
      </c>
      <c r="D148" s="55">
        <v>1</v>
      </c>
      <c r="E148" s="5">
        <v>7410000</v>
      </c>
      <c r="F148" s="302">
        <f t="shared" si="31"/>
        <v>7410000</v>
      </c>
      <c r="G148" s="5"/>
      <c r="H148" s="5">
        <f t="shared" si="32"/>
        <v>0</v>
      </c>
      <c r="FM148" s="1"/>
      <c r="FN148" s="1"/>
    </row>
    <row r="149" spans="1:170" s="23" customFormat="1" ht="12.75" x14ac:dyDescent="0.25">
      <c r="A149" s="342" t="s">
        <v>65</v>
      </c>
      <c r="B149" s="343"/>
      <c r="C149" s="343"/>
      <c r="D149" s="343"/>
      <c r="E149" s="344"/>
      <c r="F149" s="313">
        <f>SUM(F131:F148)</f>
        <v>163110000</v>
      </c>
      <c r="G149" s="5"/>
      <c r="H149" s="314">
        <f>SUM(H131:H148)</f>
        <v>0</v>
      </c>
      <c r="FM149" s="1"/>
      <c r="FN149" s="1"/>
    </row>
    <row r="150" spans="1:170" s="23" customFormat="1" ht="12.75" x14ac:dyDescent="0.25">
      <c r="A150" s="36" t="s">
        <v>174</v>
      </c>
      <c r="B150" s="37"/>
      <c r="C150" s="37"/>
      <c r="D150" s="38"/>
      <c r="E150" s="38"/>
      <c r="F150" s="39"/>
      <c r="G150" s="312"/>
      <c r="H150" s="312"/>
      <c r="I150" s="30"/>
      <c r="FM150" s="1"/>
      <c r="FN150" s="1"/>
    </row>
    <row r="151" spans="1:170" s="30" customFormat="1" ht="12.75" x14ac:dyDescent="0.25">
      <c r="A151" s="67" t="s">
        <v>5</v>
      </c>
      <c r="B151" s="59" t="s">
        <v>90</v>
      </c>
      <c r="C151" s="16"/>
      <c r="D151" s="17"/>
      <c r="E151" s="17"/>
      <c r="F151" s="306"/>
      <c r="G151" s="17"/>
      <c r="H151" s="17"/>
      <c r="I151" s="23"/>
      <c r="FM151" s="31"/>
      <c r="FN151" s="31"/>
    </row>
    <row r="152" spans="1:170" s="23" customFormat="1" ht="12.75" x14ac:dyDescent="0.25">
      <c r="A152" s="69">
        <v>91</v>
      </c>
      <c r="B152" s="2" t="s">
        <v>81</v>
      </c>
      <c r="C152" s="6" t="s">
        <v>8</v>
      </c>
      <c r="D152" s="55">
        <v>2</v>
      </c>
      <c r="E152" s="5">
        <v>5015463</v>
      </c>
      <c r="F152" s="302">
        <f t="shared" ref="F152:F154" si="33">ROUND(D152*E152,0)</f>
        <v>10030926</v>
      </c>
      <c r="G152" s="5"/>
      <c r="H152" s="5">
        <f t="shared" ref="H152:H154" si="34">ROUND(D152*G152,0)</f>
        <v>0</v>
      </c>
      <c r="FM152" s="1"/>
      <c r="FN152" s="1"/>
    </row>
    <row r="153" spans="1:170" s="23" customFormat="1" ht="12.75" x14ac:dyDescent="0.25">
      <c r="A153" s="69">
        <v>92</v>
      </c>
      <c r="B153" s="2" t="s">
        <v>86</v>
      </c>
      <c r="C153" s="6" t="s">
        <v>8</v>
      </c>
      <c r="D153" s="55">
        <v>2</v>
      </c>
      <c r="E153" s="5">
        <v>5015463</v>
      </c>
      <c r="F153" s="302">
        <f t="shared" si="33"/>
        <v>10030926</v>
      </c>
      <c r="G153" s="5"/>
      <c r="H153" s="5">
        <f t="shared" si="34"/>
        <v>0</v>
      </c>
      <c r="FM153" s="1"/>
      <c r="FN153" s="1"/>
    </row>
    <row r="154" spans="1:170" s="23" customFormat="1" ht="12.75" x14ac:dyDescent="0.25">
      <c r="A154" s="69">
        <v>93</v>
      </c>
      <c r="B154" s="2" t="s">
        <v>168</v>
      </c>
      <c r="C154" s="6" t="s">
        <v>8</v>
      </c>
      <c r="D154" s="55">
        <v>2</v>
      </c>
      <c r="E154" s="5">
        <v>5015463</v>
      </c>
      <c r="F154" s="302">
        <f t="shared" si="33"/>
        <v>10030926</v>
      </c>
      <c r="G154" s="5"/>
      <c r="H154" s="5">
        <f t="shared" si="34"/>
        <v>0</v>
      </c>
      <c r="FM154" s="1"/>
      <c r="FN154" s="1"/>
    </row>
    <row r="155" spans="1:170" s="23" customFormat="1" ht="12.75" x14ac:dyDescent="0.25">
      <c r="A155" s="342" t="s">
        <v>94</v>
      </c>
      <c r="B155" s="343"/>
      <c r="C155" s="343"/>
      <c r="D155" s="343"/>
      <c r="E155" s="344"/>
      <c r="F155" s="302">
        <f>SUM(F152:F154)</f>
        <v>30092778</v>
      </c>
      <c r="G155" s="5"/>
      <c r="H155" s="302">
        <f>SUM(H152:H154)</f>
        <v>0</v>
      </c>
      <c r="FM155" s="1"/>
      <c r="FN155" s="1"/>
    </row>
    <row r="156" spans="1:170" s="23" customFormat="1" ht="12.75" x14ac:dyDescent="0.25">
      <c r="A156" s="67" t="s">
        <v>10</v>
      </c>
      <c r="B156" s="59" t="s">
        <v>32</v>
      </c>
      <c r="C156" s="16"/>
      <c r="D156" s="17"/>
      <c r="E156" s="17"/>
      <c r="F156" s="306"/>
      <c r="G156" s="17"/>
      <c r="H156" s="17"/>
      <c r="FM156" s="1"/>
      <c r="FN156" s="1"/>
    </row>
    <row r="157" spans="1:170" s="23" customFormat="1" ht="12.75" x14ac:dyDescent="0.25">
      <c r="A157" s="69">
        <v>94</v>
      </c>
      <c r="B157" s="2" t="s">
        <v>91</v>
      </c>
      <c r="C157" s="6" t="s">
        <v>8</v>
      </c>
      <c r="D157" s="55">
        <v>2</v>
      </c>
      <c r="E157" s="5">
        <v>4729536</v>
      </c>
      <c r="F157" s="302">
        <f t="shared" ref="F157" si="35">ROUND(D157*E157,0)</f>
        <v>9459072</v>
      </c>
      <c r="G157" s="5"/>
      <c r="H157" s="5">
        <f t="shared" ref="H157" si="36">ROUND(D157*G157,0)</f>
        <v>0</v>
      </c>
      <c r="FM157" s="1"/>
      <c r="FN157" s="1"/>
    </row>
    <row r="158" spans="1:170" s="23" customFormat="1" ht="12.75" x14ac:dyDescent="0.25">
      <c r="A158" s="342" t="s">
        <v>94</v>
      </c>
      <c r="B158" s="343"/>
      <c r="C158" s="343"/>
      <c r="D158" s="343"/>
      <c r="E158" s="344"/>
      <c r="F158" s="313">
        <f>+F157</f>
        <v>9459072</v>
      </c>
      <c r="G158" s="5"/>
      <c r="H158" s="314">
        <f>+H157</f>
        <v>0</v>
      </c>
      <c r="FM158" s="1"/>
      <c r="FN158" s="1"/>
    </row>
    <row r="159" spans="1:170" s="23" customFormat="1" ht="12.75" x14ac:dyDescent="0.25">
      <c r="A159" s="67" t="s">
        <v>29</v>
      </c>
      <c r="B159" s="59" t="s">
        <v>92</v>
      </c>
      <c r="C159" s="16"/>
      <c r="D159" s="17"/>
      <c r="E159" s="17"/>
      <c r="F159" s="306"/>
      <c r="G159" s="17"/>
      <c r="H159" s="17"/>
      <c r="FM159" s="1"/>
      <c r="FN159" s="1"/>
    </row>
    <row r="160" spans="1:170" s="23" customFormat="1" ht="31.5" customHeight="1" x14ac:dyDescent="0.25">
      <c r="A160" s="69">
        <v>95</v>
      </c>
      <c r="B160" s="2" t="s">
        <v>93</v>
      </c>
      <c r="C160" s="6" t="s">
        <v>109</v>
      </c>
      <c r="D160" s="55">
        <v>1</v>
      </c>
      <c r="E160" s="5">
        <v>973129710</v>
      </c>
      <c r="F160" s="302">
        <f t="shared" ref="F160" si="37">ROUND(D160*E160,0)</f>
        <v>973129710</v>
      </c>
      <c r="G160" s="5"/>
      <c r="H160" s="5">
        <f t="shared" ref="H160" si="38">ROUND(D160*G160,0)</f>
        <v>0</v>
      </c>
      <c r="I160" s="261" t="s">
        <v>483</v>
      </c>
      <c r="FM160" s="1"/>
      <c r="FN160" s="1"/>
    </row>
    <row r="161" spans="1:170" s="23" customFormat="1" ht="12.75" x14ac:dyDescent="0.25">
      <c r="A161" s="342" t="s">
        <v>94</v>
      </c>
      <c r="B161" s="343"/>
      <c r="C161" s="343"/>
      <c r="D161" s="343"/>
      <c r="E161" s="344"/>
      <c r="F161" s="302">
        <f>+F160</f>
        <v>973129710</v>
      </c>
      <c r="G161" s="5"/>
      <c r="H161" s="5">
        <f>+H160</f>
        <v>0</v>
      </c>
      <c r="FM161" s="1"/>
      <c r="FN161" s="1"/>
    </row>
    <row r="162" spans="1:170" s="23" customFormat="1" ht="16.5" x14ac:dyDescent="0.25">
      <c r="A162" s="332" t="s">
        <v>84</v>
      </c>
      <c r="B162" s="333"/>
      <c r="C162" s="333"/>
      <c r="D162" s="333"/>
      <c r="E162" s="334"/>
      <c r="F162" s="303">
        <f>+F126+F115+F155</f>
        <v>483844385</v>
      </c>
      <c r="G162" s="9"/>
      <c r="H162" s="9">
        <f>+H126+H115+H155</f>
        <v>0</v>
      </c>
      <c r="FM162" s="1"/>
      <c r="FN162" s="1"/>
    </row>
    <row r="163" spans="1:170" s="23" customFormat="1" ht="16.5" x14ac:dyDescent="0.25">
      <c r="A163" s="332" t="s">
        <v>522</v>
      </c>
      <c r="B163" s="333"/>
      <c r="C163" s="333"/>
      <c r="D163" s="333"/>
      <c r="E163" s="334"/>
      <c r="F163" s="303">
        <f>+F162*14</f>
        <v>6773821390</v>
      </c>
      <c r="G163" s="9"/>
      <c r="H163" s="9">
        <f>+H162*17</f>
        <v>0</v>
      </c>
      <c r="FM163" s="1"/>
      <c r="FN163" s="1"/>
    </row>
    <row r="164" spans="1:170" s="23" customFormat="1" ht="16.5" x14ac:dyDescent="0.25">
      <c r="A164" s="332" t="s">
        <v>66</v>
      </c>
      <c r="B164" s="333"/>
      <c r="C164" s="333"/>
      <c r="D164" s="333"/>
      <c r="E164" s="334"/>
      <c r="F164" s="308">
        <v>2</v>
      </c>
      <c r="G164" s="19"/>
      <c r="H164" s="19">
        <v>2</v>
      </c>
      <c r="FM164" s="1"/>
      <c r="FN164" s="1"/>
    </row>
    <row r="165" spans="1:170" s="23" customFormat="1" ht="16.5" x14ac:dyDescent="0.25">
      <c r="A165" s="332" t="s">
        <v>67</v>
      </c>
      <c r="B165" s="333"/>
      <c r="C165" s="333"/>
      <c r="D165" s="333"/>
      <c r="E165" s="334"/>
      <c r="F165" s="303">
        <f>+F163*F164</f>
        <v>13547642780</v>
      </c>
      <c r="G165" s="9"/>
      <c r="H165" s="9">
        <f>+H163*H164</f>
        <v>0</v>
      </c>
      <c r="FM165" s="1"/>
      <c r="FN165" s="1"/>
    </row>
    <row r="166" spans="1:170" s="23" customFormat="1" ht="42" customHeight="1" x14ac:dyDescent="0.25">
      <c r="A166" s="332" t="s">
        <v>95</v>
      </c>
      <c r="B166" s="333"/>
      <c r="C166" s="333"/>
      <c r="D166" s="333"/>
      <c r="E166" s="334"/>
      <c r="F166" s="303">
        <f>+F149+F129+F116+F158</f>
        <v>236916312</v>
      </c>
      <c r="G166" s="9"/>
      <c r="H166" s="9">
        <f>+H149+H129+H116+H158</f>
        <v>0</v>
      </c>
      <c r="FM166" s="1"/>
      <c r="FN166" s="1"/>
    </row>
    <row r="167" spans="1:170" s="23" customFormat="1" ht="16.5" x14ac:dyDescent="0.25">
      <c r="A167" s="332" t="s">
        <v>523</v>
      </c>
      <c r="B167" s="333"/>
      <c r="C167" s="333"/>
      <c r="D167" s="333"/>
      <c r="E167" s="334"/>
      <c r="F167" s="303">
        <f>+F166*14</f>
        <v>3316828368</v>
      </c>
      <c r="G167" s="9"/>
      <c r="H167" s="9">
        <f>+H166*17</f>
        <v>0</v>
      </c>
      <c r="FM167" s="1"/>
      <c r="FN167" s="1"/>
    </row>
    <row r="168" spans="1:170" s="23" customFormat="1" ht="16.5" x14ac:dyDescent="0.25">
      <c r="A168" s="332" t="s">
        <v>96</v>
      </c>
      <c r="B168" s="333"/>
      <c r="C168" s="333"/>
      <c r="D168" s="333"/>
      <c r="E168" s="334"/>
      <c r="F168" s="303">
        <f>+F160</f>
        <v>973129710</v>
      </c>
      <c r="G168" s="9"/>
      <c r="H168" s="9">
        <f>+H160</f>
        <v>0</v>
      </c>
      <c r="I168" s="261" t="s">
        <v>483</v>
      </c>
      <c r="FM168" s="1"/>
      <c r="FN168" s="1"/>
    </row>
    <row r="169" spans="1:170" s="23" customFormat="1" ht="16.5" x14ac:dyDescent="0.25">
      <c r="A169" s="332" t="s">
        <v>157</v>
      </c>
      <c r="B169" s="333"/>
      <c r="C169" s="333"/>
      <c r="D169" s="333"/>
      <c r="E169" s="334"/>
      <c r="F169" s="303">
        <f>F117</f>
        <v>490000000</v>
      </c>
      <c r="G169" s="9"/>
      <c r="H169" s="9">
        <f>H117</f>
        <v>0</v>
      </c>
      <c r="FM169" s="1"/>
      <c r="FN169" s="1"/>
    </row>
    <row r="170" spans="1:170" s="23" customFormat="1" ht="16.5" x14ac:dyDescent="0.25">
      <c r="A170" s="332" t="s">
        <v>158</v>
      </c>
      <c r="B170" s="333"/>
      <c r="C170" s="333"/>
      <c r="D170" s="333"/>
      <c r="E170" s="334"/>
      <c r="F170" s="318">
        <v>1538230829</v>
      </c>
      <c r="G170" s="9"/>
      <c r="H170" s="9"/>
      <c r="I170" s="261" t="s">
        <v>483</v>
      </c>
      <c r="FM170" s="1"/>
      <c r="FN170" s="1"/>
    </row>
    <row r="171" spans="1:170" s="23" customFormat="1" ht="16.5" x14ac:dyDescent="0.25">
      <c r="A171" s="332" t="s">
        <v>83</v>
      </c>
      <c r="B171" s="333"/>
      <c r="C171" s="333"/>
      <c r="D171" s="333"/>
      <c r="E171" s="334"/>
      <c r="F171" s="303">
        <v>3000000000</v>
      </c>
      <c r="G171" s="9"/>
      <c r="H171" s="9"/>
      <c r="I171" s="261" t="s">
        <v>483</v>
      </c>
      <c r="FM171" s="1"/>
      <c r="FN171" s="1"/>
    </row>
    <row r="172" spans="1:170" s="23" customFormat="1" ht="16.5" x14ac:dyDescent="0.25">
      <c r="A172" s="332" t="s">
        <v>68</v>
      </c>
      <c r="B172" s="333"/>
      <c r="C172" s="333"/>
      <c r="D172" s="333"/>
      <c r="E172" s="334"/>
      <c r="F172" s="303">
        <f>ROUND((F165+F167+F171+F170+F168+F169)*0.19,0)</f>
        <v>4344508021</v>
      </c>
      <c r="G172" s="9"/>
      <c r="H172" s="9">
        <f>ROUND((H165+H167+H171+H170+H168+H169)*0.16,0)</f>
        <v>0</v>
      </c>
      <c r="FM172" s="1"/>
      <c r="FN172" s="1"/>
    </row>
    <row r="173" spans="1:170" s="23" customFormat="1" ht="16.5" x14ac:dyDescent="0.25">
      <c r="A173" s="332" t="s">
        <v>69</v>
      </c>
      <c r="B173" s="333"/>
      <c r="C173" s="333"/>
      <c r="D173" s="333"/>
      <c r="E173" s="334"/>
      <c r="F173" s="303">
        <f>+F165+F167+F171+F172+F168+F169+F170</f>
        <v>27210339708</v>
      </c>
      <c r="G173" s="9"/>
      <c r="H173" s="9">
        <f>+H165+H167+H171+H172+H168+H169+H170</f>
        <v>0</v>
      </c>
      <c r="FM173" s="1"/>
      <c r="FN173" s="1"/>
    </row>
    <row r="174" spans="1:170" s="40" customFormat="1" ht="18" x14ac:dyDescent="0.25">
      <c r="A174" s="335" t="s">
        <v>70</v>
      </c>
      <c r="B174" s="335"/>
      <c r="C174" s="335"/>
      <c r="D174" s="335"/>
      <c r="E174" s="70"/>
      <c r="F174" s="304">
        <f>+F173+F80</f>
        <v>74221114141</v>
      </c>
      <c r="G174" s="10"/>
      <c r="H174" s="10">
        <f>+H173+H80</f>
        <v>0</v>
      </c>
      <c r="I174" s="323"/>
      <c r="J174" s="320">
        <f>+I174-5000000000</f>
        <v>-5000000000</v>
      </c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</row>
    <row r="175" spans="1:170" s="23" customFormat="1" x14ac:dyDescent="0.25">
      <c r="A175" s="32"/>
      <c r="C175" s="33"/>
      <c r="D175" s="34"/>
      <c r="E175" s="34"/>
      <c r="F175" s="327">
        <f>+F176-F174</f>
        <v>0</v>
      </c>
      <c r="I175" s="323"/>
      <c r="J175" s="319">
        <v>94116530046</v>
      </c>
      <c r="FM175" s="1"/>
      <c r="FN175" s="1"/>
    </row>
    <row r="176" spans="1:170" s="23" customFormat="1" ht="15.75" x14ac:dyDescent="0.25">
      <c r="A176" s="32"/>
      <c r="C176" s="33"/>
      <c r="D176" s="34"/>
      <c r="E176" s="34"/>
      <c r="F176" s="328">
        <v>74221114141</v>
      </c>
      <c r="I176" s="30"/>
      <c r="J176" s="320">
        <f>+J174+J175</f>
        <v>89116530046</v>
      </c>
      <c r="FM176" s="1"/>
      <c r="FN176" s="1"/>
    </row>
    <row r="177" spans="1:170" s="23" customFormat="1" x14ac:dyDescent="0.25">
      <c r="A177" s="32"/>
      <c r="C177" s="33"/>
      <c r="D177" s="34"/>
      <c r="E177" s="34"/>
      <c r="F177" s="329"/>
      <c r="I177" s="321"/>
      <c r="J177" s="321"/>
      <c r="FM177" s="1"/>
      <c r="FN177" s="1"/>
    </row>
    <row r="178" spans="1:170" s="23" customFormat="1" x14ac:dyDescent="0.25">
      <c r="A178" s="32"/>
      <c r="C178" s="33"/>
      <c r="D178" s="34"/>
      <c r="E178" s="34"/>
      <c r="F178" s="321"/>
      <c r="FM178" s="1"/>
      <c r="FN178" s="1"/>
    </row>
    <row r="179" spans="1:170" s="23" customFormat="1" x14ac:dyDescent="0.25">
      <c r="A179" s="32"/>
      <c r="C179" s="33"/>
      <c r="D179" s="34"/>
      <c r="E179" s="34"/>
      <c r="F179" s="321"/>
      <c r="FM179" s="1"/>
      <c r="FN179" s="1"/>
    </row>
    <row r="180" spans="1:170" s="23" customFormat="1" x14ac:dyDescent="0.25">
      <c r="A180" s="32"/>
      <c r="C180" s="33"/>
      <c r="D180" s="34"/>
      <c r="E180" s="62"/>
      <c r="F180" s="330"/>
      <c r="G180" s="63"/>
      <c r="H180" s="63"/>
      <c r="FM180" s="1"/>
      <c r="FN180" s="1"/>
    </row>
    <row r="181" spans="1:170" s="23" customFormat="1" x14ac:dyDescent="0.25">
      <c r="A181" s="32"/>
      <c r="C181" s="33"/>
      <c r="D181" s="34"/>
      <c r="E181" s="34"/>
      <c r="F181" s="331"/>
      <c r="G181" s="62"/>
      <c r="H181" s="62"/>
      <c r="FM181" s="1"/>
      <c r="FN181" s="1"/>
    </row>
    <row r="182" spans="1:170" s="23" customFormat="1" x14ac:dyDescent="0.25">
      <c r="A182" s="32"/>
      <c r="C182" s="33"/>
      <c r="D182" s="34"/>
      <c r="E182" s="34"/>
      <c r="F182" s="321"/>
      <c r="FM182" s="1"/>
      <c r="FN182" s="1"/>
    </row>
    <row r="183" spans="1:170" s="23" customFormat="1" x14ac:dyDescent="0.25">
      <c r="A183" s="32"/>
      <c r="C183" s="33"/>
      <c r="D183" s="34"/>
      <c r="E183" s="34"/>
      <c r="F183" s="321"/>
      <c r="FM183" s="1"/>
      <c r="FN183" s="1"/>
    </row>
    <row r="184" spans="1:170" s="23" customFormat="1" x14ac:dyDescent="0.25">
      <c r="A184" s="32"/>
      <c r="C184" s="33"/>
      <c r="D184" s="34"/>
      <c r="E184" s="34"/>
      <c r="FM184" s="1"/>
      <c r="FN184" s="1"/>
    </row>
    <row r="185" spans="1:170" s="23" customFormat="1" x14ac:dyDescent="0.25">
      <c r="A185" s="32"/>
      <c r="C185" s="33"/>
      <c r="D185" s="34"/>
      <c r="E185" s="34"/>
      <c r="FM185" s="1"/>
      <c r="FN185" s="1"/>
    </row>
    <row r="186" spans="1:170" s="23" customFormat="1" x14ac:dyDescent="0.25">
      <c r="A186" s="32"/>
      <c r="C186" s="33"/>
      <c r="D186" s="34"/>
      <c r="E186" s="34"/>
      <c r="FM186" s="1"/>
      <c r="FN186" s="1"/>
    </row>
    <row r="187" spans="1:170" s="23" customFormat="1" x14ac:dyDescent="0.25">
      <c r="A187" s="32"/>
      <c r="C187" s="33"/>
      <c r="D187" s="34"/>
      <c r="E187" s="34"/>
      <c r="FM187" s="1"/>
      <c r="FN187" s="1"/>
    </row>
    <row r="188" spans="1:170" s="23" customFormat="1" x14ac:dyDescent="0.25">
      <c r="A188" s="32"/>
      <c r="C188" s="33"/>
      <c r="D188" s="34"/>
      <c r="E188" s="34"/>
      <c r="FM188" s="1"/>
      <c r="FN188" s="1"/>
    </row>
    <row r="189" spans="1:170" s="23" customFormat="1" x14ac:dyDescent="0.25">
      <c r="A189" s="32"/>
      <c r="C189" s="33"/>
      <c r="D189" s="34"/>
      <c r="E189" s="34"/>
      <c r="FM189" s="1"/>
      <c r="FN189" s="1"/>
    </row>
    <row r="190" spans="1:170" s="23" customFormat="1" ht="38.25" customHeight="1" x14ac:dyDescent="0.25">
      <c r="A190" s="32"/>
      <c r="C190" s="33"/>
      <c r="D190" s="34"/>
      <c r="E190" s="34"/>
      <c r="FM190" s="1"/>
      <c r="FN190" s="1"/>
    </row>
    <row r="191" spans="1:170" x14ac:dyDescent="0.25">
      <c r="A191" s="32"/>
      <c r="B191" s="23"/>
      <c r="C191" s="33"/>
      <c r="D191" s="34"/>
      <c r="E191" s="34"/>
      <c r="F191" s="23"/>
      <c r="G191" s="23"/>
      <c r="H191" s="23"/>
      <c r="FM191" s="23"/>
    </row>
    <row r="192" spans="1:170" x14ac:dyDescent="0.25">
      <c r="A192" s="32"/>
      <c r="B192" s="23"/>
      <c r="C192" s="33"/>
      <c r="D192" s="34"/>
      <c r="E192" s="34"/>
      <c r="F192" s="23"/>
      <c r="G192" s="23"/>
      <c r="H192" s="23"/>
      <c r="FM192" s="23"/>
    </row>
    <row r="193" spans="1:170" s="23" customFormat="1" x14ac:dyDescent="0.25">
      <c r="A193" s="32"/>
      <c r="C193" s="33"/>
      <c r="D193" s="34"/>
      <c r="E193" s="34"/>
      <c r="FM193" s="1"/>
      <c r="FN193" s="1"/>
    </row>
    <row r="194" spans="1:170" s="23" customFormat="1" x14ac:dyDescent="0.25">
      <c r="A194" s="32"/>
      <c r="C194" s="33"/>
      <c r="D194" s="34"/>
      <c r="E194" s="34"/>
      <c r="FM194" s="1"/>
      <c r="FN194" s="1"/>
    </row>
    <row r="195" spans="1:170" s="23" customFormat="1" x14ac:dyDescent="0.25">
      <c r="A195" s="32"/>
      <c r="C195" s="33"/>
      <c r="D195" s="34"/>
      <c r="E195" s="34"/>
      <c r="FM195" s="1"/>
      <c r="FN195" s="1"/>
    </row>
    <row r="196" spans="1:170" s="23" customFormat="1" x14ac:dyDescent="0.25">
      <c r="A196" s="32"/>
      <c r="C196" s="33"/>
      <c r="D196" s="34"/>
      <c r="E196" s="34"/>
    </row>
    <row r="197" spans="1:170" s="23" customFormat="1" x14ac:dyDescent="0.25">
      <c r="A197" s="32"/>
      <c r="C197" s="33"/>
      <c r="D197" s="34"/>
      <c r="E197" s="34"/>
    </row>
    <row r="198" spans="1:170" s="23" customFormat="1" x14ac:dyDescent="0.25">
      <c r="A198" s="32"/>
      <c r="C198" s="33"/>
      <c r="D198" s="34"/>
      <c r="E198" s="34"/>
    </row>
    <row r="199" spans="1:170" s="23" customFormat="1" x14ac:dyDescent="0.25">
      <c r="A199" s="32"/>
      <c r="C199" s="33"/>
      <c r="D199" s="34"/>
      <c r="E199" s="34"/>
    </row>
    <row r="200" spans="1:170" s="23" customFormat="1" x14ac:dyDescent="0.25">
      <c r="A200" s="32"/>
      <c r="C200" s="33"/>
      <c r="D200" s="34"/>
      <c r="E200" s="34"/>
    </row>
    <row r="201" spans="1:170" s="23" customFormat="1" x14ac:dyDescent="0.25">
      <c r="A201" s="32"/>
      <c r="C201" s="33"/>
      <c r="D201" s="34"/>
      <c r="E201" s="34"/>
    </row>
    <row r="202" spans="1:170" s="23" customFormat="1" x14ac:dyDescent="0.25">
      <c r="A202" s="32"/>
      <c r="C202" s="33"/>
      <c r="D202" s="34"/>
      <c r="E202" s="34"/>
    </row>
    <row r="203" spans="1:170" s="23" customFormat="1" x14ac:dyDescent="0.25">
      <c r="A203" s="32"/>
      <c r="C203" s="33"/>
      <c r="D203" s="34"/>
      <c r="E203" s="34"/>
    </row>
    <row r="204" spans="1:170" s="23" customFormat="1" x14ac:dyDescent="0.25">
      <c r="A204" s="32"/>
      <c r="C204" s="33"/>
      <c r="D204" s="34"/>
      <c r="E204" s="34"/>
    </row>
    <row r="205" spans="1:170" s="23" customFormat="1" x14ac:dyDescent="0.25">
      <c r="A205" s="32"/>
      <c r="C205" s="33"/>
      <c r="D205" s="34"/>
      <c r="E205" s="34"/>
    </row>
    <row r="206" spans="1:170" s="23" customFormat="1" x14ac:dyDescent="0.25">
      <c r="A206" s="32"/>
      <c r="C206" s="33"/>
      <c r="D206" s="34"/>
      <c r="E206" s="34"/>
    </row>
    <row r="207" spans="1:170" s="23" customFormat="1" x14ac:dyDescent="0.25">
      <c r="A207" s="32"/>
      <c r="C207" s="33"/>
      <c r="D207" s="34"/>
      <c r="E207" s="34"/>
    </row>
    <row r="208" spans="1:170" s="23" customFormat="1" x14ac:dyDescent="0.25">
      <c r="A208" s="32"/>
      <c r="C208" s="33"/>
      <c r="D208" s="34"/>
      <c r="E208" s="34"/>
    </row>
    <row r="209" spans="1:5" s="23" customFormat="1" x14ac:dyDescent="0.25">
      <c r="A209" s="32"/>
      <c r="C209" s="33"/>
      <c r="D209" s="34"/>
      <c r="E209" s="34"/>
    </row>
    <row r="210" spans="1:5" s="23" customFormat="1" x14ac:dyDescent="0.25">
      <c r="A210" s="32"/>
      <c r="C210" s="33"/>
      <c r="D210" s="34"/>
      <c r="E210" s="34"/>
    </row>
    <row r="211" spans="1:5" s="23" customFormat="1" x14ac:dyDescent="0.25">
      <c r="A211" s="32"/>
      <c r="C211" s="33"/>
      <c r="D211" s="34"/>
      <c r="E211" s="34"/>
    </row>
    <row r="212" spans="1:5" s="23" customFormat="1" x14ac:dyDescent="0.25">
      <c r="A212" s="32"/>
      <c r="C212" s="33"/>
      <c r="D212" s="34"/>
      <c r="E212" s="34"/>
    </row>
    <row r="213" spans="1:5" s="23" customFormat="1" x14ac:dyDescent="0.25">
      <c r="A213" s="32"/>
      <c r="C213" s="33"/>
      <c r="D213" s="34"/>
      <c r="E213" s="34"/>
    </row>
    <row r="214" spans="1:5" s="23" customFormat="1" x14ac:dyDescent="0.25">
      <c r="A214" s="32"/>
      <c r="C214" s="33"/>
      <c r="D214" s="34"/>
      <c r="E214" s="34"/>
    </row>
    <row r="215" spans="1:5" s="23" customFormat="1" x14ac:dyDescent="0.25">
      <c r="A215" s="32"/>
      <c r="C215" s="33"/>
      <c r="D215" s="34"/>
      <c r="E215" s="34"/>
    </row>
    <row r="216" spans="1:5" s="23" customFormat="1" x14ac:dyDescent="0.25">
      <c r="A216" s="32"/>
      <c r="C216" s="33"/>
      <c r="D216" s="34"/>
      <c r="E216" s="34"/>
    </row>
    <row r="217" spans="1:5" s="23" customFormat="1" x14ac:dyDescent="0.25">
      <c r="A217" s="32"/>
      <c r="C217" s="33"/>
      <c r="D217" s="34"/>
      <c r="E217" s="34"/>
    </row>
    <row r="218" spans="1:5" s="23" customFormat="1" x14ac:dyDescent="0.25">
      <c r="A218" s="32"/>
      <c r="C218" s="33"/>
      <c r="D218" s="34"/>
      <c r="E218" s="34"/>
    </row>
    <row r="219" spans="1:5" s="23" customFormat="1" x14ac:dyDescent="0.25">
      <c r="A219" s="32"/>
      <c r="C219" s="33"/>
      <c r="D219" s="34"/>
      <c r="E219" s="34"/>
    </row>
    <row r="220" spans="1:5" s="23" customFormat="1" x14ac:dyDescent="0.25">
      <c r="A220" s="32"/>
      <c r="C220" s="33"/>
      <c r="D220" s="34"/>
      <c r="E220" s="34"/>
    </row>
    <row r="221" spans="1:5" s="23" customFormat="1" x14ac:dyDescent="0.25">
      <c r="A221" s="32"/>
      <c r="C221" s="33"/>
      <c r="D221" s="34"/>
      <c r="E221" s="34"/>
    </row>
    <row r="222" spans="1:5" s="23" customFormat="1" x14ac:dyDescent="0.25">
      <c r="A222" s="32"/>
      <c r="C222" s="33"/>
      <c r="D222" s="34"/>
      <c r="E222" s="34"/>
    </row>
    <row r="223" spans="1:5" s="23" customFormat="1" x14ac:dyDescent="0.25">
      <c r="A223" s="32"/>
      <c r="C223" s="33"/>
      <c r="D223" s="34"/>
      <c r="E223" s="34"/>
    </row>
    <row r="224" spans="1:5" s="23" customFormat="1" x14ac:dyDescent="0.25">
      <c r="A224" s="32"/>
      <c r="C224" s="33"/>
      <c r="D224" s="34"/>
      <c r="E224" s="34"/>
    </row>
    <row r="225" spans="1:5" s="23" customFormat="1" x14ac:dyDescent="0.25">
      <c r="A225" s="32"/>
      <c r="C225" s="33"/>
      <c r="D225" s="34"/>
      <c r="E225" s="34"/>
    </row>
    <row r="226" spans="1:5" s="23" customFormat="1" x14ac:dyDescent="0.25">
      <c r="A226" s="32"/>
      <c r="C226" s="33"/>
      <c r="D226" s="34"/>
      <c r="E226" s="34"/>
    </row>
    <row r="227" spans="1:5" s="23" customFormat="1" x14ac:dyDescent="0.25">
      <c r="A227" s="32"/>
      <c r="C227" s="33"/>
      <c r="D227" s="34"/>
      <c r="E227" s="34"/>
    </row>
    <row r="228" spans="1:5" s="23" customFormat="1" x14ac:dyDescent="0.25">
      <c r="A228" s="32"/>
      <c r="C228" s="33"/>
      <c r="D228" s="34"/>
      <c r="E228" s="34"/>
    </row>
    <row r="229" spans="1:5" s="23" customFormat="1" x14ac:dyDescent="0.25">
      <c r="A229" s="32"/>
      <c r="C229" s="33"/>
      <c r="D229" s="34"/>
      <c r="E229" s="34"/>
    </row>
    <row r="230" spans="1:5" s="23" customFormat="1" x14ac:dyDescent="0.25">
      <c r="A230" s="32"/>
      <c r="C230" s="33"/>
      <c r="D230" s="34"/>
      <c r="E230" s="34"/>
    </row>
    <row r="231" spans="1:5" s="23" customFormat="1" x14ac:dyDescent="0.25">
      <c r="A231" s="32"/>
      <c r="C231" s="33"/>
      <c r="D231" s="34"/>
      <c r="E231" s="34"/>
    </row>
    <row r="232" spans="1:5" s="23" customFormat="1" x14ac:dyDescent="0.25">
      <c r="A232" s="32"/>
      <c r="C232" s="33"/>
      <c r="D232" s="34"/>
      <c r="E232" s="34"/>
    </row>
    <row r="233" spans="1:5" s="23" customFormat="1" x14ac:dyDescent="0.25">
      <c r="A233" s="32"/>
      <c r="C233" s="33"/>
      <c r="D233" s="34"/>
      <c r="E233" s="34"/>
    </row>
    <row r="234" spans="1:5" s="23" customFormat="1" x14ac:dyDescent="0.25">
      <c r="A234" s="32"/>
      <c r="C234" s="33"/>
      <c r="D234" s="34"/>
      <c r="E234" s="34"/>
    </row>
    <row r="235" spans="1:5" s="23" customFormat="1" x14ac:dyDescent="0.25">
      <c r="A235" s="32"/>
      <c r="C235" s="33"/>
      <c r="D235" s="34"/>
      <c r="E235" s="34"/>
    </row>
    <row r="236" spans="1:5" s="23" customFormat="1" x14ac:dyDescent="0.25">
      <c r="A236" s="32"/>
      <c r="C236" s="33"/>
      <c r="D236" s="34"/>
      <c r="E236" s="34"/>
    </row>
    <row r="237" spans="1:5" s="23" customFormat="1" x14ac:dyDescent="0.25">
      <c r="A237" s="32"/>
      <c r="C237" s="33"/>
      <c r="D237" s="34"/>
      <c r="E237" s="34"/>
    </row>
    <row r="238" spans="1:5" s="23" customFormat="1" x14ac:dyDescent="0.25">
      <c r="A238" s="32"/>
      <c r="C238" s="33"/>
      <c r="D238" s="34"/>
      <c r="E238" s="34"/>
    </row>
    <row r="239" spans="1:5" s="23" customFormat="1" x14ac:dyDescent="0.25">
      <c r="A239" s="32"/>
      <c r="C239" s="33"/>
      <c r="D239" s="34"/>
      <c r="E239" s="34"/>
    </row>
    <row r="240" spans="1:5" s="23" customFormat="1" x14ac:dyDescent="0.25">
      <c r="A240" s="32"/>
      <c r="C240" s="33"/>
      <c r="D240" s="34"/>
      <c r="E240" s="34"/>
    </row>
    <row r="241" spans="1:5" s="23" customFormat="1" x14ac:dyDescent="0.25">
      <c r="A241" s="32"/>
      <c r="C241" s="33"/>
      <c r="D241" s="34"/>
      <c r="E241" s="34"/>
    </row>
    <row r="242" spans="1:5" s="23" customFormat="1" x14ac:dyDescent="0.25">
      <c r="A242" s="32"/>
      <c r="C242" s="33"/>
      <c r="D242" s="34"/>
      <c r="E242" s="34"/>
    </row>
    <row r="243" spans="1:5" s="23" customFormat="1" x14ac:dyDescent="0.25">
      <c r="A243" s="32"/>
      <c r="C243" s="33"/>
      <c r="D243" s="34"/>
      <c r="E243" s="34"/>
    </row>
    <row r="244" spans="1:5" s="23" customFormat="1" x14ac:dyDescent="0.25">
      <c r="A244" s="32"/>
      <c r="C244" s="33"/>
      <c r="D244" s="34"/>
      <c r="E244" s="34"/>
    </row>
    <row r="245" spans="1:5" s="23" customFormat="1" x14ac:dyDescent="0.25">
      <c r="A245" s="32"/>
      <c r="C245" s="33"/>
      <c r="D245" s="34"/>
      <c r="E245" s="34"/>
    </row>
    <row r="246" spans="1:5" s="23" customFormat="1" x14ac:dyDescent="0.25">
      <c r="A246" s="32"/>
      <c r="C246" s="33"/>
      <c r="D246" s="34"/>
      <c r="E246" s="34"/>
    </row>
    <row r="247" spans="1:5" s="23" customFormat="1" x14ac:dyDescent="0.25">
      <c r="A247" s="32"/>
      <c r="C247" s="33"/>
      <c r="D247" s="34"/>
      <c r="E247" s="34"/>
    </row>
    <row r="248" spans="1:5" s="23" customFormat="1" x14ac:dyDescent="0.25">
      <c r="A248" s="32"/>
      <c r="C248" s="33"/>
      <c r="D248" s="34"/>
      <c r="E248" s="34"/>
    </row>
    <row r="249" spans="1:5" s="23" customFormat="1" x14ac:dyDescent="0.25">
      <c r="A249" s="32"/>
      <c r="C249" s="33"/>
      <c r="D249" s="34"/>
      <c r="E249" s="34"/>
    </row>
    <row r="250" spans="1:5" s="23" customFormat="1" x14ac:dyDescent="0.25">
      <c r="A250" s="32"/>
      <c r="C250" s="33"/>
      <c r="D250" s="34"/>
      <c r="E250" s="34"/>
    </row>
    <row r="251" spans="1:5" s="23" customFormat="1" x14ac:dyDescent="0.25">
      <c r="A251" s="32"/>
      <c r="C251" s="33"/>
      <c r="D251" s="34"/>
      <c r="E251" s="34"/>
    </row>
    <row r="252" spans="1:5" s="23" customFormat="1" x14ac:dyDescent="0.25">
      <c r="A252" s="32"/>
      <c r="C252" s="33"/>
      <c r="D252" s="34"/>
      <c r="E252" s="34"/>
    </row>
    <row r="253" spans="1:5" s="23" customFormat="1" x14ac:dyDescent="0.25">
      <c r="A253" s="32"/>
      <c r="C253" s="33"/>
      <c r="D253" s="34"/>
      <c r="E253" s="34"/>
    </row>
    <row r="254" spans="1:5" s="23" customFormat="1" x14ac:dyDescent="0.25">
      <c r="A254" s="32"/>
      <c r="C254" s="33"/>
      <c r="D254" s="34"/>
      <c r="E254" s="34"/>
    </row>
    <row r="255" spans="1:5" s="23" customFormat="1" x14ac:dyDescent="0.25">
      <c r="A255" s="32"/>
      <c r="C255" s="33"/>
      <c r="D255" s="34"/>
      <c r="E255" s="34"/>
    </row>
    <row r="256" spans="1:5" s="23" customFormat="1" x14ac:dyDescent="0.25">
      <c r="A256" s="32"/>
      <c r="C256" s="33"/>
      <c r="D256" s="34"/>
      <c r="E256" s="34"/>
    </row>
    <row r="257" spans="1:5" s="23" customFormat="1" x14ac:dyDescent="0.25">
      <c r="A257" s="32"/>
      <c r="C257" s="33"/>
      <c r="D257" s="34"/>
      <c r="E257" s="34"/>
    </row>
    <row r="258" spans="1:5" s="23" customFormat="1" x14ac:dyDescent="0.25">
      <c r="A258" s="32"/>
      <c r="C258" s="33"/>
      <c r="D258" s="34"/>
      <c r="E258" s="34"/>
    </row>
    <row r="259" spans="1:5" s="23" customFormat="1" x14ac:dyDescent="0.25">
      <c r="A259" s="32"/>
      <c r="C259" s="33"/>
      <c r="D259" s="34"/>
      <c r="E259" s="34"/>
    </row>
    <row r="260" spans="1:5" s="23" customFormat="1" x14ac:dyDescent="0.25">
      <c r="A260" s="32"/>
      <c r="C260" s="33"/>
      <c r="D260" s="34"/>
      <c r="E260" s="34"/>
    </row>
    <row r="261" spans="1:5" s="23" customFormat="1" x14ac:dyDescent="0.25">
      <c r="A261" s="32"/>
      <c r="C261" s="33"/>
      <c r="D261" s="34"/>
      <c r="E261" s="34"/>
    </row>
    <row r="262" spans="1:5" s="23" customFormat="1" x14ac:dyDescent="0.25">
      <c r="A262" s="32"/>
      <c r="C262" s="33"/>
      <c r="D262" s="34"/>
      <c r="E262" s="34"/>
    </row>
    <row r="263" spans="1:5" s="23" customFormat="1" x14ac:dyDescent="0.25">
      <c r="A263" s="32"/>
      <c r="C263" s="33"/>
      <c r="D263" s="34"/>
      <c r="E263" s="34"/>
    </row>
    <row r="264" spans="1:5" s="23" customFormat="1" x14ac:dyDescent="0.25">
      <c r="A264" s="32"/>
      <c r="C264" s="33"/>
      <c r="D264" s="34"/>
      <c r="E264" s="34"/>
    </row>
    <row r="265" spans="1:5" s="23" customFormat="1" x14ac:dyDescent="0.25">
      <c r="A265" s="32"/>
      <c r="C265" s="33"/>
      <c r="D265" s="34"/>
      <c r="E265" s="34"/>
    </row>
    <row r="266" spans="1:5" s="23" customFormat="1" x14ac:dyDescent="0.25">
      <c r="A266" s="32"/>
      <c r="C266" s="33"/>
      <c r="D266" s="34"/>
      <c r="E266" s="34"/>
    </row>
    <row r="267" spans="1:5" s="23" customFormat="1" x14ac:dyDescent="0.25">
      <c r="A267" s="32"/>
      <c r="C267" s="33"/>
      <c r="D267" s="34"/>
      <c r="E267" s="34"/>
    </row>
    <row r="268" spans="1:5" s="23" customFormat="1" x14ac:dyDescent="0.25">
      <c r="A268" s="32"/>
      <c r="C268" s="33"/>
      <c r="D268" s="34"/>
      <c r="E268" s="34"/>
    </row>
    <row r="269" spans="1:5" s="23" customFormat="1" x14ac:dyDescent="0.25">
      <c r="A269" s="32"/>
      <c r="C269" s="33"/>
      <c r="D269" s="34"/>
      <c r="E269" s="34"/>
    </row>
    <row r="270" spans="1:5" s="23" customFormat="1" x14ac:dyDescent="0.25">
      <c r="A270" s="32"/>
      <c r="C270" s="33"/>
      <c r="D270" s="34"/>
      <c r="E270" s="34"/>
    </row>
    <row r="271" spans="1:5" s="23" customFormat="1" x14ac:dyDescent="0.25">
      <c r="A271" s="32"/>
      <c r="C271" s="33"/>
      <c r="D271" s="34"/>
      <c r="E271" s="34"/>
    </row>
    <row r="272" spans="1:5" s="23" customFormat="1" x14ac:dyDescent="0.25">
      <c r="A272" s="32"/>
      <c r="C272" s="33"/>
      <c r="D272" s="34"/>
      <c r="E272" s="34"/>
    </row>
    <row r="273" spans="1:5" s="23" customFormat="1" x14ac:dyDescent="0.25">
      <c r="A273" s="32"/>
      <c r="C273" s="33"/>
      <c r="D273" s="34"/>
      <c r="E273" s="34"/>
    </row>
    <row r="274" spans="1:5" s="23" customFormat="1" x14ac:dyDescent="0.25">
      <c r="A274" s="32"/>
      <c r="C274" s="33"/>
      <c r="D274" s="34"/>
      <c r="E274" s="34"/>
    </row>
    <row r="275" spans="1:5" s="23" customFormat="1" x14ac:dyDescent="0.25">
      <c r="A275" s="32"/>
      <c r="C275" s="33"/>
      <c r="D275" s="34"/>
      <c r="E275" s="34"/>
    </row>
    <row r="276" spans="1:5" s="23" customFormat="1" x14ac:dyDescent="0.25">
      <c r="A276" s="32"/>
      <c r="C276" s="33"/>
      <c r="D276" s="34"/>
      <c r="E276" s="34"/>
    </row>
    <row r="277" spans="1:5" s="23" customFormat="1" x14ac:dyDescent="0.25">
      <c r="A277" s="32"/>
      <c r="C277" s="33"/>
      <c r="D277" s="34"/>
      <c r="E277" s="34"/>
    </row>
    <row r="278" spans="1:5" s="23" customFormat="1" x14ac:dyDescent="0.25">
      <c r="A278" s="32"/>
      <c r="C278" s="33"/>
      <c r="D278" s="34"/>
      <c r="E278" s="34"/>
    </row>
    <row r="279" spans="1:5" s="23" customFormat="1" x14ac:dyDescent="0.25">
      <c r="A279" s="32"/>
      <c r="C279" s="33"/>
      <c r="D279" s="34"/>
      <c r="E279" s="34"/>
    </row>
    <row r="280" spans="1:5" s="23" customFormat="1" x14ac:dyDescent="0.25">
      <c r="A280" s="32"/>
      <c r="C280" s="33"/>
      <c r="D280" s="34"/>
      <c r="E280" s="34"/>
    </row>
    <row r="281" spans="1:5" s="23" customFormat="1" x14ac:dyDescent="0.25">
      <c r="A281" s="32"/>
      <c r="C281" s="33"/>
      <c r="D281" s="34"/>
      <c r="E281" s="34"/>
    </row>
    <row r="282" spans="1:5" s="23" customFormat="1" x14ac:dyDescent="0.25">
      <c r="A282" s="32"/>
      <c r="C282" s="33"/>
      <c r="D282" s="34"/>
      <c r="E282" s="34"/>
    </row>
    <row r="283" spans="1:5" s="23" customFormat="1" x14ac:dyDescent="0.25">
      <c r="A283" s="32"/>
      <c r="C283" s="33"/>
      <c r="D283" s="34"/>
      <c r="E283" s="34"/>
    </row>
    <row r="284" spans="1:5" s="23" customFormat="1" x14ac:dyDescent="0.25">
      <c r="A284" s="32"/>
      <c r="C284" s="33"/>
      <c r="D284" s="34"/>
      <c r="E284" s="34"/>
    </row>
    <row r="285" spans="1:5" s="23" customFormat="1" x14ac:dyDescent="0.25">
      <c r="A285" s="32"/>
      <c r="C285" s="33"/>
      <c r="D285" s="34"/>
      <c r="E285" s="34"/>
    </row>
    <row r="286" spans="1:5" s="23" customFormat="1" x14ac:dyDescent="0.25">
      <c r="A286" s="32"/>
      <c r="C286" s="33"/>
      <c r="D286" s="34"/>
      <c r="E286" s="34"/>
    </row>
    <row r="287" spans="1:5" s="23" customFormat="1" x14ac:dyDescent="0.25">
      <c r="A287" s="32"/>
      <c r="C287" s="33"/>
      <c r="D287" s="34"/>
      <c r="E287" s="34"/>
    </row>
    <row r="288" spans="1:5" s="23" customFormat="1" x14ac:dyDescent="0.25">
      <c r="A288" s="32"/>
      <c r="C288" s="33"/>
      <c r="D288" s="34"/>
      <c r="E288" s="34"/>
    </row>
    <row r="289" spans="1:5" s="23" customFormat="1" x14ac:dyDescent="0.25">
      <c r="A289" s="32"/>
      <c r="C289" s="33"/>
      <c r="D289" s="34"/>
      <c r="E289" s="34"/>
    </row>
    <row r="290" spans="1:5" s="23" customFormat="1" x14ac:dyDescent="0.25">
      <c r="A290" s="32"/>
      <c r="C290" s="33"/>
      <c r="D290" s="34"/>
      <c r="E290" s="34"/>
    </row>
    <row r="291" spans="1:5" s="23" customFormat="1" x14ac:dyDescent="0.25">
      <c r="A291" s="32"/>
      <c r="C291" s="33"/>
      <c r="D291" s="34"/>
      <c r="E291" s="34"/>
    </row>
    <row r="292" spans="1:5" s="23" customFormat="1" x14ac:dyDescent="0.25">
      <c r="A292" s="32"/>
      <c r="C292" s="33"/>
      <c r="D292" s="34"/>
      <c r="E292" s="34"/>
    </row>
    <row r="293" spans="1:5" s="23" customFormat="1" x14ac:dyDescent="0.25">
      <c r="A293" s="32"/>
      <c r="C293" s="33"/>
      <c r="D293" s="34"/>
      <c r="E293" s="34"/>
    </row>
    <row r="294" spans="1:5" s="23" customFormat="1" x14ac:dyDescent="0.25">
      <c r="A294" s="32"/>
      <c r="C294" s="33"/>
      <c r="D294" s="34"/>
      <c r="E294" s="34"/>
    </row>
    <row r="295" spans="1:5" s="23" customFormat="1" x14ac:dyDescent="0.25">
      <c r="A295" s="32"/>
      <c r="C295" s="33"/>
      <c r="D295" s="34"/>
      <c r="E295" s="34"/>
    </row>
    <row r="296" spans="1:5" s="23" customFormat="1" x14ac:dyDescent="0.25">
      <c r="A296" s="32"/>
      <c r="C296" s="33"/>
      <c r="D296" s="34"/>
      <c r="E296" s="34"/>
    </row>
    <row r="297" spans="1:5" s="23" customFormat="1" x14ac:dyDescent="0.25">
      <c r="A297" s="32"/>
      <c r="C297" s="33"/>
      <c r="D297" s="34"/>
      <c r="E297" s="34"/>
    </row>
    <row r="298" spans="1:5" s="23" customFormat="1" x14ac:dyDescent="0.25">
      <c r="A298" s="32"/>
      <c r="C298" s="33"/>
      <c r="D298" s="34"/>
      <c r="E298" s="34"/>
    </row>
    <row r="299" spans="1:5" s="23" customFormat="1" x14ac:dyDescent="0.25">
      <c r="A299" s="32"/>
      <c r="C299" s="33"/>
      <c r="D299" s="34"/>
      <c r="E299" s="34"/>
    </row>
    <row r="300" spans="1:5" s="23" customFormat="1" x14ac:dyDescent="0.25">
      <c r="A300" s="32"/>
      <c r="C300" s="33"/>
      <c r="D300" s="34"/>
      <c r="E300" s="34"/>
    </row>
    <row r="301" spans="1:5" s="23" customFormat="1" x14ac:dyDescent="0.25">
      <c r="A301" s="32"/>
      <c r="C301" s="33"/>
      <c r="D301" s="34"/>
      <c r="E301" s="34"/>
    </row>
    <row r="302" spans="1:5" s="23" customFormat="1" x14ac:dyDescent="0.25">
      <c r="A302" s="32"/>
      <c r="C302" s="33"/>
      <c r="D302" s="34"/>
      <c r="E302" s="34"/>
    </row>
    <row r="303" spans="1:5" s="23" customFormat="1" x14ac:dyDescent="0.25">
      <c r="A303" s="32"/>
      <c r="C303" s="33"/>
      <c r="D303" s="34"/>
      <c r="E303" s="34"/>
    </row>
    <row r="304" spans="1:5" s="23" customFormat="1" x14ac:dyDescent="0.25">
      <c r="A304" s="32"/>
      <c r="C304" s="33"/>
      <c r="D304" s="34"/>
      <c r="E304" s="34"/>
    </row>
    <row r="305" spans="1:5" s="23" customFormat="1" x14ac:dyDescent="0.25">
      <c r="A305" s="32"/>
      <c r="C305" s="33"/>
      <c r="D305" s="34"/>
      <c r="E305" s="34"/>
    </row>
    <row r="306" spans="1:5" s="23" customFormat="1" x14ac:dyDescent="0.25">
      <c r="A306" s="32"/>
      <c r="C306" s="33"/>
      <c r="D306" s="34"/>
      <c r="E306" s="34"/>
    </row>
    <row r="307" spans="1:5" s="23" customFormat="1" x14ac:dyDescent="0.25">
      <c r="A307" s="32"/>
      <c r="C307" s="33"/>
      <c r="D307" s="34"/>
      <c r="E307" s="34"/>
    </row>
    <row r="308" spans="1:5" s="23" customFormat="1" x14ac:dyDescent="0.25">
      <c r="A308" s="32"/>
      <c r="C308" s="33"/>
      <c r="D308" s="34"/>
      <c r="E308" s="34"/>
    </row>
    <row r="309" spans="1:5" s="23" customFormat="1" x14ac:dyDescent="0.25">
      <c r="A309" s="32"/>
      <c r="C309" s="33"/>
      <c r="D309" s="34"/>
      <c r="E309" s="34"/>
    </row>
    <row r="310" spans="1:5" s="23" customFormat="1" x14ac:dyDescent="0.25">
      <c r="A310" s="32"/>
      <c r="C310" s="33"/>
      <c r="D310" s="34"/>
      <c r="E310" s="34"/>
    </row>
    <row r="311" spans="1:5" s="23" customFormat="1" x14ac:dyDescent="0.25">
      <c r="A311" s="32"/>
      <c r="C311" s="33"/>
      <c r="D311" s="34"/>
      <c r="E311" s="34"/>
    </row>
    <row r="312" spans="1:5" s="23" customFormat="1" x14ac:dyDescent="0.25">
      <c r="A312" s="32"/>
      <c r="C312" s="33"/>
      <c r="D312" s="34"/>
      <c r="E312" s="34"/>
    </row>
    <row r="313" spans="1:5" s="23" customFormat="1" x14ac:dyDescent="0.25">
      <c r="A313" s="32"/>
      <c r="C313" s="33"/>
      <c r="D313" s="34"/>
      <c r="E313" s="34"/>
    </row>
    <row r="314" spans="1:5" s="23" customFormat="1" x14ac:dyDescent="0.25">
      <c r="A314" s="32"/>
      <c r="C314" s="33"/>
      <c r="D314" s="34"/>
      <c r="E314" s="34"/>
    </row>
    <row r="315" spans="1:5" s="23" customFormat="1" x14ac:dyDescent="0.25">
      <c r="A315" s="32"/>
      <c r="C315" s="33"/>
      <c r="D315" s="34"/>
      <c r="E315" s="34"/>
    </row>
    <row r="316" spans="1:5" s="23" customFormat="1" x14ac:dyDescent="0.25">
      <c r="A316" s="32"/>
      <c r="C316" s="33"/>
      <c r="D316" s="34"/>
      <c r="E316" s="34"/>
    </row>
    <row r="317" spans="1:5" s="23" customFormat="1" x14ac:dyDescent="0.25">
      <c r="A317" s="32"/>
      <c r="C317" s="33"/>
      <c r="D317" s="34"/>
      <c r="E317" s="34"/>
    </row>
    <row r="318" spans="1:5" s="23" customFormat="1" x14ac:dyDescent="0.25">
      <c r="A318" s="32"/>
      <c r="C318" s="33"/>
      <c r="D318" s="34"/>
      <c r="E318" s="34"/>
    </row>
    <row r="319" spans="1:5" s="23" customFormat="1" x14ac:dyDescent="0.25">
      <c r="A319" s="32"/>
      <c r="C319" s="33"/>
      <c r="D319" s="34"/>
      <c r="E319" s="34"/>
    </row>
    <row r="320" spans="1:5" s="23" customFormat="1" x14ac:dyDescent="0.25">
      <c r="A320" s="32"/>
      <c r="C320" s="33"/>
      <c r="D320" s="34"/>
      <c r="E320" s="34"/>
    </row>
    <row r="321" spans="1:5" s="23" customFormat="1" x14ac:dyDescent="0.25">
      <c r="A321" s="32"/>
      <c r="C321" s="33"/>
      <c r="D321" s="34"/>
      <c r="E321" s="34"/>
    </row>
    <row r="322" spans="1:5" s="23" customFormat="1" x14ac:dyDescent="0.25">
      <c r="A322" s="32"/>
      <c r="C322" s="33"/>
      <c r="D322" s="34"/>
      <c r="E322" s="34"/>
    </row>
    <row r="323" spans="1:5" s="23" customFormat="1" x14ac:dyDescent="0.25">
      <c r="A323" s="32"/>
      <c r="C323" s="33"/>
      <c r="D323" s="34"/>
      <c r="E323" s="34"/>
    </row>
    <row r="324" spans="1:5" s="23" customFormat="1" x14ac:dyDescent="0.25">
      <c r="A324" s="32"/>
      <c r="C324" s="33"/>
      <c r="D324" s="34"/>
      <c r="E324" s="34"/>
    </row>
    <row r="325" spans="1:5" s="23" customFormat="1" x14ac:dyDescent="0.25">
      <c r="A325" s="32"/>
      <c r="C325" s="33"/>
      <c r="D325" s="34"/>
      <c r="E325" s="34"/>
    </row>
    <row r="326" spans="1:5" s="23" customFormat="1" x14ac:dyDescent="0.25">
      <c r="A326" s="32"/>
      <c r="C326" s="33"/>
      <c r="D326" s="34"/>
      <c r="E326" s="34"/>
    </row>
    <row r="327" spans="1:5" s="23" customFormat="1" x14ac:dyDescent="0.25">
      <c r="A327" s="32"/>
      <c r="C327" s="33"/>
      <c r="D327" s="34"/>
      <c r="E327" s="34"/>
    </row>
    <row r="328" spans="1:5" s="23" customFormat="1" x14ac:dyDescent="0.25">
      <c r="A328" s="32"/>
      <c r="C328" s="33"/>
      <c r="D328" s="34"/>
      <c r="E328" s="34"/>
    </row>
    <row r="329" spans="1:5" s="23" customFormat="1" x14ac:dyDescent="0.25">
      <c r="A329" s="32"/>
      <c r="C329" s="33"/>
      <c r="D329" s="34"/>
      <c r="E329" s="34"/>
    </row>
    <row r="330" spans="1:5" s="23" customFormat="1" x14ac:dyDescent="0.25">
      <c r="A330" s="32"/>
      <c r="C330" s="33"/>
      <c r="D330" s="34"/>
      <c r="E330" s="34"/>
    </row>
    <row r="331" spans="1:5" s="23" customFormat="1" x14ac:dyDescent="0.25">
      <c r="A331" s="32"/>
      <c r="C331" s="33"/>
      <c r="D331" s="34"/>
      <c r="E331" s="34"/>
    </row>
    <row r="332" spans="1:5" s="23" customFormat="1" x14ac:dyDescent="0.25">
      <c r="A332" s="32"/>
      <c r="C332" s="33"/>
      <c r="D332" s="34"/>
      <c r="E332" s="34"/>
    </row>
    <row r="333" spans="1:5" s="23" customFormat="1" x14ac:dyDescent="0.25">
      <c r="A333" s="32"/>
      <c r="C333" s="33"/>
      <c r="D333" s="34"/>
      <c r="E333" s="34"/>
    </row>
    <row r="334" spans="1:5" s="23" customFormat="1" x14ac:dyDescent="0.25">
      <c r="A334" s="32"/>
      <c r="C334" s="33"/>
      <c r="D334" s="34"/>
      <c r="E334" s="34"/>
    </row>
    <row r="335" spans="1:5" s="23" customFormat="1" x14ac:dyDescent="0.25">
      <c r="A335" s="32"/>
      <c r="C335" s="33"/>
      <c r="D335" s="34"/>
      <c r="E335" s="34"/>
    </row>
    <row r="336" spans="1:5" s="23" customFormat="1" x14ac:dyDescent="0.25">
      <c r="A336" s="32"/>
      <c r="C336" s="33"/>
      <c r="D336" s="34"/>
      <c r="E336" s="34"/>
    </row>
    <row r="337" spans="1:5" s="23" customFormat="1" x14ac:dyDescent="0.25">
      <c r="A337" s="32"/>
      <c r="C337" s="33"/>
      <c r="D337" s="34"/>
      <c r="E337" s="34"/>
    </row>
    <row r="338" spans="1:5" s="23" customFormat="1" x14ac:dyDescent="0.25">
      <c r="A338" s="32"/>
      <c r="C338" s="33"/>
      <c r="D338" s="34"/>
      <c r="E338" s="34"/>
    </row>
    <row r="339" spans="1:5" s="23" customFormat="1" x14ac:dyDescent="0.25">
      <c r="A339" s="32"/>
      <c r="C339" s="33"/>
      <c r="D339" s="34"/>
      <c r="E339" s="34"/>
    </row>
    <row r="340" spans="1:5" s="23" customFormat="1" x14ac:dyDescent="0.25">
      <c r="A340" s="32"/>
      <c r="C340" s="33"/>
      <c r="D340" s="34"/>
      <c r="E340" s="34"/>
    </row>
    <row r="341" spans="1:5" s="23" customFormat="1" x14ac:dyDescent="0.25">
      <c r="A341" s="32"/>
      <c r="C341" s="33"/>
      <c r="D341" s="34"/>
      <c r="E341" s="34"/>
    </row>
    <row r="342" spans="1:5" s="23" customFormat="1" x14ac:dyDescent="0.25">
      <c r="A342" s="32"/>
      <c r="C342" s="33"/>
      <c r="D342" s="34"/>
      <c r="E342" s="34"/>
    </row>
    <row r="343" spans="1:5" s="23" customFormat="1" x14ac:dyDescent="0.25">
      <c r="A343" s="32"/>
      <c r="C343" s="33"/>
      <c r="D343" s="34"/>
      <c r="E343" s="34"/>
    </row>
    <row r="344" spans="1:5" s="23" customFormat="1" x14ac:dyDescent="0.25">
      <c r="A344" s="32"/>
      <c r="C344" s="33"/>
      <c r="D344" s="34"/>
      <c r="E344" s="34"/>
    </row>
    <row r="345" spans="1:5" s="23" customFormat="1" x14ac:dyDescent="0.25">
      <c r="A345" s="32"/>
      <c r="C345" s="33"/>
      <c r="D345" s="34"/>
      <c r="E345" s="34"/>
    </row>
    <row r="346" spans="1:5" s="23" customFormat="1" x14ac:dyDescent="0.25">
      <c r="A346" s="32"/>
      <c r="C346" s="33"/>
      <c r="D346" s="34"/>
      <c r="E346" s="34"/>
    </row>
    <row r="347" spans="1:5" s="23" customFormat="1" x14ac:dyDescent="0.25">
      <c r="A347" s="32"/>
      <c r="C347" s="33"/>
      <c r="D347" s="34"/>
      <c r="E347" s="34"/>
    </row>
    <row r="348" spans="1:5" s="23" customFormat="1" x14ac:dyDescent="0.25">
      <c r="A348" s="32"/>
      <c r="C348" s="33"/>
      <c r="D348" s="34"/>
      <c r="E348" s="34"/>
    </row>
    <row r="349" spans="1:5" s="23" customFormat="1" x14ac:dyDescent="0.25">
      <c r="A349" s="32"/>
      <c r="C349" s="33"/>
      <c r="D349" s="34"/>
      <c r="E349" s="34"/>
    </row>
    <row r="350" spans="1:5" s="23" customFormat="1" x14ac:dyDescent="0.25">
      <c r="A350" s="32"/>
      <c r="C350" s="33"/>
      <c r="D350" s="34"/>
      <c r="E350" s="34"/>
    </row>
    <row r="351" spans="1:5" s="23" customFormat="1" x14ac:dyDescent="0.25">
      <c r="A351" s="32"/>
      <c r="C351" s="33"/>
      <c r="D351" s="34"/>
      <c r="E351" s="34"/>
    </row>
    <row r="352" spans="1:5" s="23" customFormat="1" x14ac:dyDescent="0.25">
      <c r="A352" s="32"/>
      <c r="C352" s="33"/>
      <c r="D352" s="34"/>
      <c r="E352" s="34"/>
    </row>
    <row r="353" spans="1:5" s="23" customFormat="1" x14ac:dyDescent="0.25">
      <c r="A353" s="32"/>
      <c r="C353" s="33"/>
      <c r="D353" s="34"/>
      <c r="E353" s="34"/>
    </row>
    <row r="354" spans="1:5" s="23" customFormat="1" x14ac:dyDescent="0.25">
      <c r="A354" s="32"/>
      <c r="C354" s="33"/>
      <c r="D354" s="34"/>
      <c r="E354" s="34"/>
    </row>
    <row r="355" spans="1:5" s="23" customFormat="1" x14ac:dyDescent="0.25">
      <c r="A355" s="32"/>
      <c r="C355" s="33"/>
      <c r="D355" s="34"/>
      <c r="E355" s="34"/>
    </row>
    <row r="356" spans="1:5" s="23" customFormat="1" x14ac:dyDescent="0.25">
      <c r="A356" s="32"/>
      <c r="C356" s="33"/>
      <c r="D356" s="34"/>
      <c r="E356" s="34"/>
    </row>
    <row r="357" spans="1:5" s="23" customFormat="1" x14ac:dyDescent="0.25">
      <c r="A357" s="32"/>
      <c r="C357" s="33"/>
      <c r="D357" s="34"/>
      <c r="E357" s="34"/>
    </row>
    <row r="358" spans="1:5" s="23" customFormat="1" x14ac:dyDescent="0.25">
      <c r="A358" s="32"/>
      <c r="C358" s="33"/>
      <c r="D358" s="34"/>
      <c r="E358" s="34"/>
    </row>
    <row r="359" spans="1:5" s="23" customFormat="1" x14ac:dyDescent="0.25">
      <c r="A359" s="32"/>
      <c r="C359" s="33"/>
      <c r="D359" s="34"/>
      <c r="E359" s="34"/>
    </row>
    <row r="360" spans="1:5" s="23" customFormat="1" x14ac:dyDescent="0.25">
      <c r="A360" s="32"/>
      <c r="C360" s="33"/>
      <c r="D360" s="34"/>
      <c r="E360" s="34"/>
    </row>
    <row r="361" spans="1:5" s="23" customFormat="1" x14ac:dyDescent="0.25">
      <c r="A361" s="32"/>
      <c r="C361" s="33"/>
      <c r="D361" s="34"/>
      <c r="E361" s="34"/>
    </row>
    <row r="362" spans="1:5" s="23" customFormat="1" x14ac:dyDescent="0.25">
      <c r="A362" s="32"/>
      <c r="C362" s="33"/>
      <c r="D362" s="34"/>
      <c r="E362" s="34"/>
    </row>
    <row r="363" spans="1:5" s="23" customFormat="1" x14ac:dyDescent="0.25">
      <c r="A363" s="32"/>
      <c r="C363" s="33"/>
      <c r="D363" s="34"/>
      <c r="E363" s="34"/>
    </row>
    <row r="364" spans="1:5" s="23" customFormat="1" x14ac:dyDescent="0.25">
      <c r="A364" s="32"/>
      <c r="C364" s="33"/>
      <c r="D364" s="34"/>
      <c r="E364" s="34"/>
    </row>
    <row r="365" spans="1:5" s="23" customFormat="1" x14ac:dyDescent="0.25">
      <c r="A365" s="32"/>
      <c r="C365" s="33"/>
      <c r="D365" s="34"/>
      <c r="E365" s="34"/>
    </row>
    <row r="366" spans="1:5" s="23" customFormat="1" x14ac:dyDescent="0.25">
      <c r="A366" s="32"/>
      <c r="C366" s="33"/>
      <c r="D366" s="34"/>
      <c r="E366" s="34"/>
    </row>
    <row r="367" spans="1:5" s="23" customFormat="1" x14ac:dyDescent="0.25">
      <c r="A367" s="32"/>
      <c r="C367" s="33"/>
      <c r="D367" s="34"/>
      <c r="E367" s="34"/>
    </row>
    <row r="368" spans="1:5" s="23" customFormat="1" x14ac:dyDescent="0.25">
      <c r="A368" s="32"/>
      <c r="C368" s="33"/>
      <c r="D368" s="34"/>
      <c r="E368" s="34"/>
    </row>
    <row r="369" spans="1:5" s="23" customFormat="1" x14ac:dyDescent="0.25">
      <c r="A369" s="32"/>
      <c r="C369" s="33"/>
      <c r="D369" s="34"/>
      <c r="E369" s="34"/>
    </row>
    <row r="370" spans="1:5" s="23" customFormat="1" x14ac:dyDescent="0.25">
      <c r="A370" s="32"/>
      <c r="C370" s="33"/>
      <c r="D370" s="34"/>
      <c r="E370" s="34"/>
    </row>
    <row r="371" spans="1:5" s="23" customFormat="1" x14ac:dyDescent="0.25">
      <c r="A371" s="32"/>
      <c r="C371" s="33"/>
      <c r="D371" s="34"/>
      <c r="E371" s="34"/>
    </row>
    <row r="372" spans="1:5" s="23" customFormat="1" x14ac:dyDescent="0.25">
      <c r="A372" s="32"/>
      <c r="C372" s="33"/>
      <c r="D372" s="34"/>
      <c r="E372" s="34"/>
    </row>
    <row r="373" spans="1:5" s="23" customFormat="1" x14ac:dyDescent="0.25">
      <c r="A373" s="32"/>
      <c r="C373" s="33"/>
      <c r="D373" s="34"/>
      <c r="E373" s="34"/>
    </row>
    <row r="374" spans="1:5" s="23" customFormat="1" x14ac:dyDescent="0.25">
      <c r="A374" s="32"/>
      <c r="C374" s="33"/>
      <c r="D374" s="34"/>
      <c r="E374" s="34"/>
    </row>
    <row r="375" spans="1:5" s="23" customFormat="1" x14ac:dyDescent="0.25">
      <c r="A375" s="32"/>
      <c r="C375" s="33"/>
      <c r="D375" s="34"/>
      <c r="E375" s="34"/>
    </row>
    <row r="376" spans="1:5" s="23" customFormat="1" x14ac:dyDescent="0.25">
      <c r="A376" s="32"/>
      <c r="C376" s="33"/>
      <c r="D376" s="34"/>
      <c r="E376" s="34"/>
    </row>
    <row r="377" spans="1:5" s="23" customFormat="1" x14ac:dyDescent="0.25">
      <c r="A377" s="32"/>
      <c r="C377" s="33"/>
      <c r="D377" s="34"/>
      <c r="E377" s="34"/>
    </row>
    <row r="378" spans="1:5" s="23" customFormat="1" x14ac:dyDescent="0.25">
      <c r="A378" s="32"/>
      <c r="C378" s="33"/>
      <c r="D378" s="34"/>
      <c r="E378" s="34"/>
    </row>
    <row r="379" spans="1:5" s="23" customFormat="1" x14ac:dyDescent="0.25">
      <c r="A379" s="32"/>
      <c r="C379" s="33"/>
      <c r="D379" s="34"/>
      <c r="E379" s="34"/>
    </row>
    <row r="380" spans="1:5" s="23" customFormat="1" x14ac:dyDescent="0.25">
      <c r="A380" s="32"/>
      <c r="C380" s="33"/>
      <c r="D380" s="34"/>
      <c r="E380" s="34"/>
    </row>
    <row r="381" spans="1:5" s="23" customFormat="1" x14ac:dyDescent="0.25">
      <c r="A381" s="32"/>
      <c r="C381" s="33"/>
      <c r="D381" s="34"/>
      <c r="E381" s="34"/>
    </row>
    <row r="382" spans="1:5" s="23" customFormat="1" x14ac:dyDescent="0.25">
      <c r="A382" s="32"/>
      <c r="C382" s="33"/>
      <c r="D382" s="34"/>
      <c r="E382" s="34"/>
    </row>
    <row r="383" spans="1:5" s="23" customFormat="1" x14ac:dyDescent="0.25">
      <c r="A383" s="32"/>
      <c r="C383" s="33"/>
      <c r="D383" s="34"/>
      <c r="E383" s="34"/>
    </row>
    <row r="384" spans="1:5" s="23" customFormat="1" x14ac:dyDescent="0.25">
      <c r="A384" s="32"/>
      <c r="C384" s="33"/>
      <c r="D384" s="34"/>
      <c r="E384" s="34"/>
    </row>
    <row r="385" spans="1:5" s="23" customFormat="1" x14ac:dyDescent="0.25">
      <c r="A385" s="32"/>
      <c r="C385" s="33"/>
      <c r="D385" s="34"/>
      <c r="E385" s="34"/>
    </row>
    <row r="386" spans="1:5" s="23" customFormat="1" x14ac:dyDescent="0.25">
      <c r="A386" s="32"/>
      <c r="C386" s="33"/>
      <c r="D386" s="34"/>
      <c r="E386" s="34"/>
    </row>
    <row r="387" spans="1:5" s="23" customFormat="1" x14ac:dyDescent="0.25">
      <c r="A387" s="32"/>
      <c r="C387" s="33"/>
      <c r="D387" s="34"/>
      <c r="E387" s="34"/>
    </row>
    <row r="388" spans="1:5" s="23" customFormat="1" x14ac:dyDescent="0.25">
      <c r="A388" s="32"/>
      <c r="C388" s="33"/>
      <c r="D388" s="34"/>
      <c r="E388" s="34"/>
    </row>
    <row r="389" spans="1:5" s="23" customFormat="1" x14ac:dyDescent="0.25">
      <c r="A389" s="32"/>
      <c r="C389" s="33"/>
      <c r="D389" s="34"/>
      <c r="E389" s="34"/>
    </row>
    <row r="390" spans="1:5" s="23" customFormat="1" x14ac:dyDescent="0.25">
      <c r="A390" s="32"/>
      <c r="C390" s="33"/>
      <c r="D390" s="34"/>
      <c r="E390" s="34"/>
    </row>
    <row r="391" spans="1:5" s="23" customFormat="1" x14ac:dyDescent="0.25">
      <c r="A391" s="32"/>
      <c r="C391" s="33"/>
      <c r="D391" s="34"/>
      <c r="E391" s="34"/>
    </row>
    <row r="392" spans="1:5" s="23" customFormat="1" x14ac:dyDescent="0.25">
      <c r="A392" s="32"/>
      <c r="C392" s="33"/>
      <c r="D392" s="34"/>
      <c r="E392" s="34"/>
    </row>
    <row r="393" spans="1:5" s="23" customFormat="1" x14ac:dyDescent="0.25">
      <c r="A393" s="32"/>
      <c r="C393" s="33"/>
      <c r="D393" s="34"/>
      <c r="E393" s="34"/>
    </row>
    <row r="394" spans="1:5" s="23" customFormat="1" x14ac:dyDescent="0.25">
      <c r="A394" s="32"/>
      <c r="C394" s="33"/>
      <c r="D394" s="34"/>
      <c r="E394" s="34"/>
    </row>
    <row r="395" spans="1:5" s="23" customFormat="1" x14ac:dyDescent="0.25">
      <c r="A395" s="32"/>
      <c r="C395" s="33"/>
      <c r="D395" s="34"/>
      <c r="E395" s="34"/>
    </row>
    <row r="396" spans="1:5" s="23" customFormat="1" x14ac:dyDescent="0.25">
      <c r="A396" s="32"/>
      <c r="C396" s="33"/>
      <c r="D396" s="34"/>
      <c r="E396" s="34"/>
    </row>
    <row r="397" spans="1:5" s="23" customFormat="1" x14ac:dyDescent="0.25">
      <c r="A397" s="32"/>
      <c r="C397" s="33"/>
      <c r="D397" s="34"/>
      <c r="E397" s="34"/>
    </row>
    <row r="398" spans="1:5" s="23" customFormat="1" x14ac:dyDescent="0.25">
      <c r="A398" s="32"/>
      <c r="C398" s="33"/>
      <c r="D398" s="34"/>
      <c r="E398" s="34"/>
    </row>
    <row r="399" spans="1:5" s="23" customFormat="1" x14ac:dyDescent="0.25">
      <c r="A399" s="32"/>
      <c r="C399" s="33"/>
      <c r="D399" s="34"/>
      <c r="E399" s="34"/>
    </row>
    <row r="400" spans="1:5" s="23" customFormat="1" x14ac:dyDescent="0.25">
      <c r="A400" s="32"/>
      <c r="C400" s="33"/>
      <c r="D400" s="34"/>
      <c r="E400" s="34"/>
    </row>
    <row r="401" spans="1:5" s="23" customFormat="1" x14ac:dyDescent="0.25">
      <c r="A401" s="32"/>
      <c r="C401" s="33"/>
      <c r="D401" s="34"/>
      <c r="E401" s="34"/>
    </row>
    <row r="402" spans="1:5" s="23" customFormat="1" x14ac:dyDescent="0.25">
      <c r="A402" s="32"/>
      <c r="C402" s="33"/>
      <c r="D402" s="34"/>
      <c r="E402" s="34"/>
    </row>
    <row r="403" spans="1:5" s="23" customFormat="1" x14ac:dyDescent="0.25">
      <c r="A403" s="32"/>
      <c r="C403" s="33"/>
      <c r="D403" s="34"/>
      <c r="E403" s="34"/>
    </row>
    <row r="404" spans="1:5" s="23" customFormat="1" x14ac:dyDescent="0.25">
      <c r="A404" s="32"/>
      <c r="C404" s="33"/>
      <c r="D404" s="34"/>
      <c r="E404" s="34"/>
    </row>
    <row r="405" spans="1:5" s="23" customFormat="1" x14ac:dyDescent="0.25">
      <c r="A405" s="32"/>
      <c r="C405" s="33"/>
      <c r="D405" s="34"/>
      <c r="E405" s="34"/>
    </row>
    <row r="406" spans="1:5" s="23" customFormat="1" x14ac:dyDescent="0.25">
      <c r="A406" s="32"/>
      <c r="C406" s="33"/>
      <c r="D406" s="34"/>
      <c r="E406" s="34"/>
    </row>
    <row r="407" spans="1:5" s="23" customFormat="1" x14ac:dyDescent="0.25">
      <c r="A407" s="32"/>
      <c r="C407" s="33"/>
      <c r="D407" s="34"/>
      <c r="E407" s="34"/>
    </row>
    <row r="408" spans="1:5" s="23" customFormat="1" x14ac:dyDescent="0.25">
      <c r="A408" s="32"/>
      <c r="C408" s="33"/>
      <c r="D408" s="34"/>
      <c r="E408" s="34"/>
    </row>
    <row r="409" spans="1:5" s="23" customFormat="1" x14ac:dyDescent="0.25">
      <c r="A409" s="32"/>
      <c r="C409" s="33"/>
      <c r="D409" s="34"/>
      <c r="E409" s="34"/>
    </row>
    <row r="410" spans="1:5" s="23" customFormat="1" x14ac:dyDescent="0.25">
      <c r="A410" s="32"/>
      <c r="C410" s="33"/>
      <c r="D410" s="34"/>
      <c r="E410" s="34"/>
    </row>
    <row r="411" spans="1:5" s="23" customFormat="1" x14ac:dyDescent="0.25">
      <c r="A411" s="32"/>
      <c r="C411" s="33"/>
      <c r="D411" s="34"/>
      <c r="E411" s="34"/>
    </row>
    <row r="412" spans="1:5" s="23" customFormat="1" x14ac:dyDescent="0.25">
      <c r="A412" s="32"/>
      <c r="C412" s="33"/>
      <c r="D412" s="34"/>
      <c r="E412" s="34"/>
    </row>
    <row r="413" spans="1:5" s="23" customFormat="1" x14ac:dyDescent="0.25">
      <c r="A413" s="32"/>
      <c r="C413" s="33"/>
      <c r="D413" s="34"/>
      <c r="E413" s="34"/>
    </row>
    <row r="414" spans="1:5" s="23" customFormat="1" x14ac:dyDescent="0.25">
      <c r="A414" s="32"/>
      <c r="C414" s="33"/>
      <c r="D414" s="34"/>
      <c r="E414" s="34"/>
    </row>
    <row r="415" spans="1:5" s="23" customFormat="1" x14ac:dyDescent="0.25">
      <c r="A415" s="32"/>
      <c r="C415" s="33"/>
      <c r="D415" s="34"/>
      <c r="E415" s="34"/>
    </row>
    <row r="416" spans="1:5" s="23" customFormat="1" x14ac:dyDescent="0.25">
      <c r="A416" s="32"/>
      <c r="C416" s="33"/>
      <c r="D416" s="34"/>
      <c r="E416" s="34"/>
    </row>
    <row r="417" spans="1:5" s="23" customFormat="1" x14ac:dyDescent="0.25">
      <c r="A417" s="32"/>
      <c r="C417" s="33"/>
      <c r="D417" s="34"/>
      <c r="E417" s="34"/>
    </row>
    <row r="418" spans="1:5" s="23" customFormat="1" x14ac:dyDescent="0.25">
      <c r="A418" s="32"/>
      <c r="C418" s="33"/>
      <c r="D418" s="34"/>
      <c r="E418" s="34"/>
    </row>
    <row r="419" spans="1:5" s="23" customFormat="1" x14ac:dyDescent="0.25">
      <c r="A419" s="32"/>
      <c r="C419" s="33"/>
      <c r="D419" s="34"/>
      <c r="E419" s="34"/>
    </row>
    <row r="420" spans="1:5" s="23" customFormat="1" x14ac:dyDescent="0.25">
      <c r="A420" s="32"/>
      <c r="C420" s="33"/>
      <c r="D420" s="34"/>
      <c r="E420" s="34"/>
    </row>
    <row r="421" spans="1:5" s="23" customFormat="1" x14ac:dyDescent="0.25">
      <c r="A421" s="32"/>
      <c r="C421" s="33"/>
      <c r="D421" s="34"/>
      <c r="E421" s="34"/>
    </row>
    <row r="422" spans="1:5" s="23" customFormat="1" x14ac:dyDescent="0.25">
      <c r="A422" s="32"/>
      <c r="C422" s="33"/>
      <c r="D422" s="34"/>
      <c r="E422" s="34"/>
    </row>
    <row r="423" spans="1:5" s="23" customFormat="1" x14ac:dyDescent="0.25">
      <c r="A423" s="32"/>
      <c r="C423" s="33"/>
      <c r="D423" s="34"/>
      <c r="E423" s="34"/>
    </row>
    <row r="424" spans="1:5" s="23" customFormat="1" x14ac:dyDescent="0.25">
      <c r="A424" s="32"/>
      <c r="C424" s="33"/>
      <c r="D424" s="34"/>
      <c r="E424" s="34"/>
    </row>
    <row r="425" spans="1:5" s="23" customFormat="1" x14ac:dyDescent="0.25">
      <c r="A425" s="32"/>
      <c r="C425" s="33"/>
      <c r="D425" s="34"/>
      <c r="E425" s="34"/>
    </row>
    <row r="426" spans="1:5" s="23" customFormat="1" x14ac:dyDescent="0.25">
      <c r="A426" s="32"/>
      <c r="C426" s="33"/>
      <c r="D426" s="34"/>
      <c r="E426" s="34"/>
    </row>
    <row r="427" spans="1:5" s="23" customFormat="1" x14ac:dyDescent="0.25">
      <c r="A427" s="32"/>
      <c r="C427" s="33"/>
      <c r="D427" s="34"/>
      <c r="E427" s="34"/>
    </row>
    <row r="428" spans="1:5" s="23" customFormat="1" x14ac:dyDescent="0.25">
      <c r="A428" s="32"/>
      <c r="C428" s="33"/>
      <c r="D428" s="34"/>
      <c r="E428" s="34"/>
    </row>
    <row r="429" spans="1:5" s="23" customFormat="1" x14ac:dyDescent="0.25">
      <c r="A429" s="32"/>
      <c r="C429" s="33"/>
      <c r="D429" s="34"/>
      <c r="E429" s="34"/>
    </row>
    <row r="430" spans="1:5" s="23" customFormat="1" x14ac:dyDescent="0.25">
      <c r="A430" s="32"/>
      <c r="C430" s="33"/>
      <c r="D430" s="34"/>
      <c r="E430" s="34"/>
    </row>
    <row r="431" spans="1:5" s="23" customFormat="1" x14ac:dyDescent="0.25">
      <c r="A431" s="32"/>
      <c r="C431" s="33"/>
      <c r="D431" s="34"/>
      <c r="E431" s="34"/>
    </row>
    <row r="432" spans="1:5" s="23" customFormat="1" x14ac:dyDescent="0.25">
      <c r="A432" s="32"/>
      <c r="C432" s="33"/>
      <c r="D432" s="34"/>
      <c r="E432" s="34"/>
    </row>
    <row r="433" spans="1:5" s="23" customFormat="1" x14ac:dyDescent="0.25">
      <c r="A433" s="32"/>
      <c r="C433" s="33"/>
      <c r="D433" s="34"/>
      <c r="E433" s="34"/>
    </row>
    <row r="434" spans="1:5" s="23" customFormat="1" x14ac:dyDescent="0.25">
      <c r="A434" s="32"/>
      <c r="C434" s="33"/>
      <c r="D434" s="34"/>
      <c r="E434" s="34"/>
    </row>
    <row r="435" spans="1:5" s="23" customFormat="1" x14ac:dyDescent="0.25">
      <c r="A435" s="32"/>
      <c r="C435" s="33"/>
      <c r="D435" s="34"/>
      <c r="E435" s="34"/>
    </row>
    <row r="436" spans="1:5" s="23" customFormat="1" x14ac:dyDescent="0.25">
      <c r="A436" s="32"/>
      <c r="C436" s="33"/>
      <c r="D436" s="34"/>
      <c r="E436" s="34"/>
    </row>
    <row r="437" spans="1:5" s="23" customFormat="1" x14ac:dyDescent="0.25">
      <c r="A437" s="32"/>
      <c r="C437" s="33"/>
      <c r="D437" s="34"/>
      <c r="E437" s="34"/>
    </row>
    <row r="438" spans="1:5" s="23" customFormat="1" x14ac:dyDescent="0.25">
      <c r="A438" s="32"/>
      <c r="C438" s="33"/>
      <c r="D438" s="34"/>
      <c r="E438" s="34"/>
    </row>
    <row r="439" spans="1:5" s="23" customFormat="1" x14ac:dyDescent="0.25">
      <c r="A439" s="32"/>
      <c r="C439" s="33"/>
      <c r="D439" s="34"/>
      <c r="E439" s="34"/>
    </row>
    <row r="440" spans="1:5" s="23" customFormat="1" x14ac:dyDescent="0.25">
      <c r="A440" s="32"/>
      <c r="C440" s="33"/>
      <c r="D440" s="34"/>
      <c r="E440" s="34"/>
    </row>
    <row r="441" spans="1:5" s="23" customFormat="1" x14ac:dyDescent="0.25">
      <c r="A441" s="32"/>
      <c r="C441" s="33"/>
      <c r="D441" s="34"/>
      <c r="E441" s="34"/>
    </row>
    <row r="442" spans="1:5" s="23" customFormat="1" x14ac:dyDescent="0.25">
      <c r="A442" s="32"/>
      <c r="C442" s="33"/>
      <c r="D442" s="34"/>
      <c r="E442" s="34"/>
    </row>
    <row r="443" spans="1:5" s="23" customFormat="1" x14ac:dyDescent="0.25">
      <c r="A443" s="32"/>
      <c r="C443" s="33"/>
      <c r="D443" s="34"/>
      <c r="E443" s="34"/>
    </row>
    <row r="444" spans="1:5" s="23" customFormat="1" x14ac:dyDescent="0.25">
      <c r="A444" s="32"/>
      <c r="C444" s="33"/>
      <c r="D444" s="34"/>
      <c r="E444" s="34"/>
    </row>
    <row r="445" spans="1:5" s="23" customFormat="1" x14ac:dyDescent="0.25">
      <c r="A445" s="32"/>
      <c r="C445" s="33"/>
      <c r="D445" s="34"/>
      <c r="E445" s="34"/>
    </row>
    <row r="446" spans="1:5" s="23" customFormat="1" x14ac:dyDescent="0.25">
      <c r="A446" s="32"/>
      <c r="C446" s="33"/>
      <c r="D446" s="34"/>
      <c r="E446" s="34"/>
    </row>
    <row r="447" spans="1:5" s="23" customFormat="1" x14ac:dyDescent="0.25">
      <c r="A447" s="32"/>
      <c r="C447" s="33"/>
      <c r="D447" s="34"/>
      <c r="E447" s="34"/>
    </row>
    <row r="448" spans="1:5" s="23" customFormat="1" x14ac:dyDescent="0.25">
      <c r="A448" s="32"/>
      <c r="C448" s="33"/>
      <c r="D448" s="34"/>
      <c r="E448" s="34"/>
    </row>
    <row r="449" spans="1:5" s="23" customFormat="1" x14ac:dyDescent="0.25">
      <c r="A449" s="32"/>
      <c r="C449" s="33"/>
      <c r="D449" s="34"/>
      <c r="E449" s="34"/>
    </row>
    <row r="450" spans="1:5" s="23" customFormat="1" x14ac:dyDescent="0.25">
      <c r="A450" s="32"/>
      <c r="C450" s="33"/>
      <c r="D450" s="34"/>
      <c r="E450" s="34"/>
    </row>
    <row r="451" spans="1:5" s="23" customFormat="1" x14ac:dyDescent="0.25">
      <c r="A451" s="32"/>
      <c r="C451" s="33"/>
      <c r="D451" s="34"/>
      <c r="E451" s="34"/>
    </row>
    <row r="452" spans="1:5" s="23" customFormat="1" x14ac:dyDescent="0.25">
      <c r="A452" s="32"/>
      <c r="C452" s="33"/>
      <c r="D452" s="34"/>
      <c r="E452" s="34"/>
    </row>
    <row r="453" spans="1:5" s="23" customFormat="1" x14ac:dyDescent="0.25">
      <c r="A453" s="32"/>
      <c r="C453" s="33"/>
      <c r="D453" s="34"/>
      <c r="E453" s="34"/>
    </row>
    <row r="454" spans="1:5" s="23" customFormat="1" x14ac:dyDescent="0.25">
      <c r="A454" s="32"/>
      <c r="C454" s="33"/>
      <c r="D454" s="34"/>
      <c r="E454" s="34"/>
    </row>
    <row r="455" spans="1:5" s="23" customFormat="1" x14ac:dyDescent="0.25">
      <c r="A455" s="32"/>
      <c r="C455" s="33"/>
      <c r="D455" s="34"/>
      <c r="E455" s="34"/>
    </row>
    <row r="456" spans="1:5" s="23" customFormat="1" x14ac:dyDescent="0.25">
      <c r="A456" s="32"/>
      <c r="C456" s="33"/>
      <c r="D456" s="34"/>
      <c r="E456" s="34"/>
    </row>
    <row r="457" spans="1:5" s="23" customFormat="1" x14ac:dyDescent="0.25">
      <c r="A457" s="32"/>
      <c r="C457" s="33"/>
      <c r="D457" s="34"/>
      <c r="E457" s="34"/>
    </row>
    <row r="458" spans="1:5" s="23" customFormat="1" x14ac:dyDescent="0.25">
      <c r="A458" s="32"/>
      <c r="C458" s="33"/>
      <c r="D458" s="34"/>
      <c r="E458" s="34"/>
    </row>
    <row r="459" spans="1:5" s="23" customFormat="1" x14ac:dyDescent="0.25">
      <c r="A459" s="32"/>
      <c r="C459" s="33"/>
      <c r="D459" s="34"/>
      <c r="E459" s="34"/>
    </row>
    <row r="460" spans="1:5" s="23" customFormat="1" x14ac:dyDescent="0.25">
      <c r="A460" s="32"/>
      <c r="C460" s="33"/>
      <c r="D460" s="34"/>
      <c r="E460" s="34"/>
    </row>
    <row r="461" spans="1:5" s="23" customFormat="1" x14ac:dyDescent="0.25">
      <c r="A461" s="32"/>
      <c r="C461" s="33"/>
      <c r="D461" s="34"/>
      <c r="E461" s="34"/>
    </row>
    <row r="462" spans="1:5" s="23" customFormat="1" x14ac:dyDescent="0.25">
      <c r="A462" s="32"/>
      <c r="C462" s="33"/>
      <c r="D462" s="34"/>
      <c r="E462" s="34"/>
    </row>
    <row r="463" spans="1:5" s="23" customFormat="1" x14ac:dyDescent="0.25">
      <c r="A463" s="32"/>
      <c r="C463" s="33"/>
      <c r="D463" s="34"/>
      <c r="E463" s="34"/>
    </row>
    <row r="464" spans="1:5" s="23" customFormat="1" x14ac:dyDescent="0.25">
      <c r="A464" s="32"/>
      <c r="C464" s="33"/>
      <c r="D464" s="34"/>
      <c r="E464" s="34"/>
    </row>
    <row r="465" spans="1:5" s="23" customFormat="1" x14ac:dyDescent="0.25">
      <c r="A465" s="32"/>
      <c r="C465" s="33"/>
      <c r="D465" s="34"/>
      <c r="E465" s="34"/>
    </row>
    <row r="466" spans="1:5" s="23" customFormat="1" x14ac:dyDescent="0.25">
      <c r="A466" s="32"/>
      <c r="C466" s="33"/>
      <c r="D466" s="34"/>
      <c r="E466" s="34"/>
    </row>
    <row r="467" spans="1:5" s="23" customFormat="1" x14ac:dyDescent="0.25">
      <c r="A467" s="32"/>
      <c r="C467" s="33"/>
      <c r="D467" s="34"/>
      <c r="E467" s="34"/>
    </row>
    <row r="468" spans="1:5" s="23" customFormat="1" x14ac:dyDescent="0.25">
      <c r="A468" s="32"/>
      <c r="C468" s="33"/>
      <c r="D468" s="34"/>
      <c r="E468" s="34"/>
    </row>
    <row r="469" spans="1:5" s="23" customFormat="1" x14ac:dyDescent="0.25">
      <c r="A469" s="32"/>
      <c r="C469" s="33"/>
      <c r="D469" s="34"/>
      <c r="E469" s="34"/>
    </row>
    <row r="470" spans="1:5" s="23" customFormat="1" x14ac:dyDescent="0.25">
      <c r="A470" s="32"/>
      <c r="C470" s="33"/>
      <c r="D470" s="34"/>
      <c r="E470" s="34"/>
    </row>
    <row r="471" spans="1:5" s="23" customFormat="1" x14ac:dyDescent="0.25">
      <c r="A471" s="32"/>
      <c r="C471" s="33"/>
      <c r="D471" s="34"/>
      <c r="E471" s="34"/>
    </row>
    <row r="472" spans="1:5" s="23" customFormat="1" x14ac:dyDescent="0.25">
      <c r="A472" s="32"/>
      <c r="C472" s="33"/>
      <c r="D472" s="34"/>
      <c r="E472" s="34"/>
    </row>
    <row r="473" spans="1:5" s="23" customFormat="1" x14ac:dyDescent="0.25">
      <c r="A473" s="32"/>
      <c r="C473" s="33"/>
      <c r="D473" s="34"/>
      <c r="E473" s="34"/>
    </row>
    <row r="474" spans="1:5" s="23" customFormat="1" x14ac:dyDescent="0.25">
      <c r="A474" s="32"/>
      <c r="C474" s="33"/>
      <c r="D474" s="34"/>
      <c r="E474" s="34"/>
    </row>
    <row r="475" spans="1:5" s="23" customFormat="1" x14ac:dyDescent="0.25">
      <c r="A475" s="32"/>
      <c r="C475" s="33"/>
      <c r="D475" s="34"/>
      <c r="E475" s="34"/>
    </row>
    <row r="476" spans="1:5" s="23" customFormat="1" x14ac:dyDescent="0.25">
      <c r="A476" s="32"/>
      <c r="C476" s="33"/>
      <c r="D476" s="34"/>
      <c r="E476" s="34"/>
    </row>
    <row r="477" spans="1:5" s="23" customFormat="1" x14ac:dyDescent="0.25">
      <c r="A477" s="32"/>
      <c r="C477" s="33"/>
      <c r="D477" s="34"/>
      <c r="E477" s="34"/>
    </row>
    <row r="478" spans="1:5" s="23" customFormat="1" x14ac:dyDescent="0.25">
      <c r="A478" s="32"/>
      <c r="C478" s="33"/>
      <c r="D478" s="34"/>
      <c r="E478" s="34"/>
    </row>
    <row r="479" spans="1:5" s="23" customFormat="1" x14ac:dyDescent="0.25">
      <c r="A479" s="32"/>
      <c r="C479" s="33"/>
      <c r="D479" s="34"/>
      <c r="E479" s="34"/>
    </row>
    <row r="480" spans="1:5" s="23" customFormat="1" x14ac:dyDescent="0.25">
      <c r="A480" s="32"/>
      <c r="C480" s="33"/>
      <c r="D480" s="34"/>
      <c r="E480" s="34"/>
    </row>
    <row r="481" spans="1:5" s="23" customFormat="1" x14ac:dyDescent="0.25">
      <c r="A481" s="32"/>
      <c r="C481" s="33"/>
      <c r="D481" s="34"/>
      <c r="E481" s="34"/>
    </row>
    <row r="482" spans="1:5" s="23" customFormat="1" x14ac:dyDescent="0.25">
      <c r="A482" s="32"/>
      <c r="C482" s="33"/>
      <c r="D482" s="34"/>
      <c r="E482" s="34"/>
    </row>
    <row r="483" spans="1:5" s="23" customFormat="1" x14ac:dyDescent="0.25">
      <c r="A483" s="32"/>
      <c r="C483" s="33"/>
      <c r="D483" s="34"/>
      <c r="E483" s="34"/>
    </row>
    <row r="484" spans="1:5" s="23" customFormat="1" x14ac:dyDescent="0.25">
      <c r="A484" s="32"/>
      <c r="C484" s="33"/>
      <c r="D484" s="34"/>
      <c r="E484" s="34"/>
    </row>
    <row r="485" spans="1:5" s="23" customFormat="1" x14ac:dyDescent="0.25">
      <c r="A485" s="32"/>
      <c r="C485" s="33"/>
      <c r="D485" s="34"/>
      <c r="E485" s="34"/>
    </row>
    <row r="486" spans="1:5" s="23" customFormat="1" x14ac:dyDescent="0.25">
      <c r="A486" s="32"/>
      <c r="C486" s="33"/>
      <c r="D486" s="34"/>
      <c r="E486" s="34"/>
    </row>
    <row r="487" spans="1:5" s="23" customFormat="1" x14ac:dyDescent="0.25">
      <c r="A487" s="32"/>
      <c r="C487" s="33"/>
      <c r="D487" s="34"/>
      <c r="E487" s="34"/>
    </row>
    <row r="488" spans="1:5" s="23" customFormat="1" x14ac:dyDescent="0.25">
      <c r="A488" s="32"/>
      <c r="C488" s="33"/>
      <c r="D488" s="34"/>
      <c r="E488" s="34"/>
    </row>
    <row r="489" spans="1:5" s="23" customFormat="1" x14ac:dyDescent="0.25">
      <c r="A489" s="32"/>
      <c r="C489" s="33"/>
      <c r="D489" s="34"/>
      <c r="E489" s="34"/>
    </row>
    <row r="490" spans="1:5" s="23" customFormat="1" x14ac:dyDescent="0.25">
      <c r="A490" s="32"/>
      <c r="C490" s="33"/>
      <c r="D490" s="34"/>
      <c r="E490" s="34"/>
    </row>
    <row r="491" spans="1:5" s="23" customFormat="1" x14ac:dyDescent="0.25">
      <c r="A491" s="32"/>
      <c r="C491" s="33"/>
      <c r="D491" s="34"/>
      <c r="E491" s="34"/>
    </row>
    <row r="492" spans="1:5" s="23" customFormat="1" x14ac:dyDescent="0.25">
      <c r="A492" s="32"/>
      <c r="C492" s="33"/>
      <c r="D492" s="34"/>
      <c r="E492" s="34"/>
    </row>
    <row r="493" spans="1:5" s="23" customFormat="1" x14ac:dyDescent="0.25">
      <c r="A493" s="32"/>
      <c r="C493" s="33"/>
      <c r="D493" s="34"/>
      <c r="E493" s="34"/>
    </row>
    <row r="494" spans="1:5" s="23" customFormat="1" x14ac:dyDescent="0.25">
      <c r="A494" s="32"/>
      <c r="C494" s="33"/>
      <c r="D494" s="34"/>
      <c r="E494" s="34"/>
    </row>
    <row r="495" spans="1:5" s="23" customFormat="1" x14ac:dyDescent="0.25">
      <c r="A495" s="32"/>
      <c r="C495" s="33"/>
      <c r="D495" s="34"/>
      <c r="E495" s="34"/>
    </row>
    <row r="496" spans="1:5" s="23" customFormat="1" x14ac:dyDescent="0.25">
      <c r="A496" s="32"/>
      <c r="C496" s="33"/>
      <c r="D496" s="34"/>
      <c r="E496" s="34"/>
    </row>
    <row r="497" spans="1:5" s="23" customFormat="1" x14ac:dyDescent="0.25">
      <c r="A497" s="32"/>
      <c r="C497" s="33"/>
      <c r="D497" s="34"/>
      <c r="E497" s="34"/>
    </row>
    <row r="498" spans="1:5" s="23" customFormat="1" x14ac:dyDescent="0.25">
      <c r="A498" s="32"/>
      <c r="C498" s="33"/>
      <c r="D498" s="34"/>
      <c r="E498" s="34"/>
    </row>
    <row r="499" spans="1:5" s="23" customFormat="1" x14ac:dyDescent="0.25">
      <c r="A499" s="32"/>
      <c r="C499" s="33"/>
      <c r="D499" s="34"/>
      <c r="E499" s="34"/>
    </row>
    <row r="500" spans="1:5" s="23" customFormat="1" x14ac:dyDescent="0.25">
      <c r="A500" s="32"/>
      <c r="C500" s="33"/>
      <c r="D500" s="34"/>
      <c r="E500" s="34"/>
    </row>
    <row r="501" spans="1:5" s="23" customFormat="1" x14ac:dyDescent="0.25">
      <c r="A501" s="32"/>
      <c r="C501" s="33"/>
      <c r="D501" s="34"/>
      <c r="E501" s="34"/>
    </row>
    <row r="502" spans="1:5" s="23" customFormat="1" x14ac:dyDescent="0.25">
      <c r="A502" s="32"/>
      <c r="C502" s="33"/>
      <c r="D502" s="34"/>
      <c r="E502" s="34"/>
    </row>
    <row r="503" spans="1:5" s="23" customFormat="1" x14ac:dyDescent="0.25">
      <c r="A503" s="32"/>
      <c r="C503" s="33"/>
      <c r="D503" s="34"/>
      <c r="E503" s="34"/>
    </row>
    <row r="504" spans="1:5" s="23" customFormat="1" x14ac:dyDescent="0.25">
      <c r="A504" s="32"/>
      <c r="C504" s="33"/>
      <c r="D504" s="34"/>
      <c r="E504" s="34"/>
    </row>
    <row r="505" spans="1:5" s="23" customFormat="1" x14ac:dyDescent="0.25">
      <c r="A505" s="32"/>
      <c r="C505" s="33"/>
      <c r="D505" s="34"/>
      <c r="E505" s="34"/>
    </row>
    <row r="506" spans="1:5" s="23" customFormat="1" x14ac:dyDescent="0.25">
      <c r="A506" s="32"/>
      <c r="C506" s="33"/>
      <c r="D506" s="34"/>
      <c r="E506" s="34"/>
    </row>
    <row r="507" spans="1:5" s="23" customFormat="1" x14ac:dyDescent="0.25">
      <c r="A507" s="32"/>
      <c r="C507" s="33"/>
      <c r="D507" s="34"/>
      <c r="E507" s="34"/>
    </row>
    <row r="508" spans="1:5" s="23" customFormat="1" x14ac:dyDescent="0.25">
      <c r="A508" s="32"/>
      <c r="C508" s="33"/>
      <c r="D508" s="34"/>
      <c r="E508" s="34"/>
    </row>
    <row r="509" spans="1:5" s="23" customFormat="1" x14ac:dyDescent="0.25">
      <c r="A509" s="32"/>
      <c r="C509" s="33"/>
      <c r="D509" s="34"/>
      <c r="E509" s="34"/>
    </row>
    <row r="510" spans="1:5" s="23" customFormat="1" x14ac:dyDescent="0.25">
      <c r="A510" s="32"/>
      <c r="C510" s="33"/>
      <c r="D510" s="34"/>
      <c r="E510" s="34"/>
    </row>
    <row r="511" spans="1:5" s="23" customFormat="1" x14ac:dyDescent="0.25">
      <c r="A511" s="32"/>
      <c r="C511" s="33"/>
      <c r="D511" s="34"/>
      <c r="E511" s="34"/>
    </row>
    <row r="512" spans="1:5" s="23" customFormat="1" x14ac:dyDescent="0.25">
      <c r="A512" s="32"/>
      <c r="C512" s="33"/>
      <c r="D512" s="34"/>
      <c r="E512" s="34"/>
    </row>
    <row r="513" spans="1:5" s="23" customFormat="1" x14ac:dyDescent="0.25">
      <c r="A513" s="32"/>
      <c r="C513" s="33"/>
      <c r="D513" s="34"/>
      <c r="E513" s="34"/>
    </row>
    <row r="514" spans="1:5" s="23" customFormat="1" x14ac:dyDescent="0.25">
      <c r="A514" s="32"/>
      <c r="C514" s="33"/>
      <c r="D514" s="34"/>
      <c r="E514" s="34"/>
    </row>
    <row r="515" spans="1:5" s="23" customFormat="1" x14ac:dyDescent="0.25">
      <c r="A515" s="32"/>
      <c r="C515" s="33"/>
      <c r="D515" s="34"/>
      <c r="E515" s="34"/>
    </row>
    <row r="516" spans="1:5" s="23" customFormat="1" x14ac:dyDescent="0.25">
      <c r="A516" s="32"/>
      <c r="C516" s="33"/>
      <c r="D516" s="34"/>
      <c r="E516" s="34"/>
    </row>
    <row r="517" spans="1:5" s="23" customFormat="1" x14ac:dyDescent="0.25">
      <c r="A517" s="32"/>
      <c r="C517" s="33"/>
      <c r="D517" s="34"/>
      <c r="E517" s="34"/>
    </row>
    <row r="518" spans="1:5" s="23" customFormat="1" x14ac:dyDescent="0.25">
      <c r="A518" s="32"/>
      <c r="C518" s="33"/>
      <c r="D518" s="34"/>
      <c r="E518" s="34"/>
    </row>
    <row r="519" spans="1:5" s="23" customFormat="1" x14ac:dyDescent="0.25">
      <c r="A519" s="32"/>
      <c r="C519" s="33"/>
      <c r="D519" s="34"/>
      <c r="E519" s="34"/>
    </row>
    <row r="520" spans="1:5" s="23" customFormat="1" x14ac:dyDescent="0.25">
      <c r="A520" s="32"/>
      <c r="C520" s="33"/>
      <c r="D520" s="34"/>
      <c r="E520" s="34"/>
    </row>
    <row r="521" spans="1:5" s="23" customFormat="1" x14ac:dyDescent="0.25">
      <c r="A521" s="32"/>
      <c r="C521" s="33"/>
      <c r="D521" s="34"/>
      <c r="E521" s="34"/>
    </row>
    <row r="522" spans="1:5" s="23" customFormat="1" x14ac:dyDescent="0.25">
      <c r="A522" s="32"/>
      <c r="C522" s="33"/>
      <c r="D522" s="34"/>
      <c r="E522" s="34"/>
    </row>
    <row r="523" spans="1:5" s="23" customFormat="1" x14ac:dyDescent="0.25">
      <c r="A523" s="32"/>
      <c r="C523" s="33"/>
      <c r="D523" s="34"/>
      <c r="E523" s="34"/>
    </row>
    <row r="524" spans="1:5" s="23" customFormat="1" x14ac:dyDescent="0.25">
      <c r="A524" s="32"/>
      <c r="C524" s="33"/>
      <c r="D524" s="34"/>
      <c r="E524" s="34"/>
    </row>
    <row r="525" spans="1:5" s="23" customFormat="1" x14ac:dyDescent="0.25">
      <c r="A525" s="32"/>
      <c r="C525" s="33"/>
      <c r="D525" s="34"/>
      <c r="E525" s="34"/>
    </row>
    <row r="526" spans="1:5" s="23" customFormat="1" x14ac:dyDescent="0.25">
      <c r="A526" s="32"/>
      <c r="C526" s="33"/>
      <c r="D526" s="34"/>
      <c r="E526" s="34"/>
    </row>
    <row r="527" spans="1:5" s="23" customFormat="1" x14ac:dyDescent="0.25">
      <c r="A527" s="32"/>
      <c r="C527" s="33"/>
      <c r="D527" s="34"/>
      <c r="E527" s="34"/>
    </row>
    <row r="528" spans="1:5" s="23" customFormat="1" x14ac:dyDescent="0.25">
      <c r="A528" s="32"/>
      <c r="C528" s="33"/>
      <c r="D528" s="34"/>
      <c r="E528" s="34"/>
    </row>
    <row r="529" spans="1:5" s="23" customFormat="1" x14ac:dyDescent="0.25">
      <c r="A529" s="32"/>
      <c r="C529" s="33"/>
      <c r="D529" s="34"/>
      <c r="E529" s="34"/>
    </row>
    <row r="530" spans="1:5" s="23" customFormat="1" x14ac:dyDescent="0.25">
      <c r="A530" s="32"/>
      <c r="C530" s="33"/>
      <c r="D530" s="34"/>
      <c r="E530" s="34"/>
    </row>
    <row r="531" spans="1:5" s="23" customFormat="1" x14ac:dyDescent="0.25">
      <c r="A531" s="32"/>
      <c r="C531" s="33"/>
      <c r="D531" s="34"/>
      <c r="E531" s="34"/>
    </row>
    <row r="532" spans="1:5" s="23" customFormat="1" x14ac:dyDescent="0.25">
      <c r="A532" s="32"/>
      <c r="C532" s="33"/>
      <c r="D532" s="34"/>
      <c r="E532" s="34"/>
    </row>
    <row r="533" spans="1:5" s="23" customFormat="1" x14ac:dyDescent="0.25">
      <c r="A533" s="32"/>
      <c r="C533" s="33"/>
      <c r="D533" s="34"/>
      <c r="E533" s="34"/>
    </row>
    <row r="534" spans="1:5" s="23" customFormat="1" x14ac:dyDescent="0.25">
      <c r="A534" s="32"/>
      <c r="C534" s="33"/>
      <c r="D534" s="34"/>
      <c r="E534" s="34"/>
    </row>
    <row r="535" spans="1:5" s="23" customFormat="1" x14ac:dyDescent="0.25">
      <c r="A535" s="32"/>
      <c r="C535" s="33"/>
      <c r="D535" s="34"/>
      <c r="E535" s="34"/>
    </row>
    <row r="536" spans="1:5" s="23" customFormat="1" x14ac:dyDescent="0.25">
      <c r="A536" s="32"/>
      <c r="C536" s="33"/>
      <c r="D536" s="34"/>
      <c r="E536" s="34"/>
    </row>
    <row r="537" spans="1:5" s="23" customFormat="1" x14ac:dyDescent="0.25">
      <c r="A537" s="32"/>
      <c r="C537" s="33"/>
      <c r="D537" s="34"/>
      <c r="E537" s="34"/>
    </row>
    <row r="538" spans="1:5" s="23" customFormat="1" x14ac:dyDescent="0.25">
      <c r="A538" s="32"/>
      <c r="C538" s="33"/>
      <c r="D538" s="34"/>
      <c r="E538" s="34"/>
    </row>
    <row r="539" spans="1:5" s="23" customFormat="1" x14ac:dyDescent="0.25">
      <c r="A539" s="32"/>
      <c r="C539" s="33"/>
      <c r="D539" s="34"/>
      <c r="E539" s="34"/>
    </row>
    <row r="540" spans="1:5" s="23" customFormat="1" x14ac:dyDescent="0.25">
      <c r="A540" s="32"/>
      <c r="C540" s="33"/>
      <c r="D540" s="34"/>
      <c r="E540" s="34"/>
    </row>
    <row r="541" spans="1:5" s="23" customFormat="1" x14ac:dyDescent="0.25">
      <c r="A541" s="32"/>
      <c r="C541" s="33"/>
      <c r="D541" s="34"/>
      <c r="E541" s="34"/>
    </row>
    <row r="542" spans="1:5" s="23" customFormat="1" x14ac:dyDescent="0.25">
      <c r="A542" s="32"/>
      <c r="C542" s="33"/>
      <c r="D542" s="34"/>
      <c r="E542" s="34"/>
    </row>
    <row r="543" spans="1:5" s="23" customFormat="1" x14ac:dyDescent="0.25">
      <c r="A543" s="32"/>
      <c r="C543" s="33"/>
      <c r="D543" s="34"/>
      <c r="E543" s="34"/>
    </row>
    <row r="544" spans="1:5" s="23" customFormat="1" x14ac:dyDescent="0.25">
      <c r="A544" s="32"/>
      <c r="C544" s="33"/>
      <c r="D544" s="34"/>
      <c r="E544" s="34"/>
    </row>
    <row r="545" spans="1:5" s="23" customFormat="1" x14ac:dyDescent="0.25">
      <c r="A545" s="32"/>
      <c r="C545" s="33"/>
      <c r="D545" s="34"/>
      <c r="E545" s="34"/>
    </row>
    <row r="546" spans="1:5" s="23" customFormat="1" x14ac:dyDescent="0.25">
      <c r="A546" s="32"/>
      <c r="C546" s="33"/>
      <c r="D546" s="34"/>
      <c r="E546" s="34"/>
    </row>
    <row r="547" spans="1:5" s="23" customFormat="1" x14ac:dyDescent="0.25">
      <c r="A547" s="32"/>
      <c r="C547" s="33"/>
      <c r="D547" s="34"/>
      <c r="E547" s="34"/>
    </row>
    <row r="548" spans="1:5" s="23" customFormat="1" x14ac:dyDescent="0.25">
      <c r="A548" s="32"/>
      <c r="C548" s="33"/>
      <c r="D548" s="34"/>
      <c r="E548" s="34"/>
    </row>
    <row r="549" spans="1:5" s="23" customFormat="1" x14ac:dyDescent="0.25">
      <c r="A549" s="32"/>
      <c r="C549" s="33"/>
      <c r="D549" s="34"/>
      <c r="E549" s="34"/>
    </row>
    <row r="550" spans="1:5" s="23" customFormat="1" x14ac:dyDescent="0.25">
      <c r="A550" s="32"/>
      <c r="C550" s="33"/>
      <c r="D550" s="34"/>
      <c r="E550" s="34"/>
    </row>
    <row r="551" spans="1:5" s="23" customFormat="1" x14ac:dyDescent="0.25">
      <c r="A551" s="32"/>
      <c r="C551" s="33"/>
      <c r="D551" s="34"/>
      <c r="E551" s="34"/>
    </row>
    <row r="552" spans="1:5" s="23" customFormat="1" x14ac:dyDescent="0.25">
      <c r="A552" s="32"/>
      <c r="C552" s="33"/>
      <c r="D552" s="34"/>
      <c r="E552" s="34"/>
    </row>
    <row r="553" spans="1:5" s="23" customFormat="1" x14ac:dyDescent="0.25">
      <c r="A553" s="32"/>
      <c r="C553" s="33"/>
      <c r="D553" s="34"/>
      <c r="E553" s="34"/>
    </row>
    <row r="554" spans="1:5" s="23" customFormat="1" x14ac:dyDescent="0.25">
      <c r="A554" s="32"/>
      <c r="C554" s="33"/>
      <c r="D554" s="34"/>
      <c r="E554" s="34"/>
    </row>
    <row r="555" spans="1:5" s="23" customFormat="1" x14ac:dyDescent="0.25">
      <c r="A555" s="32"/>
      <c r="C555" s="33"/>
      <c r="D555" s="34"/>
      <c r="E555" s="34"/>
    </row>
    <row r="556" spans="1:5" s="23" customFormat="1" x14ac:dyDescent="0.25">
      <c r="A556" s="32"/>
      <c r="C556" s="33"/>
      <c r="D556" s="34"/>
      <c r="E556" s="34"/>
    </row>
    <row r="557" spans="1:5" s="23" customFormat="1" x14ac:dyDescent="0.25">
      <c r="A557" s="32"/>
      <c r="C557" s="33"/>
      <c r="D557" s="34"/>
      <c r="E557" s="34"/>
    </row>
    <row r="558" spans="1:5" s="23" customFormat="1" x14ac:dyDescent="0.25">
      <c r="A558" s="32"/>
      <c r="C558" s="33"/>
      <c r="D558" s="34"/>
      <c r="E558" s="34"/>
    </row>
    <row r="559" spans="1:5" s="23" customFormat="1" x14ac:dyDescent="0.25">
      <c r="A559" s="32"/>
      <c r="C559" s="33"/>
      <c r="D559" s="34"/>
      <c r="E559" s="34"/>
    </row>
    <row r="560" spans="1:5" s="23" customFormat="1" x14ac:dyDescent="0.25">
      <c r="A560" s="32"/>
      <c r="C560" s="33"/>
      <c r="D560" s="34"/>
      <c r="E560" s="34"/>
    </row>
    <row r="561" spans="1:5" s="23" customFormat="1" x14ac:dyDescent="0.25">
      <c r="A561" s="32"/>
      <c r="C561" s="33"/>
      <c r="D561" s="34"/>
      <c r="E561" s="34"/>
    </row>
    <row r="562" spans="1:5" s="23" customFormat="1" x14ac:dyDescent="0.25">
      <c r="A562" s="32"/>
      <c r="C562" s="33"/>
      <c r="D562" s="34"/>
      <c r="E562" s="34"/>
    </row>
    <row r="563" spans="1:5" s="23" customFormat="1" x14ac:dyDescent="0.25">
      <c r="A563" s="32"/>
      <c r="C563" s="33"/>
      <c r="D563" s="34"/>
      <c r="E563" s="34"/>
    </row>
    <row r="564" spans="1:5" s="23" customFormat="1" x14ac:dyDescent="0.25">
      <c r="A564" s="32"/>
      <c r="C564" s="33"/>
      <c r="D564" s="34"/>
      <c r="E564" s="34"/>
    </row>
    <row r="565" spans="1:5" s="23" customFormat="1" x14ac:dyDescent="0.25">
      <c r="A565" s="32"/>
      <c r="C565" s="33"/>
      <c r="D565" s="34"/>
      <c r="E565" s="34"/>
    </row>
    <row r="566" spans="1:5" s="23" customFormat="1" x14ac:dyDescent="0.25">
      <c r="A566" s="32"/>
      <c r="C566" s="33"/>
      <c r="D566" s="34"/>
      <c r="E566" s="34"/>
    </row>
    <row r="567" spans="1:5" s="23" customFormat="1" x14ac:dyDescent="0.25">
      <c r="A567" s="32"/>
      <c r="C567" s="33"/>
      <c r="D567" s="34"/>
      <c r="E567" s="34"/>
    </row>
    <row r="568" spans="1:5" s="23" customFormat="1" x14ac:dyDescent="0.25">
      <c r="A568" s="32"/>
      <c r="C568" s="33"/>
      <c r="D568" s="34"/>
      <c r="E568" s="34"/>
    </row>
    <row r="569" spans="1:5" s="23" customFormat="1" x14ac:dyDescent="0.25">
      <c r="A569" s="32"/>
      <c r="C569" s="33"/>
      <c r="D569" s="34"/>
      <c r="E569" s="34"/>
    </row>
    <row r="570" spans="1:5" s="23" customFormat="1" x14ac:dyDescent="0.25">
      <c r="A570" s="32"/>
      <c r="C570" s="33"/>
      <c r="D570" s="34"/>
      <c r="E570" s="34"/>
    </row>
    <row r="571" spans="1:5" s="23" customFormat="1" x14ac:dyDescent="0.25">
      <c r="A571" s="32"/>
      <c r="C571" s="33"/>
      <c r="D571" s="34"/>
      <c r="E571" s="34"/>
    </row>
    <row r="572" spans="1:5" s="23" customFormat="1" x14ac:dyDescent="0.25">
      <c r="A572" s="32"/>
      <c r="C572" s="33"/>
      <c r="D572" s="34"/>
      <c r="E572" s="34"/>
    </row>
    <row r="573" spans="1:5" s="23" customFormat="1" x14ac:dyDescent="0.25">
      <c r="A573" s="32"/>
      <c r="C573" s="33"/>
      <c r="D573" s="34"/>
      <c r="E573" s="34"/>
    </row>
    <row r="574" spans="1:5" s="23" customFormat="1" x14ac:dyDescent="0.25">
      <c r="A574" s="32"/>
      <c r="C574" s="33"/>
      <c r="D574" s="34"/>
      <c r="E574" s="34"/>
    </row>
    <row r="575" spans="1:5" s="23" customFormat="1" x14ac:dyDescent="0.25">
      <c r="A575" s="32"/>
      <c r="C575" s="33"/>
      <c r="D575" s="34"/>
      <c r="E575" s="34"/>
    </row>
    <row r="576" spans="1:5" s="23" customFormat="1" x14ac:dyDescent="0.25">
      <c r="A576" s="32"/>
      <c r="C576" s="33"/>
      <c r="D576" s="34"/>
      <c r="E576" s="34"/>
    </row>
    <row r="577" spans="1:5" s="23" customFormat="1" x14ac:dyDescent="0.25">
      <c r="A577" s="32"/>
      <c r="C577" s="33"/>
      <c r="D577" s="34"/>
      <c r="E577" s="34"/>
    </row>
    <row r="578" spans="1:5" s="23" customFormat="1" x14ac:dyDescent="0.25">
      <c r="A578" s="32"/>
      <c r="C578" s="33"/>
      <c r="D578" s="34"/>
      <c r="E578" s="34"/>
    </row>
    <row r="579" spans="1:5" s="23" customFormat="1" x14ac:dyDescent="0.25">
      <c r="A579" s="32"/>
      <c r="C579" s="33"/>
      <c r="D579" s="34"/>
      <c r="E579" s="34"/>
    </row>
    <row r="580" spans="1:5" s="23" customFormat="1" x14ac:dyDescent="0.25">
      <c r="A580" s="32"/>
      <c r="C580" s="33"/>
      <c r="D580" s="34"/>
      <c r="E580" s="34"/>
    </row>
    <row r="581" spans="1:5" s="23" customFormat="1" x14ac:dyDescent="0.25">
      <c r="A581" s="32"/>
      <c r="C581" s="33"/>
      <c r="D581" s="34"/>
      <c r="E581" s="34"/>
    </row>
    <row r="582" spans="1:5" s="23" customFormat="1" x14ac:dyDescent="0.25">
      <c r="A582" s="32"/>
      <c r="C582" s="33"/>
      <c r="D582" s="34"/>
      <c r="E582" s="34"/>
    </row>
    <row r="583" spans="1:5" s="23" customFormat="1" x14ac:dyDescent="0.25">
      <c r="A583" s="32"/>
      <c r="C583" s="33"/>
      <c r="D583" s="34"/>
      <c r="E583" s="34"/>
    </row>
    <row r="584" spans="1:5" s="23" customFormat="1" x14ac:dyDescent="0.25">
      <c r="A584" s="32"/>
      <c r="C584" s="33"/>
      <c r="D584" s="34"/>
      <c r="E584" s="34"/>
    </row>
    <row r="585" spans="1:5" s="23" customFormat="1" x14ac:dyDescent="0.25">
      <c r="A585" s="32"/>
      <c r="C585" s="33"/>
      <c r="D585" s="34"/>
      <c r="E585" s="34"/>
    </row>
    <row r="586" spans="1:5" s="23" customFormat="1" x14ac:dyDescent="0.25">
      <c r="A586" s="32"/>
      <c r="C586" s="33"/>
      <c r="D586" s="34"/>
      <c r="E586" s="34"/>
    </row>
    <row r="587" spans="1:5" s="23" customFormat="1" x14ac:dyDescent="0.25">
      <c r="A587" s="32"/>
      <c r="C587" s="33"/>
      <c r="D587" s="34"/>
      <c r="E587" s="34"/>
    </row>
    <row r="588" spans="1:5" s="23" customFormat="1" x14ac:dyDescent="0.25">
      <c r="A588" s="32"/>
      <c r="C588" s="33"/>
      <c r="D588" s="34"/>
      <c r="E588" s="34"/>
    </row>
    <row r="589" spans="1:5" s="23" customFormat="1" x14ac:dyDescent="0.25">
      <c r="A589" s="32"/>
      <c r="C589" s="33"/>
      <c r="D589" s="34"/>
      <c r="E589" s="34"/>
    </row>
    <row r="590" spans="1:5" s="23" customFormat="1" x14ac:dyDescent="0.25">
      <c r="A590" s="32"/>
      <c r="C590" s="33"/>
      <c r="D590" s="34"/>
      <c r="E590" s="34"/>
    </row>
    <row r="591" spans="1:5" s="23" customFormat="1" x14ac:dyDescent="0.25">
      <c r="A591" s="32"/>
      <c r="C591" s="33"/>
      <c r="D591" s="34"/>
      <c r="E591" s="34"/>
    </row>
    <row r="592" spans="1:5" s="23" customFormat="1" x14ac:dyDescent="0.25">
      <c r="A592" s="32"/>
      <c r="C592" s="33"/>
      <c r="D592" s="34"/>
      <c r="E592" s="34"/>
    </row>
    <row r="593" spans="1:5" s="23" customFormat="1" x14ac:dyDescent="0.25">
      <c r="A593" s="32"/>
      <c r="C593" s="33"/>
      <c r="D593" s="34"/>
      <c r="E593" s="34"/>
    </row>
    <row r="594" spans="1:5" s="23" customFormat="1" x14ac:dyDescent="0.25">
      <c r="A594" s="32"/>
      <c r="C594" s="33"/>
      <c r="D594" s="34"/>
      <c r="E594" s="34"/>
    </row>
    <row r="595" spans="1:5" s="23" customFormat="1" x14ac:dyDescent="0.25">
      <c r="A595" s="32"/>
      <c r="C595" s="33"/>
      <c r="D595" s="34"/>
      <c r="E595" s="34"/>
    </row>
    <row r="596" spans="1:5" s="23" customFormat="1" x14ac:dyDescent="0.25">
      <c r="A596" s="32"/>
      <c r="C596" s="33"/>
      <c r="D596" s="34"/>
      <c r="E596" s="34"/>
    </row>
    <row r="597" spans="1:5" s="23" customFormat="1" x14ac:dyDescent="0.25">
      <c r="A597" s="32"/>
      <c r="C597" s="33"/>
      <c r="D597" s="34"/>
      <c r="E597" s="34"/>
    </row>
    <row r="598" spans="1:5" s="23" customFormat="1" x14ac:dyDescent="0.25">
      <c r="A598" s="32"/>
      <c r="C598" s="33"/>
      <c r="D598" s="34"/>
      <c r="E598" s="34"/>
    </row>
    <row r="599" spans="1:5" s="23" customFormat="1" x14ac:dyDescent="0.25">
      <c r="A599" s="32"/>
      <c r="C599" s="33"/>
      <c r="D599" s="34"/>
      <c r="E599" s="34"/>
    </row>
    <row r="600" spans="1:5" s="23" customFormat="1" x14ac:dyDescent="0.25">
      <c r="A600" s="32"/>
      <c r="C600" s="33"/>
      <c r="D600" s="34"/>
      <c r="E600" s="34"/>
    </row>
    <row r="601" spans="1:5" s="23" customFormat="1" x14ac:dyDescent="0.25">
      <c r="A601" s="32"/>
      <c r="C601" s="33"/>
      <c r="D601" s="34"/>
      <c r="E601" s="34"/>
    </row>
    <row r="602" spans="1:5" s="23" customFormat="1" x14ac:dyDescent="0.25">
      <c r="A602" s="32"/>
      <c r="C602" s="33"/>
      <c r="D602" s="34"/>
      <c r="E602" s="34"/>
    </row>
    <row r="603" spans="1:5" s="23" customFormat="1" x14ac:dyDescent="0.25">
      <c r="A603" s="32"/>
      <c r="C603" s="33"/>
      <c r="D603" s="34"/>
      <c r="E603" s="34"/>
    </row>
    <row r="604" spans="1:5" s="23" customFormat="1" x14ac:dyDescent="0.25">
      <c r="A604" s="32"/>
      <c r="C604" s="33"/>
      <c r="D604" s="34"/>
      <c r="E604" s="34"/>
    </row>
    <row r="605" spans="1:5" s="23" customFormat="1" x14ac:dyDescent="0.25">
      <c r="A605" s="32"/>
      <c r="C605" s="33"/>
      <c r="D605" s="34"/>
      <c r="E605" s="34"/>
    </row>
    <row r="606" spans="1:5" s="23" customFormat="1" x14ac:dyDescent="0.25">
      <c r="A606" s="32"/>
      <c r="C606" s="33"/>
      <c r="D606" s="34"/>
      <c r="E606" s="34"/>
    </row>
    <row r="607" spans="1:5" s="23" customFormat="1" x14ac:dyDescent="0.25">
      <c r="A607" s="32"/>
      <c r="C607" s="33"/>
      <c r="D607" s="34"/>
      <c r="E607" s="34"/>
    </row>
    <row r="608" spans="1:5" s="23" customFormat="1" x14ac:dyDescent="0.25">
      <c r="A608" s="32"/>
      <c r="C608" s="33"/>
      <c r="D608" s="34"/>
      <c r="E608" s="34"/>
    </row>
    <row r="609" spans="1:5" s="23" customFormat="1" x14ac:dyDescent="0.25">
      <c r="A609" s="32"/>
      <c r="C609" s="33"/>
      <c r="D609" s="34"/>
      <c r="E609" s="34"/>
    </row>
    <row r="610" spans="1:5" s="23" customFormat="1" x14ac:dyDescent="0.25">
      <c r="A610" s="32"/>
      <c r="C610" s="33"/>
      <c r="D610" s="34"/>
      <c r="E610" s="34"/>
    </row>
    <row r="611" spans="1:5" s="23" customFormat="1" x14ac:dyDescent="0.25">
      <c r="A611" s="32"/>
      <c r="C611" s="33"/>
      <c r="D611" s="34"/>
      <c r="E611" s="34"/>
    </row>
    <row r="612" spans="1:5" s="23" customFormat="1" x14ac:dyDescent="0.25">
      <c r="A612" s="32"/>
      <c r="C612" s="33"/>
      <c r="D612" s="34"/>
      <c r="E612" s="34"/>
    </row>
    <row r="613" spans="1:5" s="23" customFormat="1" x14ac:dyDescent="0.25">
      <c r="A613" s="32"/>
      <c r="C613" s="33"/>
      <c r="D613" s="34"/>
      <c r="E613" s="34"/>
    </row>
    <row r="614" spans="1:5" s="23" customFormat="1" x14ac:dyDescent="0.25">
      <c r="A614" s="32"/>
      <c r="C614" s="33"/>
      <c r="D614" s="34"/>
      <c r="E614" s="34"/>
    </row>
    <row r="615" spans="1:5" s="23" customFormat="1" x14ac:dyDescent="0.25">
      <c r="A615" s="32"/>
      <c r="C615" s="33"/>
      <c r="D615" s="34"/>
      <c r="E615" s="34"/>
    </row>
    <row r="616" spans="1:5" s="23" customFormat="1" x14ac:dyDescent="0.25">
      <c r="A616" s="32"/>
      <c r="C616" s="33"/>
      <c r="D616" s="34"/>
      <c r="E616" s="34"/>
    </row>
    <row r="617" spans="1:5" s="23" customFormat="1" x14ac:dyDescent="0.25">
      <c r="A617" s="32"/>
      <c r="C617" s="33"/>
      <c r="D617" s="34"/>
      <c r="E617" s="34"/>
    </row>
    <row r="618" spans="1:5" s="23" customFormat="1" x14ac:dyDescent="0.25">
      <c r="A618" s="32"/>
      <c r="C618" s="33"/>
      <c r="D618" s="34"/>
      <c r="E618" s="34"/>
    </row>
    <row r="619" spans="1:5" s="23" customFormat="1" x14ac:dyDescent="0.25">
      <c r="A619" s="32"/>
      <c r="C619" s="33"/>
      <c r="D619" s="34"/>
      <c r="E619" s="34"/>
    </row>
    <row r="620" spans="1:5" s="23" customFormat="1" x14ac:dyDescent="0.25">
      <c r="A620" s="32"/>
      <c r="C620" s="33"/>
      <c r="D620" s="34"/>
      <c r="E620" s="34"/>
    </row>
    <row r="621" spans="1:5" s="23" customFormat="1" x14ac:dyDescent="0.25">
      <c r="A621" s="32"/>
      <c r="C621" s="33"/>
      <c r="D621" s="34"/>
      <c r="E621" s="34"/>
    </row>
    <row r="622" spans="1:5" s="23" customFormat="1" x14ac:dyDescent="0.25">
      <c r="A622" s="32"/>
      <c r="C622" s="33"/>
      <c r="D622" s="34"/>
      <c r="E622" s="34"/>
    </row>
    <row r="623" spans="1:5" s="23" customFormat="1" x14ac:dyDescent="0.25">
      <c r="A623" s="32"/>
      <c r="C623" s="33"/>
      <c r="D623" s="34"/>
      <c r="E623" s="34"/>
    </row>
    <row r="624" spans="1:5" s="23" customFormat="1" x14ac:dyDescent="0.25">
      <c r="A624" s="32"/>
      <c r="C624" s="33"/>
      <c r="D624" s="34"/>
      <c r="E624" s="34"/>
    </row>
    <row r="625" spans="1:5" s="23" customFormat="1" x14ac:dyDescent="0.25">
      <c r="A625" s="32"/>
      <c r="C625" s="33"/>
      <c r="D625" s="34"/>
      <c r="E625" s="34"/>
    </row>
    <row r="626" spans="1:5" s="23" customFormat="1" x14ac:dyDescent="0.25">
      <c r="A626" s="32"/>
      <c r="C626" s="33"/>
      <c r="D626" s="34"/>
      <c r="E626" s="34"/>
    </row>
    <row r="627" spans="1:5" s="23" customFormat="1" x14ac:dyDescent="0.25">
      <c r="A627" s="32"/>
      <c r="C627" s="33"/>
      <c r="D627" s="34"/>
      <c r="E627" s="34"/>
    </row>
    <row r="628" spans="1:5" s="23" customFormat="1" x14ac:dyDescent="0.25">
      <c r="A628" s="32"/>
      <c r="C628" s="33"/>
      <c r="D628" s="34"/>
      <c r="E628" s="34"/>
    </row>
    <row r="629" spans="1:5" s="23" customFormat="1" x14ac:dyDescent="0.25">
      <c r="A629" s="32"/>
      <c r="C629" s="33"/>
      <c r="D629" s="34"/>
      <c r="E629" s="34"/>
    </row>
    <row r="630" spans="1:5" s="23" customFormat="1" x14ac:dyDescent="0.25">
      <c r="A630" s="32"/>
      <c r="C630" s="33"/>
      <c r="D630" s="34"/>
      <c r="E630" s="34"/>
    </row>
    <row r="631" spans="1:5" s="23" customFormat="1" x14ac:dyDescent="0.25">
      <c r="A631" s="32"/>
      <c r="C631" s="33"/>
      <c r="D631" s="34"/>
      <c r="E631" s="34"/>
    </row>
    <row r="632" spans="1:5" s="23" customFormat="1" x14ac:dyDescent="0.25">
      <c r="A632" s="32"/>
      <c r="C632" s="33"/>
      <c r="D632" s="34"/>
      <c r="E632" s="34"/>
    </row>
    <row r="633" spans="1:5" s="23" customFormat="1" x14ac:dyDescent="0.25">
      <c r="A633" s="32"/>
      <c r="C633" s="33"/>
      <c r="D633" s="34"/>
      <c r="E633" s="34"/>
    </row>
    <row r="634" spans="1:5" s="23" customFormat="1" x14ac:dyDescent="0.25">
      <c r="A634" s="32"/>
      <c r="C634" s="33"/>
      <c r="D634" s="34"/>
      <c r="E634" s="34"/>
    </row>
    <row r="635" spans="1:5" s="23" customFormat="1" x14ac:dyDescent="0.25">
      <c r="A635" s="32"/>
      <c r="C635" s="33"/>
      <c r="D635" s="34"/>
      <c r="E635" s="34"/>
    </row>
    <row r="636" spans="1:5" s="23" customFormat="1" x14ac:dyDescent="0.25">
      <c r="A636" s="32"/>
      <c r="C636" s="33"/>
      <c r="D636" s="34"/>
      <c r="E636" s="34"/>
    </row>
    <row r="637" spans="1:5" s="23" customFormat="1" x14ac:dyDescent="0.25">
      <c r="A637" s="32"/>
      <c r="C637" s="33"/>
      <c r="D637" s="34"/>
      <c r="E637" s="34"/>
    </row>
    <row r="638" spans="1:5" s="23" customFormat="1" x14ac:dyDescent="0.25">
      <c r="A638" s="32"/>
      <c r="C638" s="33"/>
      <c r="D638" s="34"/>
      <c r="E638" s="34"/>
    </row>
    <row r="639" spans="1:5" s="23" customFormat="1" x14ac:dyDescent="0.25">
      <c r="A639" s="32"/>
      <c r="C639" s="33"/>
      <c r="D639" s="34"/>
      <c r="E639" s="34"/>
    </row>
    <row r="640" spans="1:5" s="23" customFormat="1" x14ac:dyDescent="0.25">
      <c r="A640" s="32"/>
      <c r="C640" s="33"/>
      <c r="D640" s="34"/>
      <c r="E640" s="34"/>
    </row>
    <row r="641" spans="1:8" s="23" customFormat="1" x14ac:dyDescent="0.25">
      <c r="A641" s="32"/>
      <c r="C641" s="33"/>
      <c r="D641" s="34"/>
      <c r="E641" s="34"/>
    </row>
    <row r="642" spans="1:8" s="23" customFormat="1" x14ac:dyDescent="0.25">
      <c r="A642" s="32"/>
      <c r="C642" s="33"/>
      <c r="D642" s="34"/>
      <c r="E642" s="34"/>
    </row>
    <row r="643" spans="1:8" s="23" customFormat="1" x14ac:dyDescent="0.25">
      <c r="A643" s="32"/>
      <c r="C643" s="33"/>
      <c r="D643" s="34"/>
      <c r="E643" s="34"/>
    </row>
    <row r="644" spans="1:8" s="23" customFormat="1" x14ac:dyDescent="0.25">
      <c r="A644" s="32"/>
      <c r="C644" s="33"/>
      <c r="D644" s="34"/>
      <c r="E644" s="34"/>
    </row>
    <row r="645" spans="1:8" s="23" customFormat="1" x14ac:dyDescent="0.25">
      <c r="A645" s="32"/>
      <c r="C645" s="33"/>
      <c r="D645" s="34"/>
      <c r="E645" s="34"/>
    </row>
    <row r="646" spans="1:8" s="23" customFormat="1" x14ac:dyDescent="0.25">
      <c r="A646" s="32"/>
      <c r="C646" s="33"/>
      <c r="D646" s="34"/>
      <c r="E646" s="34"/>
    </row>
    <row r="647" spans="1:8" s="23" customFormat="1" x14ac:dyDescent="0.25">
      <c r="A647" s="20"/>
      <c r="B647" s="1"/>
      <c r="C647" s="21"/>
      <c r="D647" s="22"/>
      <c r="E647" s="22"/>
      <c r="F647" s="1"/>
      <c r="G647" s="1"/>
      <c r="H647" s="1"/>
    </row>
    <row r="648" spans="1:8" s="23" customFormat="1" x14ac:dyDescent="0.25">
      <c r="A648" s="20"/>
      <c r="B648" s="1"/>
      <c r="C648" s="21"/>
      <c r="D648" s="22"/>
      <c r="E648" s="22"/>
      <c r="F648" s="1"/>
      <c r="G648" s="1"/>
      <c r="H648" s="1"/>
    </row>
    <row r="649" spans="1:8" s="23" customFormat="1" x14ac:dyDescent="0.25">
      <c r="A649" s="20"/>
      <c r="B649" s="1"/>
      <c r="C649" s="21"/>
      <c r="D649" s="22"/>
      <c r="E649" s="22"/>
      <c r="F649" s="1"/>
      <c r="G649" s="1"/>
      <c r="H649" s="1"/>
    </row>
    <row r="650" spans="1:8" s="23" customFormat="1" x14ac:dyDescent="0.25">
      <c r="A650" s="20"/>
      <c r="B650" s="1"/>
      <c r="C650" s="21"/>
      <c r="D650" s="22"/>
      <c r="E650" s="22"/>
      <c r="F650" s="1"/>
      <c r="G650" s="1"/>
      <c r="H650" s="1"/>
    </row>
    <row r="651" spans="1:8" s="23" customFormat="1" x14ac:dyDescent="0.25">
      <c r="A651" s="20"/>
      <c r="B651" s="1"/>
      <c r="C651" s="21"/>
      <c r="D651" s="22"/>
      <c r="E651" s="22"/>
      <c r="F651" s="1"/>
      <c r="G651" s="1"/>
      <c r="H651" s="1"/>
    </row>
    <row r="652" spans="1:8" s="23" customFormat="1" x14ac:dyDescent="0.25">
      <c r="A652" s="20"/>
      <c r="B652" s="1"/>
      <c r="C652" s="21"/>
      <c r="D652" s="22"/>
      <c r="E652" s="22"/>
      <c r="F652" s="1"/>
      <c r="G652" s="1"/>
      <c r="H652" s="1"/>
    </row>
    <row r="653" spans="1:8" s="23" customFormat="1" x14ac:dyDescent="0.25">
      <c r="A653" s="20"/>
      <c r="B653" s="1"/>
      <c r="C653" s="21"/>
      <c r="D653" s="22"/>
      <c r="E653" s="22"/>
      <c r="F653" s="1"/>
      <c r="G653" s="1"/>
      <c r="H653" s="1"/>
    </row>
    <row r="654" spans="1:8" s="23" customFormat="1" x14ac:dyDescent="0.25">
      <c r="A654" s="20"/>
      <c r="B654" s="1"/>
      <c r="C654" s="21"/>
      <c r="D654" s="22"/>
      <c r="E654" s="22"/>
      <c r="F654" s="1"/>
      <c r="G654" s="1"/>
      <c r="H654" s="1"/>
    </row>
    <row r="655" spans="1:8" s="23" customFormat="1" x14ac:dyDescent="0.25">
      <c r="A655" s="20"/>
      <c r="B655" s="1"/>
      <c r="C655" s="21"/>
      <c r="D655" s="22"/>
      <c r="E655" s="22"/>
      <c r="F655" s="1"/>
      <c r="G655" s="1"/>
      <c r="H655" s="1"/>
    </row>
    <row r="656" spans="1:8" s="23" customFormat="1" x14ac:dyDescent="0.25">
      <c r="A656" s="20"/>
      <c r="B656" s="1"/>
      <c r="C656" s="21"/>
      <c r="D656" s="22"/>
      <c r="E656" s="22"/>
      <c r="F656" s="1"/>
      <c r="G656" s="1"/>
      <c r="H656" s="1"/>
    </row>
    <row r="657" spans="1:8" s="23" customFormat="1" x14ac:dyDescent="0.25">
      <c r="A657" s="20"/>
      <c r="B657" s="1"/>
      <c r="C657" s="21"/>
      <c r="D657" s="22"/>
      <c r="E657" s="22"/>
      <c r="F657" s="1"/>
      <c r="G657" s="1"/>
      <c r="H657" s="1"/>
    </row>
    <row r="658" spans="1:8" s="23" customFormat="1" x14ac:dyDescent="0.25">
      <c r="A658" s="20"/>
      <c r="B658" s="1"/>
      <c r="C658" s="21"/>
      <c r="D658" s="22"/>
      <c r="E658" s="22"/>
      <c r="F658" s="1"/>
      <c r="G658" s="1"/>
      <c r="H658" s="1"/>
    </row>
    <row r="659" spans="1:8" s="23" customFormat="1" x14ac:dyDescent="0.25">
      <c r="A659" s="20"/>
      <c r="B659" s="1"/>
      <c r="C659" s="21"/>
      <c r="D659" s="22"/>
      <c r="E659" s="22"/>
      <c r="F659" s="1"/>
      <c r="G659" s="1"/>
      <c r="H659" s="1"/>
    </row>
    <row r="660" spans="1:8" s="23" customFormat="1" x14ac:dyDescent="0.25">
      <c r="A660" s="20"/>
      <c r="B660" s="1"/>
      <c r="C660" s="21"/>
      <c r="D660" s="22"/>
      <c r="E660" s="22"/>
      <c r="F660" s="1"/>
      <c r="G660" s="1"/>
      <c r="H660" s="1"/>
    </row>
    <row r="661" spans="1:8" s="23" customFormat="1" x14ac:dyDescent="0.25">
      <c r="A661" s="20"/>
      <c r="B661" s="1"/>
      <c r="C661" s="21"/>
      <c r="D661" s="22"/>
      <c r="E661" s="22"/>
      <c r="F661" s="1"/>
      <c r="G661" s="1"/>
      <c r="H661" s="1"/>
    </row>
    <row r="662" spans="1:8" s="23" customFormat="1" x14ac:dyDescent="0.25">
      <c r="A662" s="20"/>
      <c r="B662" s="1"/>
      <c r="C662" s="21"/>
      <c r="D662" s="22"/>
      <c r="E662" s="22"/>
      <c r="F662" s="1"/>
      <c r="G662" s="1"/>
      <c r="H662" s="1"/>
    </row>
    <row r="663" spans="1:8" s="23" customFormat="1" x14ac:dyDescent="0.25">
      <c r="A663" s="20"/>
      <c r="B663" s="1"/>
      <c r="C663" s="21"/>
      <c r="D663" s="22"/>
      <c r="E663" s="22"/>
      <c r="F663" s="1"/>
      <c r="G663" s="1"/>
      <c r="H663" s="1"/>
    </row>
    <row r="664" spans="1:8" s="23" customFormat="1" x14ac:dyDescent="0.25">
      <c r="A664" s="20"/>
      <c r="B664" s="1"/>
      <c r="C664" s="21"/>
      <c r="D664" s="22"/>
      <c r="E664" s="22"/>
      <c r="F664" s="1"/>
      <c r="G664" s="1"/>
      <c r="H664" s="1"/>
    </row>
    <row r="665" spans="1:8" s="23" customFormat="1" x14ac:dyDescent="0.25">
      <c r="A665" s="20"/>
      <c r="B665" s="1"/>
      <c r="C665" s="21"/>
      <c r="D665" s="22"/>
      <c r="E665" s="22"/>
      <c r="F665" s="1"/>
      <c r="G665" s="1"/>
      <c r="H665" s="1"/>
    </row>
    <row r="666" spans="1:8" s="23" customFormat="1" x14ac:dyDescent="0.25">
      <c r="A666" s="20"/>
      <c r="B666" s="1"/>
      <c r="C666" s="21"/>
      <c r="D666" s="22"/>
      <c r="E666" s="22"/>
      <c r="F666" s="1"/>
      <c r="G666" s="1"/>
      <c r="H666" s="1"/>
    </row>
    <row r="667" spans="1:8" s="23" customFormat="1" x14ac:dyDescent="0.25">
      <c r="A667" s="20"/>
      <c r="B667" s="1"/>
      <c r="C667" s="21"/>
      <c r="D667" s="22"/>
      <c r="E667" s="22"/>
      <c r="F667" s="1"/>
      <c r="G667" s="1"/>
      <c r="H667" s="1"/>
    </row>
  </sheetData>
  <mergeCells count="67">
    <mergeCell ref="G11:G13"/>
    <mergeCell ref="H11:H13"/>
    <mergeCell ref="A9:H9"/>
    <mergeCell ref="A173:E173"/>
    <mergeCell ref="A174:D174"/>
    <mergeCell ref="A169:E169"/>
    <mergeCell ref="A170:E170"/>
    <mergeCell ref="A171:E171"/>
    <mergeCell ref="A172:E172"/>
    <mergeCell ref="A168:E168"/>
    <mergeCell ref="A130:F130"/>
    <mergeCell ref="A149:E149"/>
    <mergeCell ref="A155:E155"/>
    <mergeCell ref="A158:E158"/>
    <mergeCell ref="A161:E161"/>
    <mergeCell ref="A162:E162"/>
    <mergeCell ref="A163:E163"/>
    <mergeCell ref="A164:E164"/>
    <mergeCell ref="A165:E165"/>
    <mergeCell ref="A166:E166"/>
    <mergeCell ref="A167:E167"/>
    <mergeCell ref="A129:E129"/>
    <mergeCell ref="A84:B84"/>
    <mergeCell ref="E84:F84"/>
    <mergeCell ref="A85:B85"/>
    <mergeCell ref="E85:F85"/>
    <mergeCell ref="A86:F86"/>
    <mergeCell ref="A115:E115"/>
    <mergeCell ref="A116:E116"/>
    <mergeCell ref="A117:E117"/>
    <mergeCell ref="A118:E118"/>
    <mergeCell ref="A119:F119"/>
    <mergeCell ref="A126:E126"/>
    <mergeCell ref="A83:B83"/>
    <mergeCell ref="E83:F83"/>
    <mergeCell ref="A73:F73"/>
    <mergeCell ref="A75:E75"/>
    <mergeCell ref="A76:E76"/>
    <mergeCell ref="A77:E77"/>
    <mergeCell ref="A78:E78"/>
    <mergeCell ref="A79:E79"/>
    <mergeCell ref="A80:E80"/>
    <mergeCell ref="A81:C81"/>
    <mergeCell ref="A82:B82"/>
    <mergeCell ref="E82:F82"/>
    <mergeCell ref="A72:E72"/>
    <mergeCell ref="A14:F14"/>
    <mergeCell ref="A50:E50"/>
    <mergeCell ref="A51:F51"/>
    <mergeCell ref="A62:E62"/>
    <mergeCell ref="A63:F63"/>
    <mergeCell ref="A65:E65"/>
    <mergeCell ref="A66:F66"/>
    <mergeCell ref="A68:E68"/>
    <mergeCell ref="A69:F69"/>
    <mergeCell ref="A10:F10"/>
    <mergeCell ref="A11:A13"/>
    <mergeCell ref="B11:B13"/>
    <mergeCell ref="C11:C13"/>
    <mergeCell ref="D11:D13"/>
    <mergeCell ref="E11:E13"/>
    <mergeCell ref="F11:F13"/>
    <mergeCell ref="A5:H5"/>
    <mergeCell ref="A2:H2"/>
    <mergeCell ref="A1:H1"/>
    <mergeCell ref="A3:H3"/>
    <mergeCell ref="A7:H7"/>
  </mergeCells>
  <pageMargins left="0.7" right="0.7" top="0.75" bottom="0.75" header="0.3" footer="0.3"/>
  <pageSetup scale="58" orientation="portrait" r:id="rId1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46"/>
  <sheetViews>
    <sheetView workbookViewId="0">
      <selection activeCell="G42" sqref="G42:H42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3" x14ac:dyDescent="0.2">
      <c r="A17" s="491" t="s">
        <v>341</v>
      </c>
      <c r="B17" s="528" t="s">
        <v>342</v>
      </c>
      <c r="C17" s="529"/>
      <c r="D17" s="529"/>
      <c r="E17" s="529"/>
      <c r="F17" s="530"/>
      <c r="G17" s="491" t="s">
        <v>216</v>
      </c>
      <c r="H17" s="493" t="s">
        <v>154</v>
      </c>
    </row>
    <row r="18" spans="1:13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3" x14ac:dyDescent="0.2">
      <c r="A19" s="109" t="s">
        <v>217</v>
      </c>
    </row>
    <row r="20" spans="1:13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3" ht="25.5" customHeight="1" x14ac:dyDescent="0.2">
      <c r="A21" s="427" t="s">
        <v>343</v>
      </c>
      <c r="B21" s="428"/>
      <c r="C21" s="388"/>
      <c r="D21" s="388"/>
      <c r="E21" s="542"/>
      <c r="F21" s="542"/>
      <c r="G21" s="388">
        <v>5</v>
      </c>
      <c r="H21" s="388"/>
    </row>
    <row r="22" spans="1:13" x14ac:dyDescent="0.2">
      <c r="C22" s="478" t="s">
        <v>225</v>
      </c>
      <c r="D22" s="478"/>
      <c r="E22" s="478"/>
      <c r="F22" s="478"/>
      <c r="G22" s="452">
        <f>SUM(G21:G21)</f>
        <v>5</v>
      </c>
      <c r="H22" s="452"/>
      <c r="K22" s="179"/>
      <c r="L22" s="179"/>
    </row>
    <row r="23" spans="1:13" x14ac:dyDescent="0.2">
      <c r="C23" s="110"/>
      <c r="D23" s="110"/>
      <c r="E23" s="110"/>
      <c r="F23" s="110"/>
      <c r="G23" s="111"/>
      <c r="H23" s="111"/>
      <c r="L23" s="179"/>
    </row>
    <row r="24" spans="1:13" x14ac:dyDescent="0.2">
      <c r="A24" s="109" t="s">
        <v>226</v>
      </c>
      <c r="L24" s="179"/>
    </row>
    <row r="25" spans="1:13" x14ac:dyDescent="0.2">
      <c r="A25" s="480" t="s">
        <v>1</v>
      </c>
      <c r="B25" s="480"/>
      <c r="C25" s="112" t="s">
        <v>227</v>
      </c>
      <c r="D25" s="112" t="s">
        <v>228</v>
      </c>
      <c r="E25" s="480" t="s">
        <v>3</v>
      </c>
      <c r="F25" s="480"/>
      <c r="G25" s="480" t="s">
        <v>220</v>
      </c>
      <c r="H25" s="480"/>
      <c r="L25" s="179"/>
    </row>
    <row r="26" spans="1:13" x14ac:dyDescent="0.2">
      <c r="A26" s="427" t="s">
        <v>344</v>
      </c>
      <c r="B26" s="428"/>
      <c r="C26" s="125" t="s">
        <v>154</v>
      </c>
      <c r="D26" s="125">
        <v>2900</v>
      </c>
      <c r="E26" s="389">
        <v>1</v>
      </c>
      <c r="F26" s="389"/>
      <c r="G26" s="390">
        <f>+D26*E26</f>
        <v>2900</v>
      </c>
      <c r="H26" s="391"/>
    </row>
    <row r="27" spans="1:13" ht="27" customHeight="1" x14ac:dyDescent="0.2">
      <c r="A27" s="427" t="s">
        <v>345</v>
      </c>
      <c r="B27" s="428"/>
      <c r="C27" s="124" t="s">
        <v>154</v>
      </c>
      <c r="D27" s="125">
        <v>3200</v>
      </c>
      <c r="E27" s="506">
        <v>0.03</v>
      </c>
      <c r="F27" s="507"/>
      <c r="G27" s="390">
        <f>+D27*E27</f>
        <v>96</v>
      </c>
      <c r="H27" s="391"/>
    </row>
    <row r="28" spans="1:13" x14ac:dyDescent="0.2">
      <c r="A28" s="115"/>
      <c r="B28" s="115"/>
      <c r="C28" s="478" t="s">
        <v>225</v>
      </c>
      <c r="D28" s="478"/>
      <c r="E28" s="478"/>
      <c r="F28" s="478"/>
      <c r="G28" s="452">
        <f>SUM(G26:G27)</f>
        <v>2996</v>
      </c>
      <c r="H28" s="452"/>
    </row>
    <row r="30" spans="1:13" ht="15" x14ac:dyDescent="0.25">
      <c r="A30" s="109" t="s">
        <v>256</v>
      </c>
      <c r="L30" s="180"/>
      <c r="M30" s="180"/>
    </row>
    <row r="31" spans="1:13" x14ac:dyDescent="0.2">
      <c r="A31" s="480" t="s">
        <v>233</v>
      </c>
      <c r="B31" s="480"/>
      <c r="C31" s="112" t="s">
        <v>234</v>
      </c>
      <c r="D31" s="116" t="s">
        <v>235</v>
      </c>
      <c r="E31" s="480" t="s">
        <v>236</v>
      </c>
      <c r="F31" s="480"/>
      <c r="G31" s="480" t="s">
        <v>220</v>
      </c>
      <c r="H31" s="480"/>
    </row>
    <row r="32" spans="1:13" x14ac:dyDescent="0.2">
      <c r="A32" s="482" t="s">
        <v>346</v>
      </c>
      <c r="B32" s="482"/>
      <c r="C32" s="118">
        <v>1.03</v>
      </c>
      <c r="D32" s="118">
        <v>30</v>
      </c>
      <c r="E32" s="452">
        <v>5</v>
      </c>
      <c r="F32" s="452"/>
      <c r="G32" s="452">
        <f>+E32*C32*D32</f>
        <v>154.5</v>
      </c>
      <c r="H32" s="452"/>
    </row>
    <row r="33" spans="1:13" x14ac:dyDescent="0.2">
      <c r="A33" s="482"/>
      <c r="B33" s="482"/>
      <c r="C33" s="118"/>
      <c r="D33" s="118"/>
      <c r="E33" s="452"/>
      <c r="F33" s="452"/>
      <c r="G33" s="452"/>
      <c r="H33" s="452"/>
    </row>
    <row r="34" spans="1:13" x14ac:dyDescent="0.2">
      <c r="A34" s="482"/>
      <c r="B34" s="482"/>
      <c r="C34" s="118"/>
      <c r="D34" s="118"/>
      <c r="E34" s="452"/>
      <c r="F34" s="452"/>
      <c r="G34" s="452"/>
      <c r="H34" s="452"/>
    </row>
    <row r="35" spans="1:13" x14ac:dyDescent="0.2">
      <c r="A35" s="115"/>
      <c r="B35" s="115"/>
      <c r="C35" s="478" t="s">
        <v>225</v>
      </c>
      <c r="D35" s="478"/>
      <c r="E35" s="478"/>
      <c r="F35" s="478"/>
      <c r="G35" s="452">
        <f>SUM(G32:H34)</f>
        <v>154.5</v>
      </c>
      <c r="H35" s="452"/>
    </row>
    <row r="36" spans="1:13" ht="15" x14ac:dyDescent="0.25">
      <c r="L36" s="180"/>
      <c r="M36" s="180"/>
    </row>
    <row r="37" spans="1:13" x14ac:dyDescent="0.2">
      <c r="A37" s="109" t="s">
        <v>257</v>
      </c>
    </row>
    <row r="38" spans="1:13" x14ac:dyDescent="0.2">
      <c r="A38" s="480" t="s">
        <v>238</v>
      </c>
      <c r="B38" s="480"/>
      <c r="C38" s="128" t="s">
        <v>239</v>
      </c>
      <c r="D38" s="116" t="s">
        <v>240</v>
      </c>
      <c r="E38" s="119" t="s">
        <v>241</v>
      </c>
      <c r="F38" s="120" t="s">
        <v>219</v>
      </c>
      <c r="G38" s="480" t="s">
        <v>220</v>
      </c>
      <c r="H38" s="480"/>
    </row>
    <row r="39" spans="1:13" x14ac:dyDescent="0.2">
      <c r="A39" s="482" t="s">
        <v>304</v>
      </c>
      <c r="B39" s="482"/>
      <c r="C39" s="121">
        <f>35000*2</f>
        <v>70000</v>
      </c>
      <c r="D39" s="117">
        <v>1.85</v>
      </c>
      <c r="E39" s="121">
        <f>+C39*D39</f>
        <v>129500</v>
      </c>
      <c r="F39" s="117">
        <v>190</v>
      </c>
      <c r="G39" s="452">
        <f>+E39/F39</f>
        <v>681.57894736842104</v>
      </c>
      <c r="H39" s="452"/>
    </row>
    <row r="40" spans="1:13" x14ac:dyDescent="0.2">
      <c r="A40" s="450" t="s">
        <v>242</v>
      </c>
      <c r="B40" s="451"/>
      <c r="C40" s="181">
        <v>60000</v>
      </c>
      <c r="D40" s="117">
        <v>1.85</v>
      </c>
      <c r="E40" s="121">
        <f>+C40*D40</f>
        <v>111000</v>
      </c>
      <c r="F40" s="117">
        <v>190</v>
      </c>
      <c r="G40" s="623">
        <f>+E40/F40</f>
        <v>584.21052631578948</v>
      </c>
      <c r="H40" s="623"/>
    </row>
    <row r="41" spans="1:13" x14ac:dyDescent="0.2">
      <c r="A41" s="482"/>
      <c r="B41" s="482"/>
      <c r="C41" s="121"/>
      <c r="D41" s="118"/>
      <c r="E41" s="121"/>
      <c r="F41" s="118"/>
      <c r="G41" s="452"/>
      <c r="H41" s="452"/>
    </row>
    <row r="42" spans="1:13" x14ac:dyDescent="0.2">
      <c r="A42" s="115"/>
      <c r="B42" s="115"/>
      <c r="C42" s="478" t="s">
        <v>225</v>
      </c>
      <c r="D42" s="478"/>
      <c r="E42" s="478"/>
      <c r="F42" s="478"/>
      <c r="G42" s="452">
        <f>+SUM(G39:H41)</f>
        <v>1265.7894736842104</v>
      </c>
      <c r="H42" s="452"/>
    </row>
    <row r="45" spans="1:13" x14ac:dyDescent="0.2">
      <c r="A45" s="479" t="s">
        <v>244</v>
      </c>
      <c r="B45" s="479"/>
      <c r="C45" s="479"/>
      <c r="D45" s="479"/>
      <c r="E45" s="479"/>
      <c r="F45" s="479"/>
      <c r="G45" s="556">
        <f>ROUND(G22+G28+G35+G42,0)</f>
        <v>4421</v>
      </c>
      <c r="H45" s="556"/>
    </row>
    <row r="46" spans="1:13" x14ac:dyDescent="0.2">
      <c r="G46" s="188">
        <f>+G45</f>
        <v>4421</v>
      </c>
    </row>
  </sheetData>
  <mergeCells count="60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31:B31"/>
    <mergeCell ref="E31:F31"/>
    <mergeCell ref="G31:H31"/>
    <mergeCell ref="C22:F22"/>
    <mergeCell ref="G22:H22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38:B38"/>
    <mergeCell ref="G38:H38"/>
    <mergeCell ref="A32:B32"/>
    <mergeCell ref="E32:F32"/>
    <mergeCell ref="G32:H32"/>
    <mergeCell ref="A33:B33"/>
    <mergeCell ref="E33:F33"/>
    <mergeCell ref="G33:H33"/>
    <mergeCell ref="A34:B34"/>
    <mergeCell ref="E34:F34"/>
    <mergeCell ref="G34:H34"/>
    <mergeCell ref="C35:F35"/>
    <mergeCell ref="G35:H35"/>
    <mergeCell ref="C42:F42"/>
    <mergeCell ref="G42:H42"/>
    <mergeCell ref="A45:F45"/>
    <mergeCell ref="G45:H45"/>
    <mergeCell ref="A39:B39"/>
    <mergeCell ref="G39:H39"/>
    <mergeCell ref="A40:B40"/>
    <mergeCell ref="G40:H40"/>
    <mergeCell ref="A41:B41"/>
    <mergeCell ref="G41:H4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47"/>
  <sheetViews>
    <sheetView workbookViewId="0">
      <selection activeCell="K11" sqref="K11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3" x14ac:dyDescent="0.2">
      <c r="A17" s="491" t="s">
        <v>347</v>
      </c>
      <c r="B17" s="528" t="s">
        <v>348</v>
      </c>
      <c r="C17" s="529"/>
      <c r="D17" s="529"/>
      <c r="E17" s="529"/>
      <c r="F17" s="530"/>
      <c r="G17" s="491" t="s">
        <v>216</v>
      </c>
      <c r="H17" s="493" t="s">
        <v>152</v>
      </c>
    </row>
    <row r="18" spans="1:13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3" x14ac:dyDescent="0.2">
      <c r="A19" s="109" t="s">
        <v>217</v>
      </c>
    </row>
    <row r="20" spans="1:13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3" x14ac:dyDescent="0.2">
      <c r="A21" s="427" t="s">
        <v>305</v>
      </c>
      <c r="B21" s="428"/>
      <c r="C21" s="388">
        <v>150000</v>
      </c>
      <c r="D21" s="388"/>
      <c r="E21" s="389">
        <v>6.88</v>
      </c>
      <c r="F21" s="389"/>
      <c r="G21" s="388">
        <f>+C21/E21</f>
        <v>21802.325581395347</v>
      </c>
      <c r="H21" s="388"/>
    </row>
    <row r="22" spans="1:13" x14ac:dyDescent="0.2">
      <c r="A22" s="427" t="s">
        <v>349</v>
      </c>
      <c r="B22" s="428"/>
      <c r="C22" s="388">
        <v>8000</v>
      </c>
      <c r="D22" s="388"/>
      <c r="E22" s="389">
        <v>6.875</v>
      </c>
      <c r="F22" s="389"/>
      <c r="G22" s="388">
        <f>+C22/E22</f>
        <v>1163.6363636363637</v>
      </c>
      <c r="H22" s="388"/>
    </row>
    <row r="23" spans="1:13" x14ac:dyDescent="0.2">
      <c r="A23" s="427" t="s">
        <v>224</v>
      </c>
      <c r="B23" s="428"/>
      <c r="C23" s="388"/>
      <c r="D23" s="388"/>
      <c r="E23" s="389"/>
      <c r="F23" s="389"/>
      <c r="G23" s="388">
        <v>150</v>
      </c>
      <c r="H23" s="388"/>
    </row>
    <row r="24" spans="1:13" x14ac:dyDescent="0.2">
      <c r="C24" s="478" t="s">
        <v>225</v>
      </c>
      <c r="D24" s="478"/>
      <c r="E24" s="478"/>
      <c r="F24" s="478"/>
      <c r="G24" s="624">
        <f>SUM(G21:G23)</f>
        <v>23115.961945031711</v>
      </c>
      <c r="H24" s="624"/>
      <c r="K24" s="179"/>
      <c r="L24" s="179"/>
    </row>
    <row r="25" spans="1:13" x14ac:dyDescent="0.2">
      <c r="C25" s="110"/>
      <c r="D25" s="110"/>
      <c r="E25" s="110"/>
      <c r="F25" s="110"/>
      <c r="G25" s="111"/>
      <c r="H25" s="111"/>
      <c r="L25" s="179"/>
    </row>
    <row r="26" spans="1:13" x14ac:dyDescent="0.2">
      <c r="A26" s="109" t="s">
        <v>226</v>
      </c>
      <c r="L26" s="179"/>
    </row>
    <row r="27" spans="1:13" x14ac:dyDescent="0.2">
      <c r="A27" s="480" t="s">
        <v>1</v>
      </c>
      <c r="B27" s="480"/>
      <c r="C27" s="112" t="s">
        <v>227</v>
      </c>
      <c r="D27" s="112" t="s">
        <v>228</v>
      </c>
      <c r="E27" s="480" t="s">
        <v>3</v>
      </c>
      <c r="F27" s="480"/>
      <c r="G27" s="480" t="s">
        <v>220</v>
      </c>
      <c r="H27" s="480"/>
      <c r="L27" s="179"/>
    </row>
    <row r="28" spans="1:13" x14ac:dyDescent="0.2">
      <c r="A28" s="427" t="s">
        <v>253</v>
      </c>
      <c r="B28" s="428"/>
      <c r="C28" s="125" t="s">
        <v>152</v>
      </c>
      <c r="D28" s="125">
        <v>9000</v>
      </c>
      <c r="E28" s="389">
        <v>1.3</v>
      </c>
      <c r="F28" s="389"/>
      <c r="G28" s="390">
        <f>+D28*E28</f>
        <v>11700</v>
      </c>
      <c r="H28" s="391"/>
    </row>
    <row r="29" spans="1:13" ht="20.25" customHeight="1" x14ac:dyDescent="0.2">
      <c r="A29" s="427" t="s">
        <v>254</v>
      </c>
      <c r="B29" s="428"/>
      <c r="C29" s="125" t="s">
        <v>350</v>
      </c>
      <c r="D29" s="125">
        <v>40</v>
      </c>
      <c r="E29" s="389">
        <v>30</v>
      </c>
      <c r="F29" s="389"/>
      <c r="G29" s="390">
        <f>+D29*E29</f>
        <v>1200</v>
      </c>
      <c r="H29" s="391"/>
    </row>
    <row r="30" spans="1:13" x14ac:dyDescent="0.2">
      <c r="A30" s="115"/>
      <c r="B30" s="115"/>
      <c r="C30" s="478" t="s">
        <v>225</v>
      </c>
      <c r="D30" s="478"/>
      <c r="E30" s="478"/>
      <c r="F30" s="478"/>
      <c r="G30" s="624">
        <f>SUM(G28:G29)</f>
        <v>12900</v>
      </c>
      <c r="H30" s="624"/>
    </row>
    <row r="32" spans="1:13" ht="15" x14ac:dyDescent="0.25">
      <c r="A32" s="109" t="s">
        <v>256</v>
      </c>
      <c r="L32" s="180"/>
      <c r="M32" s="180"/>
    </row>
    <row r="33" spans="1:13" x14ac:dyDescent="0.2">
      <c r="A33" s="480" t="s">
        <v>233</v>
      </c>
      <c r="B33" s="480"/>
      <c r="C33" s="112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</row>
    <row r="34" spans="1:13" x14ac:dyDescent="0.2">
      <c r="A34" s="482" t="s">
        <v>351</v>
      </c>
      <c r="B34" s="482"/>
      <c r="C34" s="118">
        <v>1.3</v>
      </c>
      <c r="D34" s="118">
        <v>30</v>
      </c>
      <c r="E34" s="452">
        <v>1000</v>
      </c>
      <c r="F34" s="452"/>
      <c r="G34" s="452">
        <f>+E34*D34*C34</f>
        <v>39000</v>
      </c>
      <c r="H34" s="452"/>
    </row>
    <row r="35" spans="1:13" x14ac:dyDescent="0.2">
      <c r="A35" s="482"/>
      <c r="B35" s="482"/>
      <c r="C35" s="118"/>
      <c r="D35" s="118"/>
      <c r="E35" s="452"/>
      <c r="F35" s="452"/>
      <c r="G35" s="452"/>
      <c r="H35" s="452"/>
    </row>
    <row r="36" spans="1:13" x14ac:dyDescent="0.2">
      <c r="A36" s="482"/>
      <c r="B36" s="482"/>
      <c r="C36" s="118"/>
      <c r="D36" s="118"/>
      <c r="E36" s="452"/>
      <c r="F36" s="452"/>
      <c r="G36" s="452"/>
      <c r="H36" s="452"/>
    </row>
    <row r="37" spans="1:13" x14ac:dyDescent="0.2">
      <c r="A37" s="115"/>
      <c r="B37" s="115"/>
      <c r="C37" s="478" t="s">
        <v>225</v>
      </c>
      <c r="D37" s="478"/>
      <c r="E37" s="478"/>
      <c r="F37" s="478"/>
      <c r="G37" s="452">
        <f>SUM(G34:H36)</f>
        <v>39000</v>
      </c>
      <c r="H37" s="452"/>
    </row>
    <row r="38" spans="1:13" ht="15" x14ac:dyDescent="0.25">
      <c r="L38" s="180"/>
      <c r="M38" s="180"/>
    </row>
    <row r="39" spans="1:13" x14ac:dyDescent="0.2">
      <c r="A39" s="109" t="s">
        <v>257</v>
      </c>
    </row>
    <row r="40" spans="1:13" x14ac:dyDescent="0.2">
      <c r="A40" s="480" t="s">
        <v>238</v>
      </c>
      <c r="B40" s="480"/>
      <c r="C40" s="128" t="s">
        <v>239</v>
      </c>
      <c r="D40" s="116" t="s">
        <v>240</v>
      </c>
      <c r="E40" s="119" t="s">
        <v>241</v>
      </c>
      <c r="F40" s="120" t="s">
        <v>219</v>
      </c>
      <c r="G40" s="480" t="s">
        <v>220</v>
      </c>
      <c r="H40" s="480"/>
    </row>
    <row r="41" spans="1:13" x14ac:dyDescent="0.2">
      <c r="A41" s="482" t="s">
        <v>271</v>
      </c>
      <c r="B41" s="482"/>
      <c r="C41" s="121">
        <f>35000*3</f>
        <v>105000</v>
      </c>
      <c r="D41" s="117">
        <v>1.85</v>
      </c>
      <c r="E41" s="121">
        <f>+C41*D41</f>
        <v>194250</v>
      </c>
      <c r="F41" s="182">
        <v>55</v>
      </c>
      <c r="G41" s="452">
        <f>+E41/F41</f>
        <v>3531.818181818182</v>
      </c>
      <c r="H41" s="452"/>
    </row>
    <row r="42" spans="1:13" x14ac:dyDescent="0.2">
      <c r="A42" s="487" t="s">
        <v>242</v>
      </c>
      <c r="B42" s="488"/>
      <c r="C42" s="121">
        <v>60000</v>
      </c>
      <c r="D42" s="117">
        <v>1.85</v>
      </c>
      <c r="E42" s="121">
        <v>64750</v>
      </c>
      <c r="F42" s="182">
        <v>55</v>
      </c>
      <c r="G42" s="452">
        <f>+E42/F42</f>
        <v>1177.2727272727273</v>
      </c>
      <c r="H42" s="452"/>
    </row>
    <row r="43" spans="1:13" x14ac:dyDescent="0.2">
      <c r="A43" s="115"/>
      <c r="B43" s="115"/>
      <c r="C43" s="478" t="s">
        <v>225</v>
      </c>
      <c r="D43" s="478"/>
      <c r="E43" s="478"/>
      <c r="F43" s="478"/>
      <c r="G43" s="624">
        <f>+G41+G42</f>
        <v>4709.090909090909</v>
      </c>
      <c r="H43" s="624"/>
    </row>
    <row r="46" spans="1:13" x14ac:dyDescent="0.2">
      <c r="A46" s="479" t="s">
        <v>244</v>
      </c>
      <c r="B46" s="479"/>
      <c r="C46" s="479"/>
      <c r="D46" s="479"/>
      <c r="E46" s="479"/>
      <c r="F46" s="479"/>
      <c r="G46" s="556">
        <f>ROUND(G24+G30+G37+G43,0)</f>
        <v>79725</v>
      </c>
      <c r="H46" s="556"/>
    </row>
    <row r="47" spans="1:13" x14ac:dyDescent="0.2">
      <c r="G47" s="188">
        <f>+G46</f>
        <v>79725</v>
      </c>
    </row>
  </sheetData>
  <mergeCells count="66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33:B33"/>
    <mergeCell ref="E33:F33"/>
    <mergeCell ref="G33:H33"/>
    <mergeCell ref="C24:F24"/>
    <mergeCell ref="G24:H24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C30:F30"/>
    <mergeCell ref="G30:H30"/>
    <mergeCell ref="A40:B40"/>
    <mergeCell ref="G40:H40"/>
    <mergeCell ref="A34:B34"/>
    <mergeCell ref="E34:F34"/>
    <mergeCell ref="G34:H34"/>
    <mergeCell ref="A35:B35"/>
    <mergeCell ref="E35:F35"/>
    <mergeCell ref="G35:H35"/>
    <mergeCell ref="A36:B36"/>
    <mergeCell ref="E36:F36"/>
    <mergeCell ref="G36:H36"/>
    <mergeCell ref="C37:F37"/>
    <mergeCell ref="G37:H37"/>
    <mergeCell ref="A46:F46"/>
    <mergeCell ref="G46:H46"/>
    <mergeCell ref="A41:B41"/>
    <mergeCell ref="G41:H41"/>
    <mergeCell ref="A42:B42"/>
    <mergeCell ref="G42:H42"/>
    <mergeCell ref="C43:F43"/>
    <mergeCell ref="G43:H4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47"/>
  <sheetViews>
    <sheetView workbookViewId="0">
      <selection activeCell="G46" sqref="G46:H46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2" x14ac:dyDescent="0.2">
      <c r="A17" s="491" t="s">
        <v>352</v>
      </c>
      <c r="B17" s="528" t="s">
        <v>353</v>
      </c>
      <c r="C17" s="529"/>
      <c r="D17" s="529"/>
      <c r="E17" s="529"/>
      <c r="F17" s="530"/>
      <c r="G17" s="491" t="s">
        <v>216</v>
      </c>
      <c r="H17" s="493" t="s">
        <v>153</v>
      </c>
    </row>
    <row r="18" spans="1:12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2" x14ac:dyDescent="0.2">
      <c r="A19" s="109" t="s">
        <v>217</v>
      </c>
    </row>
    <row r="20" spans="1:12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2" x14ac:dyDescent="0.2">
      <c r="A21" s="427" t="s">
        <v>354</v>
      </c>
      <c r="B21" s="428"/>
      <c r="C21" s="388"/>
      <c r="D21" s="388"/>
      <c r="E21" s="389"/>
      <c r="F21" s="389"/>
      <c r="G21" s="388">
        <v>150</v>
      </c>
      <c r="H21" s="388"/>
    </row>
    <row r="22" spans="1:12" x14ac:dyDescent="0.2">
      <c r="A22" s="427" t="s">
        <v>355</v>
      </c>
      <c r="B22" s="428"/>
      <c r="C22" s="388">
        <v>180000</v>
      </c>
      <c r="D22" s="388"/>
      <c r="E22" s="389">
        <v>20</v>
      </c>
      <c r="F22" s="389"/>
      <c r="G22" s="388">
        <f>+C22/E22</f>
        <v>9000</v>
      </c>
      <c r="H22" s="388"/>
    </row>
    <row r="23" spans="1:12" ht="35.25" customHeight="1" x14ac:dyDescent="0.2">
      <c r="A23" s="427" t="s">
        <v>356</v>
      </c>
      <c r="B23" s="428"/>
      <c r="C23" s="388">
        <v>100000</v>
      </c>
      <c r="D23" s="388"/>
      <c r="E23" s="389">
        <v>20</v>
      </c>
      <c r="F23" s="389"/>
      <c r="G23" s="388">
        <f>+C23/E23</f>
        <v>5000</v>
      </c>
      <c r="H23" s="388"/>
    </row>
    <row r="24" spans="1:12" x14ac:dyDescent="0.2">
      <c r="C24" s="478" t="s">
        <v>225</v>
      </c>
      <c r="D24" s="478"/>
      <c r="E24" s="478"/>
      <c r="F24" s="478"/>
      <c r="G24" s="624">
        <f>SUM(G21:G23)</f>
        <v>14150</v>
      </c>
      <c r="H24" s="624"/>
      <c r="K24" s="179"/>
      <c r="L24" s="179"/>
    </row>
    <row r="25" spans="1:12" x14ac:dyDescent="0.2">
      <c r="C25" s="110"/>
      <c r="D25" s="110"/>
      <c r="E25" s="110"/>
      <c r="F25" s="110"/>
      <c r="G25" s="111"/>
      <c r="H25" s="111"/>
      <c r="L25" s="179"/>
    </row>
    <row r="26" spans="1:12" x14ac:dyDescent="0.2">
      <c r="A26" s="109" t="s">
        <v>226</v>
      </c>
      <c r="L26" s="179"/>
    </row>
    <row r="27" spans="1:12" x14ac:dyDescent="0.2">
      <c r="A27" s="480" t="s">
        <v>1</v>
      </c>
      <c r="B27" s="480"/>
      <c r="C27" s="112" t="s">
        <v>227</v>
      </c>
      <c r="D27" s="112" t="s">
        <v>228</v>
      </c>
      <c r="E27" s="480" t="s">
        <v>3</v>
      </c>
      <c r="F27" s="480"/>
      <c r="G27" s="480" t="s">
        <v>220</v>
      </c>
      <c r="H27" s="480"/>
      <c r="L27" s="179"/>
    </row>
    <row r="28" spans="1:12" x14ac:dyDescent="0.2">
      <c r="A28" s="427" t="s">
        <v>357</v>
      </c>
      <c r="B28" s="428"/>
      <c r="C28" s="125" t="s">
        <v>153</v>
      </c>
      <c r="D28" s="125">
        <f>42500/6</f>
        <v>7083.333333333333</v>
      </c>
      <c r="E28" s="389">
        <v>1.1000000000000001</v>
      </c>
      <c r="F28" s="389"/>
      <c r="G28" s="390">
        <f>+D28*E28</f>
        <v>7791.666666666667</v>
      </c>
      <c r="H28" s="391"/>
    </row>
    <row r="29" spans="1:12" ht="20.25" customHeight="1" x14ac:dyDescent="0.2">
      <c r="A29" s="427" t="s">
        <v>358</v>
      </c>
      <c r="B29" s="428"/>
      <c r="C29" s="125" t="s">
        <v>155</v>
      </c>
      <c r="D29" s="125">
        <v>39200</v>
      </c>
      <c r="E29" s="389">
        <v>0.25673940000000001</v>
      </c>
      <c r="F29" s="389"/>
      <c r="G29" s="390">
        <f>+D29*E29</f>
        <v>10064.18448</v>
      </c>
      <c r="H29" s="391"/>
    </row>
    <row r="30" spans="1:12" ht="22.5" customHeight="1" x14ac:dyDescent="0.2">
      <c r="A30" s="427" t="s">
        <v>359</v>
      </c>
      <c r="B30" s="428"/>
      <c r="C30" s="125" t="s">
        <v>154</v>
      </c>
      <c r="D30" s="125">
        <v>720</v>
      </c>
      <c r="E30" s="389">
        <v>3.5673940000000002</v>
      </c>
      <c r="F30" s="389"/>
      <c r="G30" s="390">
        <f>+D30*E30</f>
        <v>2568.5236800000002</v>
      </c>
      <c r="H30" s="391"/>
    </row>
    <row r="31" spans="1:12" x14ac:dyDescent="0.2">
      <c r="A31" s="115"/>
      <c r="B31" s="115"/>
      <c r="C31" s="478" t="s">
        <v>225</v>
      </c>
      <c r="D31" s="478"/>
      <c r="E31" s="478"/>
      <c r="F31" s="478"/>
      <c r="G31" s="624">
        <f>SUM(G28:G30)</f>
        <v>20424.374826666666</v>
      </c>
      <c r="H31" s="624"/>
    </row>
    <row r="33" spans="1:13" ht="15" x14ac:dyDescent="0.25">
      <c r="A33" s="109" t="s">
        <v>256</v>
      </c>
      <c r="L33" s="180"/>
      <c r="M33" s="180"/>
    </row>
    <row r="34" spans="1:13" x14ac:dyDescent="0.2">
      <c r="A34" s="480" t="s">
        <v>233</v>
      </c>
      <c r="B34" s="480"/>
      <c r="C34" s="112" t="s">
        <v>234</v>
      </c>
      <c r="D34" s="116" t="s">
        <v>235</v>
      </c>
      <c r="E34" s="480" t="s">
        <v>236</v>
      </c>
      <c r="F34" s="480"/>
      <c r="G34" s="480" t="s">
        <v>220</v>
      </c>
      <c r="H34" s="480"/>
    </row>
    <row r="35" spans="1:13" x14ac:dyDescent="0.2">
      <c r="A35" s="482" t="s">
        <v>360</v>
      </c>
      <c r="B35" s="482"/>
      <c r="C35" s="118">
        <v>1.1000000000000001</v>
      </c>
      <c r="D35" s="118">
        <v>30</v>
      </c>
      <c r="E35" s="452">
        <v>1000</v>
      </c>
      <c r="F35" s="452"/>
      <c r="G35" s="452">
        <f>+E35*C35*D35</f>
        <v>33000</v>
      </c>
      <c r="H35" s="452"/>
    </row>
    <row r="36" spans="1:13" x14ac:dyDescent="0.2">
      <c r="A36" s="482"/>
      <c r="B36" s="482"/>
      <c r="C36" s="118"/>
      <c r="D36" s="118"/>
      <c r="E36" s="452"/>
      <c r="F36" s="452"/>
      <c r="G36" s="452"/>
      <c r="H36" s="452"/>
    </row>
    <row r="37" spans="1:13" x14ac:dyDescent="0.2">
      <c r="A37" s="482"/>
      <c r="B37" s="482"/>
      <c r="C37" s="118"/>
      <c r="D37" s="118"/>
      <c r="E37" s="452"/>
      <c r="F37" s="452"/>
      <c r="G37" s="452"/>
      <c r="H37" s="452"/>
    </row>
    <row r="38" spans="1:13" x14ac:dyDescent="0.2">
      <c r="A38" s="115"/>
      <c r="B38" s="115"/>
      <c r="C38" s="478" t="s">
        <v>225</v>
      </c>
      <c r="D38" s="478"/>
      <c r="E38" s="478"/>
      <c r="F38" s="478"/>
      <c r="G38" s="452">
        <f>SUM(G35:H37)</f>
        <v>33000</v>
      </c>
      <c r="H38" s="452"/>
    </row>
    <row r="39" spans="1:13" ht="15" x14ac:dyDescent="0.25">
      <c r="L39" s="180"/>
      <c r="M39" s="180"/>
    </row>
    <row r="40" spans="1:13" x14ac:dyDescent="0.2">
      <c r="A40" s="109" t="s">
        <v>257</v>
      </c>
    </row>
    <row r="41" spans="1:13" x14ac:dyDescent="0.2">
      <c r="A41" s="480" t="s">
        <v>238</v>
      </c>
      <c r="B41" s="480"/>
      <c r="C41" s="128" t="s">
        <v>239</v>
      </c>
      <c r="D41" s="116" t="s">
        <v>240</v>
      </c>
      <c r="E41" s="119" t="s">
        <v>241</v>
      </c>
      <c r="F41" s="120" t="s">
        <v>219</v>
      </c>
      <c r="G41" s="480" t="s">
        <v>220</v>
      </c>
      <c r="H41" s="480"/>
    </row>
    <row r="42" spans="1:13" x14ac:dyDescent="0.2">
      <c r="A42" s="482" t="s">
        <v>462</v>
      </c>
      <c r="B42" s="482"/>
      <c r="C42" s="121">
        <f>35000*5</f>
        <v>175000</v>
      </c>
      <c r="D42" s="117">
        <v>1.85</v>
      </c>
      <c r="E42" s="121">
        <f>+C42*D42</f>
        <v>323750</v>
      </c>
      <c r="F42" s="182">
        <v>20</v>
      </c>
      <c r="G42" s="452">
        <f>+E42/F42</f>
        <v>16187.5</v>
      </c>
      <c r="H42" s="452"/>
    </row>
    <row r="43" spans="1:13" x14ac:dyDescent="0.2">
      <c r="A43" s="115"/>
      <c r="B43" s="115"/>
      <c r="C43" s="478" t="s">
        <v>225</v>
      </c>
      <c r="D43" s="478"/>
      <c r="E43" s="478"/>
      <c r="F43" s="478"/>
      <c r="G43" s="624">
        <f>+SUM(G42:H42)</f>
        <v>16187.5</v>
      </c>
      <c r="H43" s="624"/>
    </row>
    <row r="46" spans="1:13" x14ac:dyDescent="0.2">
      <c r="A46" s="479" t="s">
        <v>244</v>
      </c>
      <c r="B46" s="479"/>
      <c r="C46" s="479"/>
      <c r="D46" s="479"/>
      <c r="E46" s="479"/>
      <c r="F46" s="479"/>
      <c r="G46" s="556">
        <f>ROUND(G24+G31+G38+G43,0)</f>
        <v>83762</v>
      </c>
      <c r="H46" s="556"/>
    </row>
    <row r="47" spans="1:13" x14ac:dyDescent="0.2">
      <c r="G47" s="188">
        <f>+G46</f>
        <v>83762</v>
      </c>
    </row>
  </sheetData>
  <mergeCells count="67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5:B35"/>
    <mergeCell ref="E35:F35"/>
    <mergeCell ref="G35:H35"/>
    <mergeCell ref="A29:B29"/>
    <mergeCell ref="E29:F29"/>
    <mergeCell ref="G29:H29"/>
    <mergeCell ref="A30:B30"/>
    <mergeCell ref="E30:F30"/>
    <mergeCell ref="G30:H30"/>
    <mergeCell ref="C31:F31"/>
    <mergeCell ref="G31:H31"/>
    <mergeCell ref="A34:B34"/>
    <mergeCell ref="E34:F34"/>
    <mergeCell ref="G34:H34"/>
    <mergeCell ref="A36:B36"/>
    <mergeCell ref="E36:F36"/>
    <mergeCell ref="G36:H36"/>
    <mergeCell ref="A37:B37"/>
    <mergeCell ref="E37:F37"/>
    <mergeCell ref="G37:H37"/>
    <mergeCell ref="C43:F43"/>
    <mergeCell ref="G43:H43"/>
    <mergeCell ref="A46:F46"/>
    <mergeCell ref="G46:H46"/>
    <mergeCell ref="C38:F38"/>
    <mergeCell ref="G38:H38"/>
    <mergeCell ref="A41:B41"/>
    <mergeCell ref="G41:H41"/>
    <mergeCell ref="A42:B42"/>
    <mergeCell ref="G42:H4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48"/>
  <sheetViews>
    <sheetView workbookViewId="0">
      <selection activeCell="G47" sqref="G47:H47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3" x14ac:dyDescent="0.2">
      <c r="A17" s="491" t="s">
        <v>361</v>
      </c>
      <c r="B17" s="528" t="s">
        <v>362</v>
      </c>
      <c r="C17" s="529"/>
      <c r="D17" s="529"/>
      <c r="E17" s="529"/>
      <c r="F17" s="530"/>
      <c r="G17" s="491" t="s">
        <v>216</v>
      </c>
      <c r="H17" s="493" t="s">
        <v>153</v>
      </c>
    </row>
    <row r="18" spans="1:13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3" x14ac:dyDescent="0.2">
      <c r="A19" s="109" t="s">
        <v>217</v>
      </c>
    </row>
    <row r="20" spans="1:13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3" x14ac:dyDescent="0.2">
      <c r="A21" s="427" t="s">
        <v>363</v>
      </c>
      <c r="B21" s="428"/>
      <c r="C21" s="388">
        <v>100000</v>
      </c>
      <c r="D21" s="388"/>
      <c r="E21" s="389">
        <v>15</v>
      </c>
      <c r="F21" s="389"/>
      <c r="G21" s="388">
        <f>+C21/E21</f>
        <v>6666.666666666667</v>
      </c>
      <c r="H21" s="388"/>
    </row>
    <row r="22" spans="1:13" x14ac:dyDescent="0.2">
      <c r="A22" s="427" t="s">
        <v>364</v>
      </c>
      <c r="B22" s="428"/>
      <c r="C22" s="388">
        <v>80000</v>
      </c>
      <c r="D22" s="388"/>
      <c r="E22" s="389">
        <v>15</v>
      </c>
      <c r="F22" s="389"/>
      <c r="G22" s="388">
        <f>+C22/E22</f>
        <v>5333.333333333333</v>
      </c>
      <c r="H22" s="388"/>
    </row>
    <row r="23" spans="1:13" x14ac:dyDescent="0.2">
      <c r="A23" s="427" t="s">
        <v>274</v>
      </c>
      <c r="B23" s="428"/>
      <c r="C23" s="388">
        <v>90000</v>
      </c>
      <c r="D23" s="388"/>
      <c r="E23" s="389">
        <v>15</v>
      </c>
      <c r="F23" s="389"/>
      <c r="G23" s="388">
        <f>+C23/E23</f>
        <v>6000</v>
      </c>
      <c r="H23" s="388"/>
    </row>
    <row r="24" spans="1:13" x14ac:dyDescent="0.2">
      <c r="C24" s="478" t="s">
        <v>225</v>
      </c>
      <c r="D24" s="478"/>
      <c r="E24" s="478"/>
      <c r="F24" s="478"/>
      <c r="G24" s="624">
        <f>SUM(G21:G23)</f>
        <v>18000</v>
      </c>
      <c r="H24" s="624"/>
      <c r="K24" s="179"/>
      <c r="L24" s="179"/>
    </row>
    <row r="25" spans="1:13" x14ac:dyDescent="0.2">
      <c r="C25" s="110"/>
      <c r="D25" s="110"/>
      <c r="E25" s="110"/>
      <c r="F25" s="110"/>
      <c r="G25" s="111"/>
      <c r="H25" s="111"/>
      <c r="L25" s="179"/>
    </row>
    <row r="26" spans="1:13" x14ac:dyDescent="0.2">
      <c r="A26" s="109" t="s">
        <v>226</v>
      </c>
      <c r="L26" s="179"/>
    </row>
    <row r="27" spans="1:13" x14ac:dyDescent="0.2">
      <c r="A27" s="480" t="s">
        <v>1</v>
      </c>
      <c r="B27" s="480"/>
      <c r="C27" s="112" t="s">
        <v>227</v>
      </c>
      <c r="D27" s="112" t="s">
        <v>228</v>
      </c>
      <c r="E27" s="480" t="s">
        <v>3</v>
      </c>
      <c r="F27" s="480"/>
      <c r="G27" s="480" t="s">
        <v>220</v>
      </c>
      <c r="H27" s="480"/>
      <c r="L27" s="179"/>
    </row>
    <row r="28" spans="1:13" x14ac:dyDescent="0.2">
      <c r="A28" s="427" t="s">
        <v>365</v>
      </c>
      <c r="B28" s="428"/>
      <c r="C28" s="125" t="s">
        <v>152</v>
      </c>
      <c r="D28" s="125">
        <v>535000</v>
      </c>
      <c r="E28" s="389">
        <v>0.16</v>
      </c>
      <c r="F28" s="389"/>
      <c r="G28" s="390">
        <f>+D28*E28</f>
        <v>85600</v>
      </c>
      <c r="H28" s="391"/>
    </row>
    <row r="29" spans="1:13" ht="20.25" customHeight="1" x14ac:dyDescent="0.2">
      <c r="A29" s="427" t="s">
        <v>366</v>
      </c>
      <c r="B29" s="428"/>
      <c r="C29" s="125" t="s">
        <v>154</v>
      </c>
      <c r="D29" s="125">
        <v>9400</v>
      </c>
      <c r="E29" s="389">
        <v>4.2560000000000002</v>
      </c>
      <c r="F29" s="389"/>
      <c r="G29" s="390">
        <f>+D29*E29</f>
        <v>40006.400000000001</v>
      </c>
      <c r="H29" s="391"/>
    </row>
    <row r="30" spans="1:13" s="178" customFormat="1" x14ac:dyDescent="0.2">
      <c r="A30" s="115"/>
      <c r="B30" s="115"/>
      <c r="C30" s="478" t="s">
        <v>225</v>
      </c>
      <c r="D30" s="478"/>
      <c r="E30" s="478"/>
      <c r="F30" s="478"/>
      <c r="G30" s="624">
        <f>SUM(G28:G29)</f>
        <v>125606.39999999999</v>
      </c>
      <c r="H30" s="624"/>
      <c r="I30" s="101"/>
      <c r="J30" s="101"/>
    </row>
    <row r="32" spans="1:13" s="178" customFormat="1" ht="15" x14ac:dyDescent="0.25">
      <c r="A32" s="109" t="s">
        <v>256</v>
      </c>
      <c r="B32" s="101"/>
      <c r="C32" s="101"/>
      <c r="D32" s="101"/>
      <c r="E32" s="101"/>
      <c r="F32" s="101"/>
      <c r="G32" s="101"/>
      <c r="H32" s="101"/>
      <c r="I32" s="101"/>
      <c r="J32" s="101"/>
      <c r="L32" s="180"/>
      <c r="M32" s="180"/>
    </row>
    <row r="33" spans="1:13" s="178" customFormat="1" x14ac:dyDescent="0.2">
      <c r="A33" s="480" t="s">
        <v>233</v>
      </c>
      <c r="B33" s="480"/>
      <c r="C33" s="112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  <c r="I33" s="101"/>
      <c r="J33" s="101"/>
    </row>
    <row r="34" spans="1:13" s="178" customFormat="1" x14ac:dyDescent="0.2">
      <c r="A34" s="482" t="str">
        <f>+A28</f>
        <v>Concreto de 3000 PSI de planta</v>
      </c>
      <c r="B34" s="482"/>
      <c r="C34" s="260">
        <f>+E28</f>
        <v>0.16</v>
      </c>
      <c r="D34" s="118">
        <v>50</v>
      </c>
      <c r="E34" s="452">
        <v>1000</v>
      </c>
      <c r="F34" s="452"/>
      <c r="G34" s="452">
        <f>+C34*D34*E34</f>
        <v>8000</v>
      </c>
      <c r="H34" s="452"/>
      <c r="I34" s="101"/>
      <c r="J34" s="101"/>
    </row>
    <row r="35" spans="1:13" s="178" customFormat="1" x14ac:dyDescent="0.2">
      <c r="A35" s="482"/>
      <c r="B35" s="482"/>
      <c r="C35" s="118"/>
      <c r="D35" s="118"/>
      <c r="E35" s="452"/>
      <c r="F35" s="452"/>
      <c r="G35" s="452"/>
      <c r="H35" s="452"/>
      <c r="I35" s="101"/>
      <c r="J35" s="101"/>
    </row>
    <row r="36" spans="1:13" s="178" customFormat="1" x14ac:dyDescent="0.2">
      <c r="A36" s="482"/>
      <c r="B36" s="482"/>
      <c r="C36" s="118"/>
      <c r="D36" s="118"/>
      <c r="E36" s="452"/>
      <c r="F36" s="452"/>
      <c r="G36" s="452"/>
      <c r="H36" s="452"/>
      <c r="I36" s="101"/>
      <c r="J36" s="101"/>
    </row>
    <row r="37" spans="1:13" s="178" customFormat="1" x14ac:dyDescent="0.2">
      <c r="A37" s="115"/>
      <c r="B37" s="115"/>
      <c r="C37" s="478" t="s">
        <v>225</v>
      </c>
      <c r="D37" s="478"/>
      <c r="E37" s="478"/>
      <c r="F37" s="478"/>
      <c r="G37" s="452">
        <f>SUM(G34:H36)</f>
        <v>8000</v>
      </c>
      <c r="H37" s="452"/>
      <c r="I37" s="101"/>
      <c r="J37" s="101"/>
    </row>
    <row r="38" spans="1:13" s="178" customFormat="1" ht="15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L38" s="180"/>
      <c r="M38" s="180"/>
    </row>
    <row r="39" spans="1:13" s="178" customFormat="1" x14ac:dyDescent="0.2">
      <c r="A39" s="109" t="s">
        <v>257</v>
      </c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3" s="178" customFormat="1" x14ac:dyDescent="0.2">
      <c r="A40" s="480" t="s">
        <v>238</v>
      </c>
      <c r="B40" s="480"/>
      <c r="C40" s="128" t="s">
        <v>239</v>
      </c>
      <c r="D40" s="116" t="s">
        <v>240</v>
      </c>
      <c r="E40" s="119" t="s">
        <v>241</v>
      </c>
      <c r="F40" s="120" t="s">
        <v>219</v>
      </c>
      <c r="G40" s="480" t="s">
        <v>220</v>
      </c>
      <c r="H40" s="480"/>
      <c r="I40" s="101"/>
      <c r="J40" s="101"/>
    </row>
    <row r="41" spans="1:13" s="178" customFormat="1" x14ac:dyDescent="0.2">
      <c r="A41" s="487" t="s">
        <v>242</v>
      </c>
      <c r="B41" s="488"/>
      <c r="C41" s="121">
        <v>60000</v>
      </c>
      <c r="D41" s="117">
        <v>1.85</v>
      </c>
      <c r="E41" s="121">
        <f>+C41*D41</f>
        <v>111000</v>
      </c>
      <c r="F41" s="182">
        <v>15</v>
      </c>
      <c r="G41" s="452">
        <f>+E41/F41</f>
        <v>7400</v>
      </c>
      <c r="H41" s="452"/>
      <c r="I41" s="101"/>
      <c r="J41" s="101"/>
    </row>
    <row r="42" spans="1:13" s="178" customFormat="1" x14ac:dyDescent="0.2">
      <c r="A42" s="450" t="s">
        <v>367</v>
      </c>
      <c r="B42" s="451"/>
      <c r="C42" s="181">
        <f>8*35000</f>
        <v>280000</v>
      </c>
      <c r="D42" s="117">
        <v>1.85</v>
      </c>
      <c r="E42" s="121">
        <f>+C42*D42</f>
        <v>518000</v>
      </c>
      <c r="F42" s="182">
        <v>15</v>
      </c>
      <c r="G42" s="623">
        <f>+E42/F42</f>
        <v>34533.333333333336</v>
      </c>
      <c r="H42" s="623"/>
      <c r="I42" s="101"/>
      <c r="J42" s="101"/>
    </row>
    <row r="43" spans="1:13" s="178" customFormat="1" x14ac:dyDescent="0.2">
      <c r="A43" s="482" t="s">
        <v>368</v>
      </c>
      <c r="B43" s="482"/>
      <c r="C43" s="121">
        <v>45000</v>
      </c>
      <c r="D43" s="117">
        <v>1.85</v>
      </c>
      <c r="E43" s="121">
        <f>+D43*C43</f>
        <v>83250</v>
      </c>
      <c r="F43" s="182">
        <v>15</v>
      </c>
      <c r="G43" s="452">
        <f>+E43/F43</f>
        <v>5550</v>
      </c>
      <c r="H43" s="452"/>
      <c r="I43" s="101"/>
      <c r="J43" s="101"/>
    </row>
    <row r="44" spans="1:13" s="178" customFormat="1" x14ac:dyDescent="0.2">
      <c r="A44" s="115"/>
      <c r="B44" s="115"/>
      <c r="C44" s="478" t="s">
        <v>225</v>
      </c>
      <c r="D44" s="478"/>
      <c r="E44" s="478"/>
      <c r="F44" s="478"/>
      <c r="G44" s="624">
        <f>+SUM(G41:H43)</f>
        <v>47483.333333333336</v>
      </c>
      <c r="H44" s="624"/>
      <c r="I44" s="101"/>
      <c r="J44" s="101"/>
    </row>
    <row r="47" spans="1:13" s="178" customFormat="1" x14ac:dyDescent="0.2">
      <c r="A47" s="479" t="s">
        <v>244</v>
      </c>
      <c r="B47" s="479"/>
      <c r="C47" s="479"/>
      <c r="D47" s="479"/>
      <c r="E47" s="479"/>
      <c r="F47" s="479"/>
      <c r="G47" s="556">
        <f>ROUND(G24+G30+G37+G44,0)</f>
        <v>199090</v>
      </c>
      <c r="H47" s="556"/>
      <c r="I47" s="101"/>
      <c r="J47" s="101"/>
    </row>
    <row r="48" spans="1:13" x14ac:dyDescent="0.2">
      <c r="G48" s="188">
        <f>+G47</f>
        <v>199090</v>
      </c>
    </row>
  </sheetData>
  <mergeCells count="68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4:B34"/>
    <mergeCell ref="E34:F34"/>
    <mergeCell ref="G34:H34"/>
    <mergeCell ref="A29:B29"/>
    <mergeCell ref="E29:F29"/>
    <mergeCell ref="G29:H29"/>
    <mergeCell ref="C30:F30"/>
    <mergeCell ref="G30:H30"/>
    <mergeCell ref="A33:B33"/>
    <mergeCell ref="E33:F33"/>
    <mergeCell ref="G33:H33"/>
    <mergeCell ref="A35:B35"/>
    <mergeCell ref="E35:F35"/>
    <mergeCell ref="G35:H35"/>
    <mergeCell ref="A36:B36"/>
    <mergeCell ref="E36:F36"/>
    <mergeCell ref="G36:H36"/>
    <mergeCell ref="C37:F37"/>
    <mergeCell ref="G37:H37"/>
    <mergeCell ref="A40:B40"/>
    <mergeCell ref="G40:H40"/>
    <mergeCell ref="A41:B41"/>
    <mergeCell ref="G41:H41"/>
    <mergeCell ref="A47:F47"/>
    <mergeCell ref="G47:H47"/>
    <mergeCell ref="A42:B42"/>
    <mergeCell ref="G42:H42"/>
    <mergeCell ref="A43:B43"/>
    <mergeCell ref="G43:H43"/>
    <mergeCell ref="C44:F44"/>
    <mergeCell ref="G44:H4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3"/>
  <sheetViews>
    <sheetView workbookViewId="0">
      <selection activeCell="G52" sqref="G52:H52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2" x14ac:dyDescent="0.2">
      <c r="A17" s="491" t="s">
        <v>369</v>
      </c>
      <c r="B17" s="528" t="s">
        <v>370</v>
      </c>
      <c r="C17" s="529"/>
      <c r="D17" s="529"/>
      <c r="E17" s="529"/>
      <c r="F17" s="530"/>
      <c r="G17" s="491" t="s">
        <v>216</v>
      </c>
      <c r="H17" s="493" t="s">
        <v>159</v>
      </c>
    </row>
    <row r="18" spans="1:12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2" x14ac:dyDescent="0.2">
      <c r="A19" s="109" t="s">
        <v>217</v>
      </c>
    </row>
    <row r="20" spans="1:12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2" x14ac:dyDescent="0.2">
      <c r="A21" s="427" t="s">
        <v>371</v>
      </c>
      <c r="B21" s="428"/>
      <c r="C21" s="388">
        <v>80000</v>
      </c>
      <c r="D21" s="388"/>
      <c r="E21" s="389">
        <v>5</v>
      </c>
      <c r="F21" s="389"/>
      <c r="G21" s="388">
        <f>+C21/E21</f>
        <v>16000</v>
      </c>
      <c r="H21" s="388"/>
    </row>
    <row r="22" spans="1:12" x14ac:dyDescent="0.2">
      <c r="A22" s="427" t="s">
        <v>364</v>
      </c>
      <c r="B22" s="428"/>
      <c r="C22" s="388">
        <v>80000</v>
      </c>
      <c r="D22" s="388"/>
      <c r="E22" s="389">
        <v>5</v>
      </c>
      <c r="F22" s="389"/>
      <c r="G22" s="388">
        <f>+C22/E22</f>
        <v>16000</v>
      </c>
      <c r="H22" s="388"/>
    </row>
    <row r="23" spans="1:12" s="178" customFormat="1" x14ac:dyDescent="0.2">
      <c r="A23" s="427" t="s">
        <v>355</v>
      </c>
      <c r="B23" s="428"/>
      <c r="C23" s="388">
        <v>180000</v>
      </c>
      <c r="D23" s="388"/>
      <c r="E23" s="389">
        <v>5</v>
      </c>
      <c r="F23" s="389"/>
      <c r="G23" s="388">
        <f>+C23/E23</f>
        <v>36000</v>
      </c>
      <c r="H23" s="388"/>
      <c r="I23" s="101"/>
      <c r="J23" s="101"/>
    </row>
    <row r="24" spans="1:12" s="178" customFormat="1" x14ac:dyDescent="0.2">
      <c r="A24" s="427" t="s">
        <v>354</v>
      </c>
      <c r="B24" s="428"/>
      <c r="C24" s="390"/>
      <c r="D24" s="391"/>
      <c r="E24" s="389"/>
      <c r="F24" s="389"/>
      <c r="G24" s="388">
        <v>3505</v>
      </c>
      <c r="H24" s="388"/>
      <c r="I24" s="101"/>
      <c r="J24" s="101"/>
    </row>
    <row r="25" spans="1:12" s="178" customFormat="1" x14ac:dyDescent="0.2">
      <c r="A25" s="101"/>
      <c r="B25" s="101"/>
      <c r="C25" s="478" t="s">
        <v>225</v>
      </c>
      <c r="D25" s="478"/>
      <c r="E25" s="478"/>
      <c r="F25" s="478"/>
      <c r="G25" s="624">
        <f>SUM(G21:G24)</f>
        <v>71505</v>
      </c>
      <c r="H25" s="624"/>
      <c r="I25" s="101"/>
      <c r="J25" s="101"/>
      <c r="K25" s="179"/>
      <c r="L25" s="179"/>
    </row>
    <row r="26" spans="1:12" s="178" customFormat="1" x14ac:dyDescent="0.2">
      <c r="A26" s="101"/>
      <c r="B26" s="101"/>
      <c r="C26" s="110"/>
      <c r="D26" s="110"/>
      <c r="E26" s="110"/>
      <c r="F26" s="110"/>
      <c r="G26" s="111"/>
      <c r="H26" s="111"/>
      <c r="I26" s="101"/>
      <c r="J26" s="101"/>
      <c r="L26" s="179"/>
    </row>
    <row r="27" spans="1:12" s="178" customFormat="1" x14ac:dyDescent="0.2">
      <c r="A27" s="109" t="s">
        <v>226</v>
      </c>
      <c r="B27" s="101"/>
      <c r="C27" s="101"/>
      <c r="D27" s="101"/>
      <c r="E27" s="101"/>
      <c r="F27" s="101"/>
      <c r="G27" s="101"/>
      <c r="H27" s="101"/>
      <c r="I27" s="101"/>
      <c r="J27" s="101"/>
      <c r="L27" s="179"/>
    </row>
    <row r="28" spans="1:12" s="178" customFormat="1" x14ac:dyDescent="0.2">
      <c r="A28" s="480" t="s">
        <v>1</v>
      </c>
      <c r="B28" s="480"/>
      <c r="C28" s="112" t="s">
        <v>227</v>
      </c>
      <c r="D28" s="112" t="s">
        <v>228</v>
      </c>
      <c r="E28" s="480" t="s">
        <v>3</v>
      </c>
      <c r="F28" s="480"/>
      <c r="G28" s="480" t="s">
        <v>220</v>
      </c>
      <c r="H28" s="480"/>
      <c r="I28" s="101"/>
      <c r="J28" s="101"/>
      <c r="L28" s="179"/>
    </row>
    <row r="29" spans="1:12" s="178" customFormat="1" x14ac:dyDescent="0.2">
      <c r="A29" s="427" t="s">
        <v>372</v>
      </c>
      <c r="B29" s="428"/>
      <c r="C29" s="125" t="s">
        <v>154</v>
      </c>
      <c r="D29" s="125">
        <v>720</v>
      </c>
      <c r="E29" s="389">
        <v>15.5</v>
      </c>
      <c r="F29" s="389"/>
      <c r="G29" s="390">
        <f t="shared" ref="G29:G34" si="0">+D29*E29</f>
        <v>11160</v>
      </c>
      <c r="H29" s="391"/>
      <c r="I29" s="101"/>
      <c r="J29" s="101"/>
    </row>
    <row r="30" spans="1:12" s="178" customFormat="1" x14ac:dyDescent="0.2">
      <c r="A30" s="427" t="s">
        <v>373</v>
      </c>
      <c r="B30" s="428"/>
      <c r="C30" s="125" t="s">
        <v>155</v>
      </c>
      <c r="D30" s="125">
        <v>80000</v>
      </c>
      <c r="E30" s="389">
        <v>0.18</v>
      </c>
      <c r="F30" s="389"/>
      <c r="G30" s="390">
        <f t="shared" si="0"/>
        <v>14400</v>
      </c>
      <c r="H30" s="391"/>
      <c r="I30" s="101"/>
      <c r="J30" s="101"/>
    </row>
    <row r="31" spans="1:12" s="178" customFormat="1" x14ac:dyDescent="0.2">
      <c r="A31" s="427" t="s">
        <v>374</v>
      </c>
      <c r="B31" s="428"/>
      <c r="C31" s="125" t="s">
        <v>155</v>
      </c>
      <c r="D31" s="125">
        <v>17500</v>
      </c>
      <c r="E31" s="389">
        <v>0.18</v>
      </c>
      <c r="F31" s="389"/>
      <c r="G31" s="390">
        <f t="shared" si="0"/>
        <v>3150</v>
      </c>
      <c r="H31" s="391"/>
      <c r="I31" s="101"/>
      <c r="J31" s="101"/>
    </row>
    <row r="32" spans="1:12" s="178" customFormat="1" x14ac:dyDescent="0.2">
      <c r="A32" s="427" t="s">
        <v>375</v>
      </c>
      <c r="B32" s="428"/>
      <c r="C32" s="125" t="s">
        <v>155</v>
      </c>
      <c r="D32" s="125">
        <v>58800</v>
      </c>
      <c r="E32" s="389">
        <v>0.18</v>
      </c>
      <c r="F32" s="389"/>
      <c r="G32" s="390">
        <f t="shared" si="0"/>
        <v>10584</v>
      </c>
      <c r="H32" s="391"/>
      <c r="I32" s="101"/>
      <c r="J32" s="101"/>
    </row>
    <row r="33" spans="1:13" s="178" customFormat="1" x14ac:dyDescent="0.2">
      <c r="A33" s="427" t="s">
        <v>376</v>
      </c>
      <c r="B33" s="428"/>
      <c r="C33" s="125" t="s">
        <v>159</v>
      </c>
      <c r="D33" s="125">
        <v>26000</v>
      </c>
      <c r="E33" s="389">
        <v>1</v>
      </c>
      <c r="F33" s="389"/>
      <c r="G33" s="390">
        <f t="shared" si="0"/>
        <v>26000</v>
      </c>
      <c r="H33" s="391"/>
      <c r="I33" s="101"/>
      <c r="J33" s="101"/>
    </row>
    <row r="34" spans="1:13" s="178" customFormat="1" x14ac:dyDescent="0.2">
      <c r="A34" s="427" t="s">
        <v>377</v>
      </c>
      <c r="B34" s="428"/>
      <c r="C34" s="125" t="s">
        <v>159</v>
      </c>
      <c r="D34" s="125">
        <v>5600</v>
      </c>
      <c r="E34" s="389">
        <v>0.25</v>
      </c>
      <c r="F34" s="389"/>
      <c r="G34" s="390">
        <f t="shared" si="0"/>
        <v>1400</v>
      </c>
      <c r="H34" s="391"/>
      <c r="I34" s="101"/>
      <c r="J34" s="101"/>
    </row>
    <row r="35" spans="1:13" s="178" customFormat="1" x14ac:dyDescent="0.2">
      <c r="A35" s="427" t="s">
        <v>378</v>
      </c>
      <c r="B35" s="428"/>
      <c r="C35" s="125" t="s">
        <v>155</v>
      </c>
      <c r="D35" s="125">
        <v>1720000</v>
      </c>
      <c r="E35" s="625">
        <v>3.2000000000000001E-2</v>
      </c>
      <c r="F35" s="625"/>
      <c r="G35" s="390">
        <f>+E35*D35</f>
        <v>55040</v>
      </c>
      <c r="H35" s="391"/>
      <c r="I35" s="101"/>
      <c r="J35" s="101"/>
    </row>
    <row r="36" spans="1:13" s="178" customFormat="1" x14ac:dyDescent="0.2">
      <c r="A36" s="115"/>
      <c r="B36" s="115"/>
      <c r="C36" s="478" t="s">
        <v>225</v>
      </c>
      <c r="D36" s="478"/>
      <c r="E36" s="478"/>
      <c r="F36" s="478"/>
      <c r="G36" s="624">
        <f>SUM(G29:G35)</f>
        <v>121734</v>
      </c>
      <c r="H36" s="624"/>
      <c r="I36" s="101"/>
      <c r="J36" s="101"/>
    </row>
    <row r="38" spans="1:13" s="178" customFormat="1" ht="15" x14ac:dyDescent="0.25">
      <c r="A38" s="109" t="s">
        <v>256</v>
      </c>
      <c r="B38" s="101"/>
      <c r="C38" s="101"/>
      <c r="D38" s="101"/>
      <c r="E38" s="101"/>
      <c r="F38" s="101"/>
      <c r="G38" s="101"/>
      <c r="H38" s="101"/>
      <c r="I38" s="101"/>
      <c r="J38" s="101"/>
      <c r="L38" s="180"/>
      <c r="M38" s="180"/>
    </row>
    <row r="39" spans="1:13" s="178" customFormat="1" x14ac:dyDescent="0.2">
      <c r="A39" s="480" t="s">
        <v>233</v>
      </c>
      <c r="B39" s="480"/>
      <c r="C39" s="112" t="s">
        <v>234</v>
      </c>
      <c r="D39" s="116" t="s">
        <v>235</v>
      </c>
      <c r="E39" s="480" t="s">
        <v>236</v>
      </c>
      <c r="F39" s="480"/>
      <c r="G39" s="480" t="s">
        <v>220</v>
      </c>
      <c r="H39" s="480"/>
      <c r="I39" s="101"/>
      <c r="J39" s="101"/>
    </row>
    <row r="40" spans="1:13" s="178" customFormat="1" x14ac:dyDescent="0.2">
      <c r="A40" s="482" t="s">
        <v>478</v>
      </c>
      <c r="B40" s="482"/>
      <c r="C40" s="260">
        <v>1</v>
      </c>
      <c r="D40" s="118">
        <v>30</v>
      </c>
      <c r="E40" s="452">
        <v>1000</v>
      </c>
      <c r="F40" s="452"/>
      <c r="G40" s="452">
        <f>+E40*C40*D40</f>
        <v>30000</v>
      </c>
      <c r="H40" s="452"/>
      <c r="I40" s="101"/>
      <c r="J40" s="101"/>
    </row>
    <row r="41" spans="1:13" s="178" customFormat="1" x14ac:dyDescent="0.2">
      <c r="A41" s="482"/>
      <c r="B41" s="482"/>
      <c r="C41" s="260"/>
      <c r="D41" s="118"/>
      <c r="E41" s="452"/>
      <c r="F41" s="452"/>
      <c r="G41" s="452"/>
      <c r="H41" s="452"/>
      <c r="I41" s="101"/>
      <c r="J41" s="101"/>
    </row>
    <row r="42" spans="1:13" s="178" customFormat="1" x14ac:dyDescent="0.2">
      <c r="A42" s="115"/>
      <c r="B42" s="115"/>
      <c r="C42" s="478" t="s">
        <v>225</v>
      </c>
      <c r="D42" s="478"/>
      <c r="E42" s="478"/>
      <c r="F42" s="478"/>
      <c r="G42" s="452">
        <f>SUM(G40:H41)</f>
        <v>30000</v>
      </c>
      <c r="H42" s="452"/>
      <c r="I42" s="101"/>
      <c r="J42" s="101"/>
    </row>
    <row r="43" spans="1:13" s="178" customFormat="1" ht="15" x14ac:dyDescent="0.2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L43" s="180"/>
      <c r="M43" s="180"/>
    </row>
    <row r="44" spans="1:13" s="178" customFormat="1" x14ac:dyDescent="0.2">
      <c r="A44" s="109" t="s">
        <v>257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3" s="178" customFormat="1" x14ac:dyDescent="0.2">
      <c r="A45" s="480" t="s">
        <v>238</v>
      </c>
      <c r="B45" s="480"/>
      <c r="C45" s="128" t="s">
        <v>239</v>
      </c>
      <c r="D45" s="116" t="s">
        <v>240</v>
      </c>
      <c r="E45" s="119" t="s">
        <v>241</v>
      </c>
      <c r="F45" s="120" t="s">
        <v>219</v>
      </c>
      <c r="G45" s="480" t="s">
        <v>220</v>
      </c>
      <c r="H45" s="480"/>
      <c r="I45" s="101"/>
      <c r="J45" s="101"/>
    </row>
    <row r="46" spans="1:13" x14ac:dyDescent="0.2">
      <c r="A46" s="487" t="s">
        <v>242</v>
      </c>
      <c r="B46" s="488"/>
      <c r="C46" s="121">
        <v>60000</v>
      </c>
      <c r="D46" s="117">
        <v>1.85</v>
      </c>
      <c r="E46" s="121">
        <f>+C46*D46</f>
        <v>111000</v>
      </c>
      <c r="F46" s="182">
        <v>5</v>
      </c>
      <c r="G46" s="452">
        <f>+E46/F46</f>
        <v>22200</v>
      </c>
      <c r="H46" s="452"/>
    </row>
    <row r="47" spans="1:13" x14ac:dyDescent="0.2">
      <c r="A47" s="450" t="s">
        <v>379</v>
      </c>
      <c r="B47" s="451"/>
      <c r="C47" s="181">
        <f>35000*4</f>
        <v>140000</v>
      </c>
      <c r="D47" s="117">
        <v>1.85</v>
      </c>
      <c r="E47" s="121">
        <f>+C47*D47</f>
        <v>259000</v>
      </c>
      <c r="F47" s="182">
        <v>5</v>
      </c>
      <c r="G47" s="623">
        <f>+E47/F47</f>
        <v>51800</v>
      </c>
      <c r="H47" s="623"/>
    </row>
    <row r="48" spans="1:13" x14ac:dyDescent="0.2">
      <c r="A48" s="482"/>
      <c r="B48" s="482"/>
      <c r="C48" s="121"/>
      <c r="D48" s="118"/>
      <c r="E48" s="121"/>
      <c r="F48" s="118"/>
      <c r="G48" s="452"/>
      <c r="H48" s="452"/>
    </row>
    <row r="49" spans="1:8" x14ac:dyDescent="0.2">
      <c r="A49" s="115"/>
      <c r="B49" s="115"/>
      <c r="C49" s="478" t="s">
        <v>225</v>
      </c>
      <c r="D49" s="478"/>
      <c r="E49" s="478"/>
      <c r="F49" s="478"/>
      <c r="G49" s="624">
        <f>+SUM(G46:H48)</f>
        <v>74000</v>
      </c>
      <c r="H49" s="624"/>
    </row>
    <row r="52" spans="1:8" x14ac:dyDescent="0.2">
      <c r="A52" s="479" t="s">
        <v>244</v>
      </c>
      <c r="B52" s="479"/>
      <c r="C52" s="479"/>
      <c r="D52" s="479"/>
      <c r="E52" s="479"/>
      <c r="F52" s="479"/>
      <c r="G52" s="556">
        <f>ROUND(G25+G36+G42+G49,0)</f>
        <v>297239</v>
      </c>
      <c r="H52" s="556"/>
    </row>
    <row r="53" spans="1:8" x14ac:dyDescent="0.2">
      <c r="G53" s="188">
        <f>+G52</f>
        <v>297239</v>
      </c>
    </row>
  </sheetData>
  <mergeCells count="84">
    <mergeCell ref="A40:B40"/>
    <mergeCell ref="E40:F40"/>
    <mergeCell ref="G40:H40"/>
    <mergeCell ref="A41:B41"/>
    <mergeCell ref="E41:F41"/>
    <mergeCell ref="G41:H41"/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2:B22"/>
    <mergeCell ref="C22:D22"/>
    <mergeCell ref="E22:F22"/>
    <mergeCell ref="G22:H22"/>
    <mergeCell ref="A20:B20"/>
    <mergeCell ref="C20:D20"/>
    <mergeCell ref="E20:F20"/>
    <mergeCell ref="G20:H20"/>
    <mergeCell ref="A21:B21"/>
    <mergeCell ref="C21:D21"/>
    <mergeCell ref="E21:F21"/>
    <mergeCell ref="G21:H21"/>
    <mergeCell ref="A23:B23"/>
    <mergeCell ref="C23:D23"/>
    <mergeCell ref="E23:F23"/>
    <mergeCell ref="G23:H23"/>
    <mergeCell ref="A24:B24"/>
    <mergeCell ref="C24:D24"/>
    <mergeCell ref="E24:F24"/>
    <mergeCell ref="G24:H24"/>
    <mergeCell ref="C25:F25"/>
    <mergeCell ref="G25:H25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39:B39"/>
    <mergeCell ref="E39:F39"/>
    <mergeCell ref="G39:H39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45:B45"/>
    <mergeCell ref="G45:H45"/>
    <mergeCell ref="C42:F42"/>
    <mergeCell ref="G42:H42"/>
    <mergeCell ref="C49:F49"/>
    <mergeCell ref="G49:H49"/>
    <mergeCell ref="A52:F52"/>
    <mergeCell ref="G52:H52"/>
    <mergeCell ref="A46:B46"/>
    <mergeCell ref="G46:H46"/>
    <mergeCell ref="A47:B47"/>
    <mergeCell ref="G47:H47"/>
    <mergeCell ref="A48:B48"/>
    <mergeCell ref="G48:H4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4"/>
  <sheetViews>
    <sheetView workbookViewId="0">
      <selection activeCell="G53" sqref="G53:H53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2" x14ac:dyDescent="0.2">
      <c r="A17" s="491" t="s">
        <v>380</v>
      </c>
      <c r="B17" s="528" t="s">
        <v>381</v>
      </c>
      <c r="C17" s="529"/>
      <c r="D17" s="529"/>
      <c r="E17" s="529"/>
      <c r="F17" s="530"/>
      <c r="G17" s="491" t="s">
        <v>216</v>
      </c>
      <c r="H17" s="626" t="s">
        <v>159</v>
      </c>
    </row>
    <row r="18" spans="1:12" ht="13.5" thickBot="1" x14ac:dyDescent="0.25">
      <c r="A18" s="492"/>
      <c r="B18" s="544"/>
      <c r="C18" s="545"/>
      <c r="D18" s="545"/>
      <c r="E18" s="545"/>
      <c r="F18" s="546"/>
      <c r="G18" s="492"/>
      <c r="H18" s="627"/>
    </row>
    <row r="19" spans="1:12" x14ac:dyDescent="0.2">
      <c r="A19" s="109" t="s">
        <v>217</v>
      </c>
    </row>
    <row r="20" spans="1:12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2" x14ac:dyDescent="0.2">
      <c r="A21" s="427" t="s">
        <v>371</v>
      </c>
      <c r="B21" s="428"/>
      <c r="C21" s="388">
        <v>80000</v>
      </c>
      <c r="D21" s="388"/>
      <c r="E21" s="389">
        <v>1.7</v>
      </c>
      <c r="F21" s="389"/>
      <c r="G21" s="388">
        <f>+C21/E21</f>
        <v>47058.823529411769</v>
      </c>
      <c r="H21" s="388"/>
    </row>
    <row r="22" spans="1:12" x14ac:dyDescent="0.2">
      <c r="A22" s="427" t="s">
        <v>364</v>
      </c>
      <c r="B22" s="428"/>
      <c r="C22" s="388">
        <v>80000</v>
      </c>
      <c r="D22" s="388"/>
      <c r="E22" s="389">
        <v>1.7</v>
      </c>
      <c r="F22" s="389"/>
      <c r="G22" s="388">
        <f>+C22/E22</f>
        <v>47058.823529411769</v>
      </c>
      <c r="H22" s="388"/>
    </row>
    <row r="23" spans="1:12" x14ac:dyDescent="0.2">
      <c r="A23" s="427" t="s">
        <v>382</v>
      </c>
      <c r="B23" s="428"/>
      <c r="C23" s="388">
        <v>9500</v>
      </c>
      <c r="D23" s="388"/>
      <c r="E23" s="389">
        <v>1.7</v>
      </c>
      <c r="F23" s="389"/>
      <c r="G23" s="388">
        <f>+C23/E23</f>
        <v>5588.2352941176468</v>
      </c>
      <c r="H23" s="388"/>
    </row>
    <row r="24" spans="1:12" x14ac:dyDescent="0.2">
      <c r="A24" s="427" t="s">
        <v>354</v>
      </c>
      <c r="B24" s="428"/>
      <c r="C24" s="390"/>
      <c r="D24" s="391"/>
      <c r="E24" s="389"/>
      <c r="F24" s="389"/>
      <c r="G24" s="388">
        <v>380</v>
      </c>
      <c r="H24" s="388"/>
    </row>
    <row r="25" spans="1:12" x14ac:dyDescent="0.2">
      <c r="C25" s="478" t="s">
        <v>225</v>
      </c>
      <c r="D25" s="478"/>
      <c r="E25" s="478"/>
      <c r="F25" s="478"/>
      <c r="G25" s="624">
        <f>SUM(G21:G24)</f>
        <v>100085.88235294119</v>
      </c>
      <c r="H25" s="624"/>
      <c r="K25" s="179"/>
      <c r="L25" s="179"/>
    </row>
    <row r="26" spans="1:12" x14ac:dyDescent="0.2">
      <c r="C26" s="110"/>
      <c r="D26" s="110"/>
      <c r="E26" s="110"/>
      <c r="F26" s="110"/>
      <c r="G26" s="111"/>
      <c r="H26" s="111"/>
      <c r="L26" s="179"/>
    </row>
    <row r="27" spans="1:12" x14ac:dyDescent="0.2">
      <c r="A27" s="109" t="s">
        <v>226</v>
      </c>
      <c r="L27" s="179"/>
    </row>
    <row r="28" spans="1:12" x14ac:dyDescent="0.2">
      <c r="A28" s="480" t="s">
        <v>1</v>
      </c>
      <c r="B28" s="480"/>
      <c r="C28" s="112" t="s">
        <v>227</v>
      </c>
      <c r="D28" s="112" t="s">
        <v>228</v>
      </c>
      <c r="E28" s="480" t="s">
        <v>3</v>
      </c>
      <c r="F28" s="480"/>
      <c r="G28" s="480" t="s">
        <v>220</v>
      </c>
      <c r="H28" s="480"/>
      <c r="L28" s="179"/>
    </row>
    <row r="29" spans="1:12" x14ac:dyDescent="0.2">
      <c r="A29" s="427" t="s">
        <v>383</v>
      </c>
      <c r="B29" s="428"/>
      <c r="C29" s="125" t="s">
        <v>159</v>
      </c>
      <c r="D29" s="125">
        <v>5816</v>
      </c>
      <c r="E29" s="389">
        <v>1</v>
      </c>
      <c r="F29" s="389"/>
      <c r="G29" s="390">
        <f>+D29*E29</f>
        <v>5816</v>
      </c>
      <c r="H29" s="391"/>
    </row>
    <row r="30" spans="1:12" x14ac:dyDescent="0.2">
      <c r="A30" s="427" t="s">
        <v>384</v>
      </c>
      <c r="B30" s="428"/>
      <c r="C30" s="125" t="s">
        <v>155</v>
      </c>
      <c r="D30" s="125">
        <v>2000</v>
      </c>
      <c r="E30" s="389">
        <v>0.22</v>
      </c>
      <c r="F30" s="389"/>
      <c r="G30" s="390">
        <f t="shared" ref="G30:G34" si="0">+D30*E30</f>
        <v>440</v>
      </c>
      <c r="H30" s="391"/>
    </row>
    <row r="31" spans="1:12" x14ac:dyDescent="0.2">
      <c r="A31" s="427" t="s">
        <v>332</v>
      </c>
      <c r="B31" s="428"/>
      <c r="C31" s="125" t="s">
        <v>463</v>
      </c>
      <c r="D31" s="125">
        <v>3000</v>
      </c>
      <c r="E31" s="389">
        <v>0.22</v>
      </c>
      <c r="F31" s="389"/>
      <c r="G31" s="390">
        <f t="shared" si="0"/>
        <v>660</v>
      </c>
      <c r="H31" s="391"/>
    </row>
    <row r="32" spans="1:12" x14ac:dyDescent="0.2">
      <c r="A32" s="427" t="s">
        <v>331</v>
      </c>
      <c r="B32" s="428"/>
      <c r="C32" s="125" t="s">
        <v>463</v>
      </c>
      <c r="D32" s="125">
        <v>4500</v>
      </c>
      <c r="E32" s="389">
        <v>0.22</v>
      </c>
      <c r="F32" s="389"/>
      <c r="G32" s="390">
        <f t="shared" si="0"/>
        <v>990</v>
      </c>
      <c r="H32" s="391"/>
    </row>
    <row r="33" spans="1:13" x14ac:dyDescent="0.2">
      <c r="A33" s="427" t="s">
        <v>324</v>
      </c>
      <c r="B33" s="428"/>
      <c r="C33" s="125" t="s">
        <v>153</v>
      </c>
      <c r="D33" s="125">
        <v>4800</v>
      </c>
      <c r="E33" s="389">
        <v>0.34</v>
      </c>
      <c r="F33" s="389"/>
      <c r="G33" s="390">
        <f t="shared" si="0"/>
        <v>1632.0000000000002</v>
      </c>
      <c r="H33" s="391"/>
    </row>
    <row r="34" spans="1:13" x14ac:dyDescent="0.2">
      <c r="A34" s="427" t="s">
        <v>385</v>
      </c>
      <c r="B34" s="428"/>
      <c r="C34" s="125" t="s">
        <v>464</v>
      </c>
      <c r="D34" s="125">
        <v>13500</v>
      </c>
      <c r="E34" s="389">
        <v>0.5</v>
      </c>
      <c r="F34" s="389"/>
      <c r="G34" s="390">
        <f t="shared" si="0"/>
        <v>6750</v>
      </c>
      <c r="H34" s="391"/>
    </row>
    <row r="35" spans="1:13" x14ac:dyDescent="0.2">
      <c r="A35" s="427"/>
      <c r="B35" s="428"/>
      <c r="C35" s="125"/>
      <c r="D35" s="125"/>
      <c r="E35" s="389"/>
      <c r="F35" s="389"/>
      <c r="G35" s="390"/>
      <c r="H35" s="391"/>
    </row>
    <row r="36" spans="1:13" x14ac:dyDescent="0.2">
      <c r="A36" s="115"/>
      <c r="B36" s="115"/>
      <c r="C36" s="478" t="s">
        <v>225</v>
      </c>
      <c r="D36" s="478"/>
      <c r="E36" s="478"/>
      <c r="F36" s="478"/>
      <c r="G36" s="624">
        <f>SUM(G29:G35)</f>
        <v>16288</v>
      </c>
      <c r="H36" s="624"/>
    </row>
    <row r="38" spans="1:13" ht="15" x14ac:dyDescent="0.25">
      <c r="A38" s="109" t="s">
        <v>256</v>
      </c>
      <c r="L38" s="180"/>
      <c r="M38" s="180"/>
    </row>
    <row r="39" spans="1:13" x14ac:dyDescent="0.2">
      <c r="A39" s="480" t="s">
        <v>233</v>
      </c>
      <c r="B39" s="480"/>
      <c r="C39" s="112" t="s">
        <v>234</v>
      </c>
      <c r="D39" s="116" t="s">
        <v>235</v>
      </c>
      <c r="E39" s="480" t="s">
        <v>236</v>
      </c>
      <c r="F39" s="480"/>
      <c r="G39" s="480" t="s">
        <v>220</v>
      </c>
      <c r="H39" s="480"/>
    </row>
    <row r="40" spans="1:13" x14ac:dyDescent="0.2">
      <c r="A40" s="482"/>
      <c r="B40" s="482"/>
      <c r="C40" s="118"/>
      <c r="D40" s="118"/>
      <c r="E40" s="452"/>
      <c r="F40" s="452"/>
      <c r="G40" s="452">
        <f>+C40*D40*E40</f>
        <v>0</v>
      </c>
      <c r="H40" s="452"/>
    </row>
    <row r="41" spans="1:13" x14ac:dyDescent="0.2">
      <c r="A41" s="482"/>
      <c r="B41" s="482"/>
      <c r="C41" s="118"/>
      <c r="D41" s="118"/>
      <c r="E41" s="452"/>
      <c r="F41" s="452"/>
      <c r="G41" s="452"/>
      <c r="H41" s="452"/>
    </row>
    <row r="42" spans="1:13" x14ac:dyDescent="0.2">
      <c r="A42" s="482"/>
      <c r="B42" s="482"/>
      <c r="C42" s="118"/>
      <c r="D42" s="118"/>
      <c r="E42" s="452"/>
      <c r="F42" s="452"/>
      <c r="G42" s="452"/>
      <c r="H42" s="452"/>
    </row>
    <row r="43" spans="1:13" x14ac:dyDescent="0.2">
      <c r="A43" s="115"/>
      <c r="B43" s="115"/>
      <c r="C43" s="478" t="s">
        <v>225</v>
      </c>
      <c r="D43" s="478"/>
      <c r="E43" s="478"/>
      <c r="F43" s="478"/>
      <c r="G43" s="452">
        <f>SUM(G40:H42)</f>
        <v>0</v>
      </c>
      <c r="H43" s="452"/>
    </row>
    <row r="44" spans="1:13" ht="15" x14ac:dyDescent="0.25">
      <c r="L44" s="180"/>
      <c r="M44" s="180"/>
    </row>
    <row r="45" spans="1:13" x14ac:dyDescent="0.2">
      <c r="A45" s="109" t="s">
        <v>257</v>
      </c>
    </row>
    <row r="46" spans="1:13" x14ac:dyDescent="0.2">
      <c r="A46" s="480" t="s">
        <v>238</v>
      </c>
      <c r="B46" s="480"/>
      <c r="C46" s="128" t="s">
        <v>239</v>
      </c>
      <c r="D46" s="116" t="s">
        <v>240</v>
      </c>
      <c r="E46" s="119" t="s">
        <v>241</v>
      </c>
      <c r="F46" s="120" t="s">
        <v>219</v>
      </c>
      <c r="G46" s="480" t="s">
        <v>220</v>
      </c>
      <c r="H46" s="480"/>
    </row>
    <row r="47" spans="1:13" x14ac:dyDescent="0.2">
      <c r="A47" s="487" t="s">
        <v>242</v>
      </c>
      <c r="B47" s="488"/>
      <c r="C47" s="121">
        <v>60000</v>
      </c>
      <c r="D47" s="117">
        <v>1.85</v>
      </c>
      <c r="E47" s="121">
        <f>+C47*D47</f>
        <v>111000</v>
      </c>
      <c r="F47" s="182">
        <v>1.7</v>
      </c>
      <c r="G47" s="452">
        <f>+E47/F47</f>
        <v>65294.117647058825</v>
      </c>
      <c r="H47" s="452"/>
    </row>
    <row r="48" spans="1:13" x14ac:dyDescent="0.2">
      <c r="A48" s="450" t="s">
        <v>386</v>
      </c>
      <c r="B48" s="451"/>
      <c r="C48" s="181">
        <f>35000*3</f>
        <v>105000</v>
      </c>
      <c r="D48" s="117">
        <v>1.85</v>
      </c>
      <c r="E48" s="121">
        <f>+C48*D48</f>
        <v>194250</v>
      </c>
      <c r="F48" s="182">
        <v>1.7</v>
      </c>
      <c r="G48" s="623">
        <f>+E48/F48</f>
        <v>114264.70588235294</v>
      </c>
      <c r="H48" s="623"/>
    </row>
    <row r="49" spans="1:8" x14ac:dyDescent="0.2">
      <c r="A49" s="482"/>
      <c r="B49" s="482"/>
      <c r="C49" s="121"/>
      <c r="D49" s="118"/>
      <c r="E49" s="121"/>
      <c r="F49" s="118"/>
      <c r="G49" s="452"/>
      <c r="H49" s="452"/>
    </row>
    <row r="50" spans="1:8" x14ac:dyDescent="0.2">
      <c r="A50" s="115"/>
      <c r="B50" s="115"/>
      <c r="C50" s="478" t="s">
        <v>225</v>
      </c>
      <c r="D50" s="478"/>
      <c r="E50" s="478"/>
      <c r="F50" s="478"/>
      <c r="G50" s="624">
        <f>+SUM(G47:H49)</f>
        <v>179558.82352941175</v>
      </c>
      <c r="H50" s="624"/>
    </row>
    <row r="53" spans="1:8" x14ac:dyDescent="0.2">
      <c r="A53" s="479" t="s">
        <v>244</v>
      </c>
      <c r="B53" s="479"/>
      <c r="C53" s="479"/>
      <c r="D53" s="479"/>
      <c r="E53" s="479"/>
      <c r="F53" s="479"/>
      <c r="G53" s="556">
        <f>ROUND(G25+G36+G43+G50,0)</f>
        <v>295933</v>
      </c>
      <c r="H53" s="556"/>
    </row>
    <row r="54" spans="1:8" x14ac:dyDescent="0.2">
      <c r="G54" s="188">
        <f>+G53</f>
        <v>295933</v>
      </c>
    </row>
  </sheetData>
  <mergeCells count="87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C25:F25"/>
    <mergeCell ref="G25:H25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33:B33"/>
    <mergeCell ref="E33:F33"/>
    <mergeCell ref="G33:H33"/>
    <mergeCell ref="A40:B40"/>
    <mergeCell ref="E40:F40"/>
    <mergeCell ref="G40:H40"/>
    <mergeCell ref="A34:B34"/>
    <mergeCell ref="E34:F34"/>
    <mergeCell ref="G34:H34"/>
    <mergeCell ref="A35:B35"/>
    <mergeCell ref="E35:F35"/>
    <mergeCell ref="G35:H35"/>
    <mergeCell ref="C36:F36"/>
    <mergeCell ref="G36:H36"/>
    <mergeCell ref="A39:B39"/>
    <mergeCell ref="E39:F39"/>
    <mergeCell ref="G39:H39"/>
    <mergeCell ref="A41:B41"/>
    <mergeCell ref="E41:F41"/>
    <mergeCell ref="G41:H41"/>
    <mergeCell ref="A42:B42"/>
    <mergeCell ref="E42:F42"/>
    <mergeCell ref="G42:H42"/>
    <mergeCell ref="C43:F43"/>
    <mergeCell ref="G43:H43"/>
    <mergeCell ref="A46:B46"/>
    <mergeCell ref="G46:H46"/>
    <mergeCell ref="A47:B47"/>
    <mergeCell ref="G47:H47"/>
    <mergeCell ref="A53:F53"/>
    <mergeCell ref="G53:H53"/>
    <mergeCell ref="A48:B48"/>
    <mergeCell ref="G48:H48"/>
    <mergeCell ref="A49:B49"/>
    <mergeCell ref="G49:H49"/>
    <mergeCell ref="C50:F50"/>
    <mergeCell ref="G50:H5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6"/>
  <sheetViews>
    <sheetView workbookViewId="0">
      <selection activeCell="G55" sqref="G55:H55"/>
    </sheetView>
  </sheetViews>
  <sheetFormatPr baseColWidth="10" defaultRowHeight="12.75" x14ac:dyDescent="0.2"/>
  <cols>
    <col min="1" max="1" width="12.28515625" style="101" customWidth="1"/>
    <col min="2" max="2" width="13.7109375" style="101" customWidth="1"/>
    <col min="3" max="3" width="11.42578125" style="101"/>
    <col min="4" max="4" width="12.5703125" style="101" customWidth="1"/>
    <col min="5" max="6" width="11.42578125" style="101"/>
    <col min="7" max="8" width="9.28515625" style="101" customWidth="1"/>
    <col min="9" max="10" width="11.42578125" style="101"/>
    <col min="11" max="11" width="11.5703125" style="178" bestFit="1" customWidth="1"/>
    <col min="12" max="12" width="13.85546875" style="178" bestFit="1" customWidth="1"/>
    <col min="13" max="13" width="15.42578125" style="178" bestFit="1" customWidth="1"/>
    <col min="14" max="16" width="11.42578125" style="178"/>
    <col min="17" max="256" width="11.42578125" style="101"/>
    <col min="257" max="257" width="12.28515625" style="101" customWidth="1"/>
    <col min="258" max="258" width="13.7109375" style="101" customWidth="1"/>
    <col min="259" max="259" width="11.42578125" style="101"/>
    <col min="260" max="260" width="12.5703125" style="101" customWidth="1"/>
    <col min="261" max="262" width="11.42578125" style="101"/>
    <col min="263" max="264" width="9.28515625" style="101" customWidth="1"/>
    <col min="265" max="266" width="11.42578125" style="101"/>
    <col min="267" max="267" width="11.5703125" style="101" bestFit="1" customWidth="1"/>
    <col min="268" max="268" width="13.85546875" style="101" bestFit="1" customWidth="1"/>
    <col min="269" max="269" width="15.42578125" style="101" bestFit="1" customWidth="1"/>
    <col min="270" max="512" width="11.42578125" style="101"/>
    <col min="513" max="513" width="12.28515625" style="101" customWidth="1"/>
    <col min="514" max="514" width="13.7109375" style="101" customWidth="1"/>
    <col min="515" max="515" width="11.42578125" style="101"/>
    <col min="516" max="516" width="12.5703125" style="101" customWidth="1"/>
    <col min="517" max="518" width="11.42578125" style="101"/>
    <col min="519" max="520" width="9.28515625" style="101" customWidth="1"/>
    <col min="521" max="522" width="11.42578125" style="101"/>
    <col min="523" max="523" width="11.5703125" style="101" bestFit="1" customWidth="1"/>
    <col min="524" max="524" width="13.85546875" style="101" bestFit="1" customWidth="1"/>
    <col min="525" max="525" width="15.42578125" style="101" bestFit="1" customWidth="1"/>
    <col min="526" max="768" width="11.42578125" style="101"/>
    <col min="769" max="769" width="12.28515625" style="101" customWidth="1"/>
    <col min="770" max="770" width="13.7109375" style="101" customWidth="1"/>
    <col min="771" max="771" width="11.42578125" style="101"/>
    <col min="772" max="772" width="12.5703125" style="101" customWidth="1"/>
    <col min="773" max="774" width="11.42578125" style="101"/>
    <col min="775" max="776" width="9.28515625" style="101" customWidth="1"/>
    <col min="777" max="778" width="11.42578125" style="101"/>
    <col min="779" max="779" width="11.5703125" style="101" bestFit="1" customWidth="1"/>
    <col min="780" max="780" width="13.85546875" style="101" bestFit="1" customWidth="1"/>
    <col min="781" max="781" width="15.42578125" style="101" bestFit="1" customWidth="1"/>
    <col min="782" max="1024" width="11.42578125" style="101"/>
    <col min="1025" max="1025" width="12.28515625" style="101" customWidth="1"/>
    <col min="1026" max="1026" width="13.7109375" style="101" customWidth="1"/>
    <col min="1027" max="1027" width="11.42578125" style="101"/>
    <col min="1028" max="1028" width="12.5703125" style="101" customWidth="1"/>
    <col min="1029" max="1030" width="11.42578125" style="101"/>
    <col min="1031" max="1032" width="9.28515625" style="101" customWidth="1"/>
    <col min="1033" max="1034" width="11.42578125" style="101"/>
    <col min="1035" max="1035" width="11.5703125" style="101" bestFit="1" customWidth="1"/>
    <col min="1036" max="1036" width="13.85546875" style="101" bestFit="1" customWidth="1"/>
    <col min="1037" max="1037" width="15.42578125" style="101" bestFit="1" customWidth="1"/>
    <col min="1038" max="1280" width="11.42578125" style="101"/>
    <col min="1281" max="1281" width="12.28515625" style="101" customWidth="1"/>
    <col min="1282" max="1282" width="13.7109375" style="101" customWidth="1"/>
    <col min="1283" max="1283" width="11.42578125" style="101"/>
    <col min="1284" max="1284" width="12.5703125" style="101" customWidth="1"/>
    <col min="1285" max="1286" width="11.42578125" style="101"/>
    <col min="1287" max="1288" width="9.28515625" style="101" customWidth="1"/>
    <col min="1289" max="1290" width="11.42578125" style="101"/>
    <col min="1291" max="1291" width="11.5703125" style="101" bestFit="1" customWidth="1"/>
    <col min="1292" max="1292" width="13.85546875" style="101" bestFit="1" customWidth="1"/>
    <col min="1293" max="1293" width="15.42578125" style="101" bestFit="1" customWidth="1"/>
    <col min="1294" max="1536" width="11.42578125" style="101"/>
    <col min="1537" max="1537" width="12.28515625" style="101" customWidth="1"/>
    <col min="1538" max="1538" width="13.7109375" style="101" customWidth="1"/>
    <col min="1539" max="1539" width="11.42578125" style="101"/>
    <col min="1540" max="1540" width="12.5703125" style="101" customWidth="1"/>
    <col min="1541" max="1542" width="11.42578125" style="101"/>
    <col min="1543" max="1544" width="9.28515625" style="101" customWidth="1"/>
    <col min="1545" max="1546" width="11.42578125" style="101"/>
    <col min="1547" max="1547" width="11.5703125" style="101" bestFit="1" customWidth="1"/>
    <col min="1548" max="1548" width="13.85546875" style="101" bestFit="1" customWidth="1"/>
    <col min="1549" max="1549" width="15.42578125" style="101" bestFit="1" customWidth="1"/>
    <col min="1550" max="1792" width="11.42578125" style="101"/>
    <col min="1793" max="1793" width="12.28515625" style="101" customWidth="1"/>
    <col min="1794" max="1794" width="13.7109375" style="101" customWidth="1"/>
    <col min="1795" max="1795" width="11.42578125" style="101"/>
    <col min="1796" max="1796" width="12.5703125" style="101" customWidth="1"/>
    <col min="1797" max="1798" width="11.42578125" style="101"/>
    <col min="1799" max="1800" width="9.28515625" style="101" customWidth="1"/>
    <col min="1801" max="1802" width="11.42578125" style="101"/>
    <col min="1803" max="1803" width="11.5703125" style="101" bestFit="1" customWidth="1"/>
    <col min="1804" max="1804" width="13.85546875" style="101" bestFit="1" customWidth="1"/>
    <col min="1805" max="1805" width="15.42578125" style="101" bestFit="1" customWidth="1"/>
    <col min="1806" max="2048" width="11.42578125" style="101"/>
    <col min="2049" max="2049" width="12.28515625" style="101" customWidth="1"/>
    <col min="2050" max="2050" width="13.7109375" style="101" customWidth="1"/>
    <col min="2051" max="2051" width="11.42578125" style="101"/>
    <col min="2052" max="2052" width="12.5703125" style="101" customWidth="1"/>
    <col min="2053" max="2054" width="11.42578125" style="101"/>
    <col min="2055" max="2056" width="9.28515625" style="101" customWidth="1"/>
    <col min="2057" max="2058" width="11.42578125" style="101"/>
    <col min="2059" max="2059" width="11.5703125" style="101" bestFit="1" customWidth="1"/>
    <col min="2060" max="2060" width="13.85546875" style="101" bestFit="1" customWidth="1"/>
    <col min="2061" max="2061" width="15.42578125" style="101" bestFit="1" customWidth="1"/>
    <col min="2062" max="2304" width="11.42578125" style="101"/>
    <col min="2305" max="2305" width="12.28515625" style="101" customWidth="1"/>
    <col min="2306" max="2306" width="13.7109375" style="101" customWidth="1"/>
    <col min="2307" max="2307" width="11.42578125" style="101"/>
    <col min="2308" max="2308" width="12.5703125" style="101" customWidth="1"/>
    <col min="2309" max="2310" width="11.42578125" style="101"/>
    <col min="2311" max="2312" width="9.28515625" style="101" customWidth="1"/>
    <col min="2313" max="2314" width="11.42578125" style="101"/>
    <col min="2315" max="2315" width="11.5703125" style="101" bestFit="1" customWidth="1"/>
    <col min="2316" max="2316" width="13.85546875" style="101" bestFit="1" customWidth="1"/>
    <col min="2317" max="2317" width="15.42578125" style="101" bestFit="1" customWidth="1"/>
    <col min="2318" max="2560" width="11.42578125" style="101"/>
    <col min="2561" max="2561" width="12.28515625" style="101" customWidth="1"/>
    <col min="2562" max="2562" width="13.7109375" style="101" customWidth="1"/>
    <col min="2563" max="2563" width="11.42578125" style="101"/>
    <col min="2564" max="2564" width="12.5703125" style="101" customWidth="1"/>
    <col min="2565" max="2566" width="11.42578125" style="101"/>
    <col min="2567" max="2568" width="9.28515625" style="101" customWidth="1"/>
    <col min="2569" max="2570" width="11.42578125" style="101"/>
    <col min="2571" max="2571" width="11.5703125" style="101" bestFit="1" customWidth="1"/>
    <col min="2572" max="2572" width="13.85546875" style="101" bestFit="1" customWidth="1"/>
    <col min="2573" max="2573" width="15.42578125" style="101" bestFit="1" customWidth="1"/>
    <col min="2574" max="2816" width="11.42578125" style="101"/>
    <col min="2817" max="2817" width="12.28515625" style="101" customWidth="1"/>
    <col min="2818" max="2818" width="13.7109375" style="101" customWidth="1"/>
    <col min="2819" max="2819" width="11.42578125" style="101"/>
    <col min="2820" max="2820" width="12.5703125" style="101" customWidth="1"/>
    <col min="2821" max="2822" width="11.42578125" style="101"/>
    <col min="2823" max="2824" width="9.28515625" style="101" customWidth="1"/>
    <col min="2825" max="2826" width="11.42578125" style="101"/>
    <col min="2827" max="2827" width="11.5703125" style="101" bestFit="1" customWidth="1"/>
    <col min="2828" max="2828" width="13.85546875" style="101" bestFit="1" customWidth="1"/>
    <col min="2829" max="2829" width="15.42578125" style="101" bestFit="1" customWidth="1"/>
    <col min="2830" max="3072" width="11.42578125" style="101"/>
    <col min="3073" max="3073" width="12.28515625" style="101" customWidth="1"/>
    <col min="3074" max="3074" width="13.7109375" style="101" customWidth="1"/>
    <col min="3075" max="3075" width="11.42578125" style="101"/>
    <col min="3076" max="3076" width="12.5703125" style="101" customWidth="1"/>
    <col min="3077" max="3078" width="11.42578125" style="101"/>
    <col min="3079" max="3080" width="9.28515625" style="101" customWidth="1"/>
    <col min="3081" max="3082" width="11.42578125" style="101"/>
    <col min="3083" max="3083" width="11.5703125" style="101" bestFit="1" customWidth="1"/>
    <col min="3084" max="3084" width="13.85546875" style="101" bestFit="1" customWidth="1"/>
    <col min="3085" max="3085" width="15.42578125" style="101" bestFit="1" customWidth="1"/>
    <col min="3086" max="3328" width="11.42578125" style="101"/>
    <col min="3329" max="3329" width="12.28515625" style="101" customWidth="1"/>
    <col min="3330" max="3330" width="13.7109375" style="101" customWidth="1"/>
    <col min="3331" max="3331" width="11.42578125" style="101"/>
    <col min="3332" max="3332" width="12.5703125" style="101" customWidth="1"/>
    <col min="3333" max="3334" width="11.42578125" style="101"/>
    <col min="3335" max="3336" width="9.28515625" style="101" customWidth="1"/>
    <col min="3337" max="3338" width="11.42578125" style="101"/>
    <col min="3339" max="3339" width="11.5703125" style="101" bestFit="1" customWidth="1"/>
    <col min="3340" max="3340" width="13.85546875" style="101" bestFit="1" customWidth="1"/>
    <col min="3341" max="3341" width="15.42578125" style="101" bestFit="1" customWidth="1"/>
    <col min="3342" max="3584" width="11.42578125" style="101"/>
    <col min="3585" max="3585" width="12.28515625" style="101" customWidth="1"/>
    <col min="3586" max="3586" width="13.7109375" style="101" customWidth="1"/>
    <col min="3587" max="3587" width="11.42578125" style="101"/>
    <col min="3588" max="3588" width="12.5703125" style="101" customWidth="1"/>
    <col min="3589" max="3590" width="11.42578125" style="101"/>
    <col min="3591" max="3592" width="9.28515625" style="101" customWidth="1"/>
    <col min="3593" max="3594" width="11.42578125" style="101"/>
    <col min="3595" max="3595" width="11.5703125" style="101" bestFit="1" customWidth="1"/>
    <col min="3596" max="3596" width="13.85546875" style="101" bestFit="1" customWidth="1"/>
    <col min="3597" max="3597" width="15.42578125" style="101" bestFit="1" customWidth="1"/>
    <col min="3598" max="3840" width="11.42578125" style="101"/>
    <col min="3841" max="3841" width="12.28515625" style="101" customWidth="1"/>
    <col min="3842" max="3842" width="13.7109375" style="101" customWidth="1"/>
    <col min="3843" max="3843" width="11.42578125" style="101"/>
    <col min="3844" max="3844" width="12.5703125" style="101" customWidth="1"/>
    <col min="3845" max="3846" width="11.42578125" style="101"/>
    <col min="3847" max="3848" width="9.28515625" style="101" customWidth="1"/>
    <col min="3849" max="3850" width="11.42578125" style="101"/>
    <col min="3851" max="3851" width="11.5703125" style="101" bestFit="1" customWidth="1"/>
    <col min="3852" max="3852" width="13.85546875" style="101" bestFit="1" customWidth="1"/>
    <col min="3853" max="3853" width="15.42578125" style="101" bestFit="1" customWidth="1"/>
    <col min="3854" max="4096" width="11.42578125" style="101"/>
    <col min="4097" max="4097" width="12.28515625" style="101" customWidth="1"/>
    <col min="4098" max="4098" width="13.7109375" style="101" customWidth="1"/>
    <col min="4099" max="4099" width="11.42578125" style="101"/>
    <col min="4100" max="4100" width="12.5703125" style="101" customWidth="1"/>
    <col min="4101" max="4102" width="11.42578125" style="101"/>
    <col min="4103" max="4104" width="9.28515625" style="101" customWidth="1"/>
    <col min="4105" max="4106" width="11.42578125" style="101"/>
    <col min="4107" max="4107" width="11.5703125" style="101" bestFit="1" customWidth="1"/>
    <col min="4108" max="4108" width="13.85546875" style="101" bestFit="1" customWidth="1"/>
    <col min="4109" max="4109" width="15.42578125" style="101" bestFit="1" customWidth="1"/>
    <col min="4110" max="4352" width="11.42578125" style="101"/>
    <col min="4353" max="4353" width="12.28515625" style="101" customWidth="1"/>
    <col min="4354" max="4354" width="13.7109375" style="101" customWidth="1"/>
    <col min="4355" max="4355" width="11.42578125" style="101"/>
    <col min="4356" max="4356" width="12.5703125" style="101" customWidth="1"/>
    <col min="4357" max="4358" width="11.42578125" style="101"/>
    <col min="4359" max="4360" width="9.28515625" style="101" customWidth="1"/>
    <col min="4361" max="4362" width="11.42578125" style="101"/>
    <col min="4363" max="4363" width="11.5703125" style="101" bestFit="1" customWidth="1"/>
    <col min="4364" max="4364" width="13.85546875" style="101" bestFit="1" customWidth="1"/>
    <col min="4365" max="4365" width="15.42578125" style="101" bestFit="1" customWidth="1"/>
    <col min="4366" max="4608" width="11.42578125" style="101"/>
    <col min="4609" max="4609" width="12.28515625" style="101" customWidth="1"/>
    <col min="4610" max="4610" width="13.7109375" style="101" customWidth="1"/>
    <col min="4611" max="4611" width="11.42578125" style="101"/>
    <col min="4612" max="4612" width="12.5703125" style="101" customWidth="1"/>
    <col min="4613" max="4614" width="11.42578125" style="101"/>
    <col min="4615" max="4616" width="9.28515625" style="101" customWidth="1"/>
    <col min="4617" max="4618" width="11.42578125" style="101"/>
    <col min="4619" max="4619" width="11.5703125" style="101" bestFit="1" customWidth="1"/>
    <col min="4620" max="4620" width="13.85546875" style="101" bestFit="1" customWidth="1"/>
    <col min="4621" max="4621" width="15.42578125" style="101" bestFit="1" customWidth="1"/>
    <col min="4622" max="4864" width="11.42578125" style="101"/>
    <col min="4865" max="4865" width="12.28515625" style="101" customWidth="1"/>
    <col min="4866" max="4866" width="13.7109375" style="101" customWidth="1"/>
    <col min="4867" max="4867" width="11.42578125" style="101"/>
    <col min="4868" max="4868" width="12.5703125" style="101" customWidth="1"/>
    <col min="4869" max="4870" width="11.42578125" style="101"/>
    <col min="4871" max="4872" width="9.28515625" style="101" customWidth="1"/>
    <col min="4873" max="4874" width="11.42578125" style="101"/>
    <col min="4875" max="4875" width="11.5703125" style="101" bestFit="1" customWidth="1"/>
    <col min="4876" max="4876" width="13.85546875" style="101" bestFit="1" customWidth="1"/>
    <col min="4877" max="4877" width="15.42578125" style="101" bestFit="1" customWidth="1"/>
    <col min="4878" max="5120" width="11.42578125" style="101"/>
    <col min="5121" max="5121" width="12.28515625" style="101" customWidth="1"/>
    <col min="5122" max="5122" width="13.7109375" style="101" customWidth="1"/>
    <col min="5123" max="5123" width="11.42578125" style="101"/>
    <col min="5124" max="5124" width="12.5703125" style="101" customWidth="1"/>
    <col min="5125" max="5126" width="11.42578125" style="101"/>
    <col min="5127" max="5128" width="9.28515625" style="101" customWidth="1"/>
    <col min="5129" max="5130" width="11.42578125" style="101"/>
    <col min="5131" max="5131" width="11.5703125" style="101" bestFit="1" customWidth="1"/>
    <col min="5132" max="5132" width="13.85546875" style="101" bestFit="1" customWidth="1"/>
    <col min="5133" max="5133" width="15.42578125" style="101" bestFit="1" customWidth="1"/>
    <col min="5134" max="5376" width="11.42578125" style="101"/>
    <col min="5377" max="5377" width="12.28515625" style="101" customWidth="1"/>
    <col min="5378" max="5378" width="13.7109375" style="101" customWidth="1"/>
    <col min="5379" max="5379" width="11.42578125" style="101"/>
    <col min="5380" max="5380" width="12.5703125" style="101" customWidth="1"/>
    <col min="5381" max="5382" width="11.42578125" style="101"/>
    <col min="5383" max="5384" width="9.28515625" style="101" customWidth="1"/>
    <col min="5385" max="5386" width="11.42578125" style="101"/>
    <col min="5387" max="5387" width="11.5703125" style="101" bestFit="1" customWidth="1"/>
    <col min="5388" max="5388" width="13.85546875" style="101" bestFit="1" customWidth="1"/>
    <col min="5389" max="5389" width="15.42578125" style="101" bestFit="1" customWidth="1"/>
    <col min="5390" max="5632" width="11.42578125" style="101"/>
    <col min="5633" max="5633" width="12.28515625" style="101" customWidth="1"/>
    <col min="5634" max="5634" width="13.7109375" style="101" customWidth="1"/>
    <col min="5635" max="5635" width="11.42578125" style="101"/>
    <col min="5636" max="5636" width="12.5703125" style="101" customWidth="1"/>
    <col min="5637" max="5638" width="11.42578125" style="101"/>
    <col min="5639" max="5640" width="9.28515625" style="101" customWidth="1"/>
    <col min="5641" max="5642" width="11.42578125" style="101"/>
    <col min="5643" max="5643" width="11.5703125" style="101" bestFit="1" customWidth="1"/>
    <col min="5644" max="5644" width="13.85546875" style="101" bestFit="1" customWidth="1"/>
    <col min="5645" max="5645" width="15.42578125" style="101" bestFit="1" customWidth="1"/>
    <col min="5646" max="5888" width="11.42578125" style="101"/>
    <col min="5889" max="5889" width="12.28515625" style="101" customWidth="1"/>
    <col min="5890" max="5890" width="13.7109375" style="101" customWidth="1"/>
    <col min="5891" max="5891" width="11.42578125" style="101"/>
    <col min="5892" max="5892" width="12.5703125" style="101" customWidth="1"/>
    <col min="5893" max="5894" width="11.42578125" style="101"/>
    <col min="5895" max="5896" width="9.28515625" style="101" customWidth="1"/>
    <col min="5897" max="5898" width="11.42578125" style="101"/>
    <col min="5899" max="5899" width="11.5703125" style="101" bestFit="1" customWidth="1"/>
    <col min="5900" max="5900" width="13.85546875" style="101" bestFit="1" customWidth="1"/>
    <col min="5901" max="5901" width="15.42578125" style="101" bestFit="1" customWidth="1"/>
    <col min="5902" max="6144" width="11.42578125" style="101"/>
    <col min="6145" max="6145" width="12.28515625" style="101" customWidth="1"/>
    <col min="6146" max="6146" width="13.7109375" style="101" customWidth="1"/>
    <col min="6147" max="6147" width="11.42578125" style="101"/>
    <col min="6148" max="6148" width="12.5703125" style="101" customWidth="1"/>
    <col min="6149" max="6150" width="11.42578125" style="101"/>
    <col min="6151" max="6152" width="9.28515625" style="101" customWidth="1"/>
    <col min="6153" max="6154" width="11.42578125" style="101"/>
    <col min="6155" max="6155" width="11.5703125" style="101" bestFit="1" customWidth="1"/>
    <col min="6156" max="6156" width="13.85546875" style="101" bestFit="1" customWidth="1"/>
    <col min="6157" max="6157" width="15.42578125" style="101" bestFit="1" customWidth="1"/>
    <col min="6158" max="6400" width="11.42578125" style="101"/>
    <col min="6401" max="6401" width="12.28515625" style="101" customWidth="1"/>
    <col min="6402" max="6402" width="13.7109375" style="101" customWidth="1"/>
    <col min="6403" max="6403" width="11.42578125" style="101"/>
    <col min="6404" max="6404" width="12.5703125" style="101" customWidth="1"/>
    <col min="6405" max="6406" width="11.42578125" style="101"/>
    <col min="6407" max="6408" width="9.28515625" style="101" customWidth="1"/>
    <col min="6409" max="6410" width="11.42578125" style="101"/>
    <col min="6411" max="6411" width="11.5703125" style="101" bestFit="1" customWidth="1"/>
    <col min="6412" max="6412" width="13.85546875" style="101" bestFit="1" customWidth="1"/>
    <col min="6413" max="6413" width="15.42578125" style="101" bestFit="1" customWidth="1"/>
    <col min="6414" max="6656" width="11.42578125" style="101"/>
    <col min="6657" max="6657" width="12.28515625" style="101" customWidth="1"/>
    <col min="6658" max="6658" width="13.7109375" style="101" customWidth="1"/>
    <col min="6659" max="6659" width="11.42578125" style="101"/>
    <col min="6660" max="6660" width="12.5703125" style="101" customWidth="1"/>
    <col min="6661" max="6662" width="11.42578125" style="101"/>
    <col min="6663" max="6664" width="9.28515625" style="101" customWidth="1"/>
    <col min="6665" max="6666" width="11.42578125" style="101"/>
    <col min="6667" max="6667" width="11.5703125" style="101" bestFit="1" customWidth="1"/>
    <col min="6668" max="6668" width="13.85546875" style="101" bestFit="1" customWidth="1"/>
    <col min="6669" max="6669" width="15.42578125" style="101" bestFit="1" customWidth="1"/>
    <col min="6670" max="6912" width="11.42578125" style="101"/>
    <col min="6913" max="6913" width="12.28515625" style="101" customWidth="1"/>
    <col min="6914" max="6914" width="13.7109375" style="101" customWidth="1"/>
    <col min="6915" max="6915" width="11.42578125" style="101"/>
    <col min="6916" max="6916" width="12.5703125" style="101" customWidth="1"/>
    <col min="6917" max="6918" width="11.42578125" style="101"/>
    <col min="6919" max="6920" width="9.28515625" style="101" customWidth="1"/>
    <col min="6921" max="6922" width="11.42578125" style="101"/>
    <col min="6923" max="6923" width="11.5703125" style="101" bestFit="1" customWidth="1"/>
    <col min="6924" max="6924" width="13.85546875" style="101" bestFit="1" customWidth="1"/>
    <col min="6925" max="6925" width="15.42578125" style="101" bestFit="1" customWidth="1"/>
    <col min="6926" max="7168" width="11.42578125" style="101"/>
    <col min="7169" max="7169" width="12.28515625" style="101" customWidth="1"/>
    <col min="7170" max="7170" width="13.7109375" style="101" customWidth="1"/>
    <col min="7171" max="7171" width="11.42578125" style="101"/>
    <col min="7172" max="7172" width="12.5703125" style="101" customWidth="1"/>
    <col min="7173" max="7174" width="11.42578125" style="101"/>
    <col min="7175" max="7176" width="9.28515625" style="101" customWidth="1"/>
    <col min="7177" max="7178" width="11.42578125" style="101"/>
    <col min="7179" max="7179" width="11.5703125" style="101" bestFit="1" customWidth="1"/>
    <col min="7180" max="7180" width="13.85546875" style="101" bestFit="1" customWidth="1"/>
    <col min="7181" max="7181" width="15.42578125" style="101" bestFit="1" customWidth="1"/>
    <col min="7182" max="7424" width="11.42578125" style="101"/>
    <col min="7425" max="7425" width="12.28515625" style="101" customWidth="1"/>
    <col min="7426" max="7426" width="13.7109375" style="101" customWidth="1"/>
    <col min="7427" max="7427" width="11.42578125" style="101"/>
    <col min="7428" max="7428" width="12.5703125" style="101" customWidth="1"/>
    <col min="7429" max="7430" width="11.42578125" style="101"/>
    <col min="7431" max="7432" width="9.28515625" style="101" customWidth="1"/>
    <col min="7433" max="7434" width="11.42578125" style="101"/>
    <col min="7435" max="7435" width="11.5703125" style="101" bestFit="1" customWidth="1"/>
    <col min="7436" max="7436" width="13.85546875" style="101" bestFit="1" customWidth="1"/>
    <col min="7437" max="7437" width="15.42578125" style="101" bestFit="1" customWidth="1"/>
    <col min="7438" max="7680" width="11.42578125" style="101"/>
    <col min="7681" max="7681" width="12.28515625" style="101" customWidth="1"/>
    <col min="7682" max="7682" width="13.7109375" style="101" customWidth="1"/>
    <col min="7683" max="7683" width="11.42578125" style="101"/>
    <col min="7684" max="7684" width="12.5703125" style="101" customWidth="1"/>
    <col min="7685" max="7686" width="11.42578125" style="101"/>
    <col min="7687" max="7688" width="9.28515625" style="101" customWidth="1"/>
    <col min="7689" max="7690" width="11.42578125" style="101"/>
    <col min="7691" max="7691" width="11.5703125" style="101" bestFit="1" customWidth="1"/>
    <col min="7692" max="7692" width="13.85546875" style="101" bestFit="1" customWidth="1"/>
    <col min="7693" max="7693" width="15.42578125" style="101" bestFit="1" customWidth="1"/>
    <col min="7694" max="7936" width="11.42578125" style="101"/>
    <col min="7937" max="7937" width="12.28515625" style="101" customWidth="1"/>
    <col min="7938" max="7938" width="13.7109375" style="101" customWidth="1"/>
    <col min="7939" max="7939" width="11.42578125" style="101"/>
    <col min="7940" max="7940" width="12.5703125" style="101" customWidth="1"/>
    <col min="7941" max="7942" width="11.42578125" style="101"/>
    <col min="7943" max="7944" width="9.28515625" style="101" customWidth="1"/>
    <col min="7945" max="7946" width="11.42578125" style="101"/>
    <col min="7947" max="7947" width="11.5703125" style="101" bestFit="1" customWidth="1"/>
    <col min="7948" max="7948" width="13.85546875" style="101" bestFit="1" customWidth="1"/>
    <col min="7949" max="7949" width="15.42578125" style="101" bestFit="1" customWidth="1"/>
    <col min="7950" max="8192" width="11.42578125" style="101"/>
    <col min="8193" max="8193" width="12.28515625" style="101" customWidth="1"/>
    <col min="8194" max="8194" width="13.7109375" style="101" customWidth="1"/>
    <col min="8195" max="8195" width="11.42578125" style="101"/>
    <col min="8196" max="8196" width="12.5703125" style="101" customWidth="1"/>
    <col min="8197" max="8198" width="11.42578125" style="101"/>
    <col min="8199" max="8200" width="9.28515625" style="101" customWidth="1"/>
    <col min="8201" max="8202" width="11.42578125" style="101"/>
    <col min="8203" max="8203" width="11.5703125" style="101" bestFit="1" customWidth="1"/>
    <col min="8204" max="8204" width="13.85546875" style="101" bestFit="1" customWidth="1"/>
    <col min="8205" max="8205" width="15.42578125" style="101" bestFit="1" customWidth="1"/>
    <col min="8206" max="8448" width="11.42578125" style="101"/>
    <col min="8449" max="8449" width="12.28515625" style="101" customWidth="1"/>
    <col min="8450" max="8450" width="13.7109375" style="101" customWidth="1"/>
    <col min="8451" max="8451" width="11.42578125" style="101"/>
    <col min="8452" max="8452" width="12.5703125" style="101" customWidth="1"/>
    <col min="8453" max="8454" width="11.42578125" style="101"/>
    <col min="8455" max="8456" width="9.28515625" style="101" customWidth="1"/>
    <col min="8457" max="8458" width="11.42578125" style="101"/>
    <col min="8459" max="8459" width="11.5703125" style="101" bestFit="1" customWidth="1"/>
    <col min="8460" max="8460" width="13.85546875" style="101" bestFit="1" customWidth="1"/>
    <col min="8461" max="8461" width="15.42578125" style="101" bestFit="1" customWidth="1"/>
    <col min="8462" max="8704" width="11.42578125" style="101"/>
    <col min="8705" max="8705" width="12.28515625" style="101" customWidth="1"/>
    <col min="8706" max="8706" width="13.7109375" style="101" customWidth="1"/>
    <col min="8707" max="8707" width="11.42578125" style="101"/>
    <col min="8708" max="8708" width="12.5703125" style="101" customWidth="1"/>
    <col min="8709" max="8710" width="11.42578125" style="101"/>
    <col min="8711" max="8712" width="9.28515625" style="101" customWidth="1"/>
    <col min="8713" max="8714" width="11.42578125" style="101"/>
    <col min="8715" max="8715" width="11.5703125" style="101" bestFit="1" customWidth="1"/>
    <col min="8716" max="8716" width="13.85546875" style="101" bestFit="1" customWidth="1"/>
    <col min="8717" max="8717" width="15.42578125" style="101" bestFit="1" customWidth="1"/>
    <col min="8718" max="8960" width="11.42578125" style="101"/>
    <col min="8961" max="8961" width="12.28515625" style="101" customWidth="1"/>
    <col min="8962" max="8962" width="13.7109375" style="101" customWidth="1"/>
    <col min="8963" max="8963" width="11.42578125" style="101"/>
    <col min="8964" max="8964" width="12.5703125" style="101" customWidth="1"/>
    <col min="8965" max="8966" width="11.42578125" style="101"/>
    <col min="8967" max="8968" width="9.28515625" style="101" customWidth="1"/>
    <col min="8969" max="8970" width="11.42578125" style="101"/>
    <col min="8971" max="8971" width="11.5703125" style="101" bestFit="1" customWidth="1"/>
    <col min="8972" max="8972" width="13.85546875" style="101" bestFit="1" customWidth="1"/>
    <col min="8973" max="8973" width="15.42578125" style="101" bestFit="1" customWidth="1"/>
    <col min="8974" max="9216" width="11.42578125" style="101"/>
    <col min="9217" max="9217" width="12.28515625" style="101" customWidth="1"/>
    <col min="9218" max="9218" width="13.7109375" style="101" customWidth="1"/>
    <col min="9219" max="9219" width="11.42578125" style="101"/>
    <col min="9220" max="9220" width="12.5703125" style="101" customWidth="1"/>
    <col min="9221" max="9222" width="11.42578125" style="101"/>
    <col min="9223" max="9224" width="9.28515625" style="101" customWidth="1"/>
    <col min="9225" max="9226" width="11.42578125" style="101"/>
    <col min="9227" max="9227" width="11.5703125" style="101" bestFit="1" customWidth="1"/>
    <col min="9228" max="9228" width="13.85546875" style="101" bestFit="1" customWidth="1"/>
    <col min="9229" max="9229" width="15.42578125" style="101" bestFit="1" customWidth="1"/>
    <col min="9230" max="9472" width="11.42578125" style="101"/>
    <col min="9473" max="9473" width="12.28515625" style="101" customWidth="1"/>
    <col min="9474" max="9474" width="13.7109375" style="101" customWidth="1"/>
    <col min="9475" max="9475" width="11.42578125" style="101"/>
    <col min="9476" max="9476" width="12.5703125" style="101" customWidth="1"/>
    <col min="9477" max="9478" width="11.42578125" style="101"/>
    <col min="9479" max="9480" width="9.28515625" style="101" customWidth="1"/>
    <col min="9481" max="9482" width="11.42578125" style="101"/>
    <col min="9483" max="9483" width="11.5703125" style="101" bestFit="1" customWidth="1"/>
    <col min="9484" max="9484" width="13.85546875" style="101" bestFit="1" customWidth="1"/>
    <col min="9485" max="9485" width="15.42578125" style="101" bestFit="1" customWidth="1"/>
    <col min="9486" max="9728" width="11.42578125" style="101"/>
    <col min="9729" max="9729" width="12.28515625" style="101" customWidth="1"/>
    <col min="9730" max="9730" width="13.7109375" style="101" customWidth="1"/>
    <col min="9731" max="9731" width="11.42578125" style="101"/>
    <col min="9732" max="9732" width="12.5703125" style="101" customWidth="1"/>
    <col min="9733" max="9734" width="11.42578125" style="101"/>
    <col min="9735" max="9736" width="9.28515625" style="101" customWidth="1"/>
    <col min="9737" max="9738" width="11.42578125" style="101"/>
    <col min="9739" max="9739" width="11.5703125" style="101" bestFit="1" customWidth="1"/>
    <col min="9740" max="9740" width="13.85546875" style="101" bestFit="1" customWidth="1"/>
    <col min="9741" max="9741" width="15.42578125" style="101" bestFit="1" customWidth="1"/>
    <col min="9742" max="9984" width="11.42578125" style="101"/>
    <col min="9985" max="9985" width="12.28515625" style="101" customWidth="1"/>
    <col min="9986" max="9986" width="13.7109375" style="101" customWidth="1"/>
    <col min="9987" max="9987" width="11.42578125" style="101"/>
    <col min="9988" max="9988" width="12.5703125" style="101" customWidth="1"/>
    <col min="9989" max="9990" width="11.42578125" style="101"/>
    <col min="9991" max="9992" width="9.28515625" style="101" customWidth="1"/>
    <col min="9993" max="9994" width="11.42578125" style="101"/>
    <col min="9995" max="9995" width="11.5703125" style="101" bestFit="1" customWidth="1"/>
    <col min="9996" max="9996" width="13.85546875" style="101" bestFit="1" customWidth="1"/>
    <col min="9997" max="9997" width="15.42578125" style="101" bestFit="1" customWidth="1"/>
    <col min="9998" max="10240" width="11.42578125" style="101"/>
    <col min="10241" max="10241" width="12.28515625" style="101" customWidth="1"/>
    <col min="10242" max="10242" width="13.7109375" style="101" customWidth="1"/>
    <col min="10243" max="10243" width="11.42578125" style="101"/>
    <col min="10244" max="10244" width="12.5703125" style="101" customWidth="1"/>
    <col min="10245" max="10246" width="11.42578125" style="101"/>
    <col min="10247" max="10248" width="9.28515625" style="101" customWidth="1"/>
    <col min="10249" max="10250" width="11.42578125" style="101"/>
    <col min="10251" max="10251" width="11.5703125" style="101" bestFit="1" customWidth="1"/>
    <col min="10252" max="10252" width="13.85546875" style="101" bestFit="1" customWidth="1"/>
    <col min="10253" max="10253" width="15.42578125" style="101" bestFit="1" customWidth="1"/>
    <col min="10254" max="10496" width="11.42578125" style="101"/>
    <col min="10497" max="10497" width="12.28515625" style="101" customWidth="1"/>
    <col min="10498" max="10498" width="13.7109375" style="101" customWidth="1"/>
    <col min="10499" max="10499" width="11.42578125" style="101"/>
    <col min="10500" max="10500" width="12.5703125" style="101" customWidth="1"/>
    <col min="10501" max="10502" width="11.42578125" style="101"/>
    <col min="10503" max="10504" width="9.28515625" style="101" customWidth="1"/>
    <col min="10505" max="10506" width="11.42578125" style="101"/>
    <col min="10507" max="10507" width="11.5703125" style="101" bestFit="1" customWidth="1"/>
    <col min="10508" max="10508" width="13.85546875" style="101" bestFit="1" customWidth="1"/>
    <col min="10509" max="10509" width="15.42578125" style="101" bestFit="1" customWidth="1"/>
    <col min="10510" max="10752" width="11.42578125" style="101"/>
    <col min="10753" max="10753" width="12.28515625" style="101" customWidth="1"/>
    <col min="10754" max="10754" width="13.7109375" style="101" customWidth="1"/>
    <col min="10755" max="10755" width="11.42578125" style="101"/>
    <col min="10756" max="10756" width="12.5703125" style="101" customWidth="1"/>
    <col min="10757" max="10758" width="11.42578125" style="101"/>
    <col min="10759" max="10760" width="9.28515625" style="101" customWidth="1"/>
    <col min="10761" max="10762" width="11.42578125" style="101"/>
    <col min="10763" max="10763" width="11.5703125" style="101" bestFit="1" customWidth="1"/>
    <col min="10764" max="10764" width="13.85546875" style="101" bestFit="1" customWidth="1"/>
    <col min="10765" max="10765" width="15.42578125" style="101" bestFit="1" customWidth="1"/>
    <col min="10766" max="11008" width="11.42578125" style="101"/>
    <col min="11009" max="11009" width="12.28515625" style="101" customWidth="1"/>
    <col min="11010" max="11010" width="13.7109375" style="101" customWidth="1"/>
    <col min="11011" max="11011" width="11.42578125" style="101"/>
    <col min="11012" max="11012" width="12.5703125" style="101" customWidth="1"/>
    <col min="11013" max="11014" width="11.42578125" style="101"/>
    <col min="11015" max="11016" width="9.28515625" style="101" customWidth="1"/>
    <col min="11017" max="11018" width="11.42578125" style="101"/>
    <col min="11019" max="11019" width="11.5703125" style="101" bestFit="1" customWidth="1"/>
    <col min="11020" max="11020" width="13.85546875" style="101" bestFit="1" customWidth="1"/>
    <col min="11021" max="11021" width="15.42578125" style="101" bestFit="1" customWidth="1"/>
    <col min="11022" max="11264" width="11.42578125" style="101"/>
    <col min="11265" max="11265" width="12.28515625" style="101" customWidth="1"/>
    <col min="11266" max="11266" width="13.7109375" style="101" customWidth="1"/>
    <col min="11267" max="11267" width="11.42578125" style="101"/>
    <col min="11268" max="11268" width="12.5703125" style="101" customWidth="1"/>
    <col min="11269" max="11270" width="11.42578125" style="101"/>
    <col min="11271" max="11272" width="9.28515625" style="101" customWidth="1"/>
    <col min="11273" max="11274" width="11.42578125" style="101"/>
    <col min="11275" max="11275" width="11.5703125" style="101" bestFit="1" customWidth="1"/>
    <col min="11276" max="11276" width="13.85546875" style="101" bestFit="1" customWidth="1"/>
    <col min="11277" max="11277" width="15.42578125" style="101" bestFit="1" customWidth="1"/>
    <col min="11278" max="11520" width="11.42578125" style="101"/>
    <col min="11521" max="11521" width="12.28515625" style="101" customWidth="1"/>
    <col min="11522" max="11522" width="13.7109375" style="101" customWidth="1"/>
    <col min="11523" max="11523" width="11.42578125" style="101"/>
    <col min="11524" max="11524" width="12.5703125" style="101" customWidth="1"/>
    <col min="11525" max="11526" width="11.42578125" style="101"/>
    <col min="11527" max="11528" width="9.28515625" style="101" customWidth="1"/>
    <col min="11529" max="11530" width="11.42578125" style="101"/>
    <col min="11531" max="11531" width="11.5703125" style="101" bestFit="1" customWidth="1"/>
    <col min="11532" max="11532" width="13.85546875" style="101" bestFit="1" customWidth="1"/>
    <col min="11533" max="11533" width="15.42578125" style="101" bestFit="1" customWidth="1"/>
    <col min="11534" max="11776" width="11.42578125" style="101"/>
    <col min="11777" max="11777" width="12.28515625" style="101" customWidth="1"/>
    <col min="11778" max="11778" width="13.7109375" style="101" customWidth="1"/>
    <col min="11779" max="11779" width="11.42578125" style="101"/>
    <col min="11780" max="11780" width="12.5703125" style="101" customWidth="1"/>
    <col min="11781" max="11782" width="11.42578125" style="101"/>
    <col min="11783" max="11784" width="9.28515625" style="101" customWidth="1"/>
    <col min="11785" max="11786" width="11.42578125" style="101"/>
    <col min="11787" max="11787" width="11.5703125" style="101" bestFit="1" customWidth="1"/>
    <col min="11788" max="11788" width="13.85546875" style="101" bestFit="1" customWidth="1"/>
    <col min="11789" max="11789" width="15.42578125" style="101" bestFit="1" customWidth="1"/>
    <col min="11790" max="12032" width="11.42578125" style="101"/>
    <col min="12033" max="12033" width="12.28515625" style="101" customWidth="1"/>
    <col min="12034" max="12034" width="13.7109375" style="101" customWidth="1"/>
    <col min="12035" max="12035" width="11.42578125" style="101"/>
    <col min="12036" max="12036" width="12.5703125" style="101" customWidth="1"/>
    <col min="12037" max="12038" width="11.42578125" style="101"/>
    <col min="12039" max="12040" width="9.28515625" style="101" customWidth="1"/>
    <col min="12041" max="12042" width="11.42578125" style="101"/>
    <col min="12043" max="12043" width="11.5703125" style="101" bestFit="1" customWidth="1"/>
    <col min="12044" max="12044" width="13.85546875" style="101" bestFit="1" customWidth="1"/>
    <col min="12045" max="12045" width="15.42578125" style="101" bestFit="1" customWidth="1"/>
    <col min="12046" max="12288" width="11.42578125" style="101"/>
    <col min="12289" max="12289" width="12.28515625" style="101" customWidth="1"/>
    <col min="12290" max="12290" width="13.7109375" style="101" customWidth="1"/>
    <col min="12291" max="12291" width="11.42578125" style="101"/>
    <col min="12292" max="12292" width="12.5703125" style="101" customWidth="1"/>
    <col min="12293" max="12294" width="11.42578125" style="101"/>
    <col min="12295" max="12296" width="9.28515625" style="101" customWidth="1"/>
    <col min="12297" max="12298" width="11.42578125" style="101"/>
    <col min="12299" max="12299" width="11.5703125" style="101" bestFit="1" customWidth="1"/>
    <col min="12300" max="12300" width="13.85546875" style="101" bestFit="1" customWidth="1"/>
    <col min="12301" max="12301" width="15.42578125" style="101" bestFit="1" customWidth="1"/>
    <col min="12302" max="12544" width="11.42578125" style="101"/>
    <col min="12545" max="12545" width="12.28515625" style="101" customWidth="1"/>
    <col min="12546" max="12546" width="13.7109375" style="101" customWidth="1"/>
    <col min="12547" max="12547" width="11.42578125" style="101"/>
    <col min="12548" max="12548" width="12.5703125" style="101" customWidth="1"/>
    <col min="12549" max="12550" width="11.42578125" style="101"/>
    <col min="12551" max="12552" width="9.28515625" style="101" customWidth="1"/>
    <col min="12553" max="12554" width="11.42578125" style="101"/>
    <col min="12555" max="12555" width="11.5703125" style="101" bestFit="1" customWidth="1"/>
    <col min="12556" max="12556" width="13.85546875" style="101" bestFit="1" customWidth="1"/>
    <col min="12557" max="12557" width="15.42578125" style="101" bestFit="1" customWidth="1"/>
    <col min="12558" max="12800" width="11.42578125" style="101"/>
    <col min="12801" max="12801" width="12.28515625" style="101" customWidth="1"/>
    <col min="12802" max="12802" width="13.7109375" style="101" customWidth="1"/>
    <col min="12803" max="12803" width="11.42578125" style="101"/>
    <col min="12804" max="12804" width="12.5703125" style="101" customWidth="1"/>
    <col min="12805" max="12806" width="11.42578125" style="101"/>
    <col min="12807" max="12808" width="9.28515625" style="101" customWidth="1"/>
    <col min="12809" max="12810" width="11.42578125" style="101"/>
    <col min="12811" max="12811" width="11.5703125" style="101" bestFit="1" customWidth="1"/>
    <col min="12812" max="12812" width="13.85546875" style="101" bestFit="1" customWidth="1"/>
    <col min="12813" max="12813" width="15.42578125" style="101" bestFit="1" customWidth="1"/>
    <col min="12814" max="13056" width="11.42578125" style="101"/>
    <col min="13057" max="13057" width="12.28515625" style="101" customWidth="1"/>
    <col min="13058" max="13058" width="13.7109375" style="101" customWidth="1"/>
    <col min="13059" max="13059" width="11.42578125" style="101"/>
    <col min="13060" max="13060" width="12.5703125" style="101" customWidth="1"/>
    <col min="13061" max="13062" width="11.42578125" style="101"/>
    <col min="13063" max="13064" width="9.28515625" style="101" customWidth="1"/>
    <col min="13065" max="13066" width="11.42578125" style="101"/>
    <col min="13067" max="13067" width="11.5703125" style="101" bestFit="1" customWidth="1"/>
    <col min="13068" max="13068" width="13.85546875" style="101" bestFit="1" customWidth="1"/>
    <col min="13069" max="13069" width="15.42578125" style="101" bestFit="1" customWidth="1"/>
    <col min="13070" max="13312" width="11.42578125" style="101"/>
    <col min="13313" max="13313" width="12.28515625" style="101" customWidth="1"/>
    <col min="13314" max="13314" width="13.7109375" style="101" customWidth="1"/>
    <col min="13315" max="13315" width="11.42578125" style="101"/>
    <col min="13316" max="13316" width="12.5703125" style="101" customWidth="1"/>
    <col min="13317" max="13318" width="11.42578125" style="101"/>
    <col min="13319" max="13320" width="9.28515625" style="101" customWidth="1"/>
    <col min="13321" max="13322" width="11.42578125" style="101"/>
    <col min="13323" max="13323" width="11.5703125" style="101" bestFit="1" customWidth="1"/>
    <col min="13324" max="13324" width="13.85546875" style="101" bestFit="1" customWidth="1"/>
    <col min="13325" max="13325" width="15.42578125" style="101" bestFit="1" customWidth="1"/>
    <col min="13326" max="13568" width="11.42578125" style="101"/>
    <col min="13569" max="13569" width="12.28515625" style="101" customWidth="1"/>
    <col min="13570" max="13570" width="13.7109375" style="101" customWidth="1"/>
    <col min="13571" max="13571" width="11.42578125" style="101"/>
    <col min="13572" max="13572" width="12.5703125" style="101" customWidth="1"/>
    <col min="13573" max="13574" width="11.42578125" style="101"/>
    <col min="13575" max="13576" width="9.28515625" style="101" customWidth="1"/>
    <col min="13577" max="13578" width="11.42578125" style="101"/>
    <col min="13579" max="13579" width="11.5703125" style="101" bestFit="1" customWidth="1"/>
    <col min="13580" max="13580" width="13.85546875" style="101" bestFit="1" customWidth="1"/>
    <col min="13581" max="13581" width="15.42578125" style="101" bestFit="1" customWidth="1"/>
    <col min="13582" max="13824" width="11.42578125" style="101"/>
    <col min="13825" max="13825" width="12.28515625" style="101" customWidth="1"/>
    <col min="13826" max="13826" width="13.7109375" style="101" customWidth="1"/>
    <col min="13827" max="13827" width="11.42578125" style="101"/>
    <col min="13828" max="13828" width="12.5703125" style="101" customWidth="1"/>
    <col min="13829" max="13830" width="11.42578125" style="101"/>
    <col min="13831" max="13832" width="9.28515625" style="101" customWidth="1"/>
    <col min="13833" max="13834" width="11.42578125" style="101"/>
    <col min="13835" max="13835" width="11.5703125" style="101" bestFit="1" customWidth="1"/>
    <col min="13836" max="13836" width="13.85546875" style="101" bestFit="1" customWidth="1"/>
    <col min="13837" max="13837" width="15.42578125" style="101" bestFit="1" customWidth="1"/>
    <col min="13838" max="14080" width="11.42578125" style="101"/>
    <col min="14081" max="14081" width="12.28515625" style="101" customWidth="1"/>
    <col min="14082" max="14082" width="13.7109375" style="101" customWidth="1"/>
    <col min="14083" max="14083" width="11.42578125" style="101"/>
    <col min="14084" max="14084" width="12.5703125" style="101" customWidth="1"/>
    <col min="14085" max="14086" width="11.42578125" style="101"/>
    <col min="14087" max="14088" width="9.28515625" style="101" customWidth="1"/>
    <col min="14089" max="14090" width="11.42578125" style="101"/>
    <col min="14091" max="14091" width="11.5703125" style="101" bestFit="1" customWidth="1"/>
    <col min="14092" max="14092" width="13.85546875" style="101" bestFit="1" customWidth="1"/>
    <col min="14093" max="14093" width="15.42578125" style="101" bestFit="1" customWidth="1"/>
    <col min="14094" max="14336" width="11.42578125" style="101"/>
    <col min="14337" max="14337" width="12.28515625" style="101" customWidth="1"/>
    <col min="14338" max="14338" width="13.7109375" style="101" customWidth="1"/>
    <col min="14339" max="14339" width="11.42578125" style="101"/>
    <col min="14340" max="14340" width="12.5703125" style="101" customWidth="1"/>
    <col min="14341" max="14342" width="11.42578125" style="101"/>
    <col min="14343" max="14344" width="9.28515625" style="101" customWidth="1"/>
    <col min="14345" max="14346" width="11.42578125" style="101"/>
    <col min="14347" max="14347" width="11.5703125" style="101" bestFit="1" customWidth="1"/>
    <col min="14348" max="14348" width="13.85546875" style="101" bestFit="1" customWidth="1"/>
    <col min="14349" max="14349" width="15.42578125" style="101" bestFit="1" customWidth="1"/>
    <col min="14350" max="14592" width="11.42578125" style="101"/>
    <col min="14593" max="14593" width="12.28515625" style="101" customWidth="1"/>
    <col min="14594" max="14594" width="13.7109375" style="101" customWidth="1"/>
    <col min="14595" max="14595" width="11.42578125" style="101"/>
    <col min="14596" max="14596" width="12.5703125" style="101" customWidth="1"/>
    <col min="14597" max="14598" width="11.42578125" style="101"/>
    <col min="14599" max="14600" width="9.28515625" style="101" customWidth="1"/>
    <col min="14601" max="14602" width="11.42578125" style="101"/>
    <col min="14603" max="14603" width="11.5703125" style="101" bestFit="1" customWidth="1"/>
    <col min="14604" max="14604" width="13.85546875" style="101" bestFit="1" customWidth="1"/>
    <col min="14605" max="14605" width="15.42578125" style="101" bestFit="1" customWidth="1"/>
    <col min="14606" max="14848" width="11.42578125" style="101"/>
    <col min="14849" max="14849" width="12.28515625" style="101" customWidth="1"/>
    <col min="14850" max="14850" width="13.7109375" style="101" customWidth="1"/>
    <col min="14851" max="14851" width="11.42578125" style="101"/>
    <col min="14852" max="14852" width="12.5703125" style="101" customWidth="1"/>
    <col min="14853" max="14854" width="11.42578125" style="101"/>
    <col min="14855" max="14856" width="9.28515625" style="101" customWidth="1"/>
    <col min="14857" max="14858" width="11.42578125" style="101"/>
    <col min="14859" max="14859" width="11.5703125" style="101" bestFit="1" customWidth="1"/>
    <col min="14860" max="14860" width="13.85546875" style="101" bestFit="1" customWidth="1"/>
    <col min="14861" max="14861" width="15.42578125" style="101" bestFit="1" customWidth="1"/>
    <col min="14862" max="15104" width="11.42578125" style="101"/>
    <col min="15105" max="15105" width="12.28515625" style="101" customWidth="1"/>
    <col min="15106" max="15106" width="13.7109375" style="101" customWidth="1"/>
    <col min="15107" max="15107" width="11.42578125" style="101"/>
    <col min="15108" max="15108" width="12.5703125" style="101" customWidth="1"/>
    <col min="15109" max="15110" width="11.42578125" style="101"/>
    <col min="15111" max="15112" width="9.28515625" style="101" customWidth="1"/>
    <col min="15113" max="15114" width="11.42578125" style="101"/>
    <col min="15115" max="15115" width="11.5703125" style="101" bestFit="1" customWidth="1"/>
    <col min="15116" max="15116" width="13.85546875" style="101" bestFit="1" customWidth="1"/>
    <col min="15117" max="15117" width="15.42578125" style="101" bestFit="1" customWidth="1"/>
    <col min="15118" max="15360" width="11.42578125" style="101"/>
    <col min="15361" max="15361" width="12.28515625" style="101" customWidth="1"/>
    <col min="15362" max="15362" width="13.7109375" style="101" customWidth="1"/>
    <col min="15363" max="15363" width="11.42578125" style="101"/>
    <col min="15364" max="15364" width="12.5703125" style="101" customWidth="1"/>
    <col min="15365" max="15366" width="11.42578125" style="101"/>
    <col min="15367" max="15368" width="9.28515625" style="101" customWidth="1"/>
    <col min="15369" max="15370" width="11.42578125" style="101"/>
    <col min="15371" max="15371" width="11.5703125" style="101" bestFit="1" customWidth="1"/>
    <col min="15372" max="15372" width="13.85546875" style="101" bestFit="1" customWidth="1"/>
    <col min="15373" max="15373" width="15.42578125" style="101" bestFit="1" customWidth="1"/>
    <col min="15374" max="15616" width="11.42578125" style="101"/>
    <col min="15617" max="15617" width="12.28515625" style="101" customWidth="1"/>
    <col min="15618" max="15618" width="13.7109375" style="101" customWidth="1"/>
    <col min="15619" max="15619" width="11.42578125" style="101"/>
    <col min="15620" max="15620" width="12.5703125" style="101" customWidth="1"/>
    <col min="15621" max="15622" width="11.42578125" style="101"/>
    <col min="15623" max="15624" width="9.28515625" style="101" customWidth="1"/>
    <col min="15625" max="15626" width="11.42578125" style="101"/>
    <col min="15627" max="15627" width="11.5703125" style="101" bestFit="1" customWidth="1"/>
    <col min="15628" max="15628" width="13.85546875" style="101" bestFit="1" customWidth="1"/>
    <col min="15629" max="15629" width="15.42578125" style="101" bestFit="1" customWidth="1"/>
    <col min="15630" max="15872" width="11.42578125" style="101"/>
    <col min="15873" max="15873" width="12.28515625" style="101" customWidth="1"/>
    <col min="15874" max="15874" width="13.7109375" style="101" customWidth="1"/>
    <col min="15875" max="15875" width="11.42578125" style="101"/>
    <col min="15876" max="15876" width="12.5703125" style="101" customWidth="1"/>
    <col min="15877" max="15878" width="11.42578125" style="101"/>
    <col min="15879" max="15880" width="9.28515625" style="101" customWidth="1"/>
    <col min="15881" max="15882" width="11.42578125" style="101"/>
    <col min="15883" max="15883" width="11.5703125" style="101" bestFit="1" customWidth="1"/>
    <col min="15884" max="15884" width="13.85546875" style="101" bestFit="1" customWidth="1"/>
    <col min="15885" max="15885" width="15.42578125" style="101" bestFit="1" customWidth="1"/>
    <col min="15886" max="16128" width="11.42578125" style="101"/>
    <col min="16129" max="16129" width="12.28515625" style="101" customWidth="1"/>
    <col min="16130" max="16130" width="13.7109375" style="101" customWidth="1"/>
    <col min="16131" max="16131" width="11.42578125" style="101"/>
    <col min="16132" max="16132" width="12.5703125" style="101" customWidth="1"/>
    <col min="16133" max="16134" width="11.42578125" style="101"/>
    <col min="16135" max="16136" width="9.28515625" style="101" customWidth="1"/>
    <col min="16137" max="16138" width="11.42578125" style="101"/>
    <col min="16139" max="16139" width="11.5703125" style="101" bestFit="1" customWidth="1"/>
    <col min="16140" max="16140" width="13.85546875" style="101" bestFit="1" customWidth="1"/>
    <col min="16141" max="16141" width="15.42578125" style="101" bestFit="1" customWidth="1"/>
    <col min="16142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279</v>
      </c>
      <c r="H11" s="395"/>
    </row>
    <row r="12" spans="1:8" ht="13.5" thickBot="1" x14ac:dyDescent="0.25"/>
    <row r="13" spans="1:8" ht="49.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13.5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2" x14ac:dyDescent="0.2">
      <c r="A17" s="491" t="s">
        <v>387</v>
      </c>
      <c r="B17" s="528" t="s">
        <v>388</v>
      </c>
      <c r="C17" s="529"/>
      <c r="D17" s="529"/>
      <c r="E17" s="529"/>
      <c r="F17" s="530"/>
      <c r="G17" s="491" t="s">
        <v>216</v>
      </c>
      <c r="H17" s="493" t="s">
        <v>159</v>
      </c>
    </row>
    <row r="18" spans="1:12" ht="13.5" thickBot="1" x14ac:dyDescent="0.25">
      <c r="A18" s="492"/>
      <c r="B18" s="544"/>
      <c r="C18" s="545"/>
      <c r="D18" s="545"/>
      <c r="E18" s="545"/>
      <c r="F18" s="546"/>
      <c r="G18" s="492"/>
      <c r="H18" s="492"/>
    </row>
    <row r="19" spans="1:12" x14ac:dyDescent="0.2">
      <c r="A19" s="109" t="s">
        <v>217</v>
      </c>
    </row>
    <row r="20" spans="1:12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2" x14ac:dyDescent="0.2">
      <c r="A21" s="427" t="s">
        <v>389</v>
      </c>
      <c r="B21" s="428"/>
      <c r="C21" s="388">
        <v>680000</v>
      </c>
      <c r="D21" s="388"/>
      <c r="E21" s="389">
        <v>4.38</v>
      </c>
      <c r="F21" s="389"/>
      <c r="G21" s="388">
        <f>+C21/E21</f>
        <v>155251.14155251143</v>
      </c>
      <c r="H21" s="388"/>
    </row>
    <row r="22" spans="1:12" ht="12.75" customHeight="1" x14ac:dyDescent="0.2">
      <c r="A22" s="375" t="s">
        <v>402</v>
      </c>
      <c r="B22" s="376"/>
      <c r="C22" s="388">
        <v>180000</v>
      </c>
      <c r="D22" s="388"/>
      <c r="E22" s="389">
        <v>4.38</v>
      </c>
      <c r="F22" s="389"/>
      <c r="G22" s="388">
        <f t="shared" ref="G22:G23" si="0">+C22/E22</f>
        <v>41095.890410958906</v>
      </c>
      <c r="H22" s="388"/>
    </row>
    <row r="23" spans="1:12" x14ac:dyDescent="0.2">
      <c r="A23" s="427" t="s">
        <v>479</v>
      </c>
      <c r="B23" s="428"/>
      <c r="C23" s="388">
        <v>200000</v>
      </c>
      <c r="D23" s="388"/>
      <c r="E23" s="389">
        <v>4.38</v>
      </c>
      <c r="F23" s="389"/>
      <c r="G23" s="388">
        <f t="shared" si="0"/>
        <v>45662.100456621003</v>
      </c>
      <c r="H23" s="388"/>
    </row>
    <row r="24" spans="1:12" x14ac:dyDescent="0.2">
      <c r="A24" s="427" t="s">
        <v>354</v>
      </c>
      <c r="B24" s="428"/>
      <c r="C24" s="390"/>
      <c r="D24" s="391"/>
      <c r="E24" s="389"/>
      <c r="F24" s="389"/>
      <c r="G24" s="388">
        <v>3924</v>
      </c>
      <c r="H24" s="388"/>
    </row>
    <row r="25" spans="1:12" x14ac:dyDescent="0.2">
      <c r="C25" s="478" t="s">
        <v>225</v>
      </c>
      <c r="D25" s="478"/>
      <c r="E25" s="478"/>
      <c r="F25" s="478"/>
      <c r="G25" s="452">
        <f>SUM(G21:G24)</f>
        <v>245933.13242009134</v>
      </c>
      <c r="H25" s="452"/>
      <c r="K25" s="179"/>
      <c r="L25" s="179"/>
    </row>
    <row r="26" spans="1:12" x14ac:dyDescent="0.2">
      <c r="C26" s="110"/>
      <c r="D26" s="110"/>
      <c r="E26" s="110"/>
      <c r="F26" s="110"/>
      <c r="G26" s="111"/>
      <c r="H26" s="111"/>
      <c r="L26" s="179"/>
    </row>
    <row r="27" spans="1:12" x14ac:dyDescent="0.2">
      <c r="A27" s="109" t="s">
        <v>226</v>
      </c>
      <c r="L27" s="179"/>
    </row>
    <row r="28" spans="1:12" x14ac:dyDescent="0.2">
      <c r="A28" s="480" t="s">
        <v>1</v>
      </c>
      <c r="B28" s="480"/>
      <c r="C28" s="112" t="s">
        <v>227</v>
      </c>
      <c r="D28" s="112" t="s">
        <v>228</v>
      </c>
      <c r="E28" s="480" t="s">
        <v>3</v>
      </c>
      <c r="F28" s="480"/>
      <c r="G28" s="480" t="s">
        <v>220</v>
      </c>
      <c r="H28" s="480"/>
      <c r="L28" s="179"/>
    </row>
    <row r="29" spans="1:12" x14ac:dyDescent="0.2">
      <c r="A29" s="427" t="s">
        <v>344</v>
      </c>
      <c r="B29" s="428"/>
      <c r="C29" s="125" t="s">
        <v>154</v>
      </c>
      <c r="D29" s="125">
        <v>2900</v>
      </c>
      <c r="E29" s="389">
        <v>7.88</v>
      </c>
      <c r="F29" s="389"/>
      <c r="G29" s="390">
        <f>+D29*E29</f>
        <v>22852</v>
      </c>
      <c r="H29" s="391"/>
    </row>
    <row r="30" spans="1:12" x14ac:dyDescent="0.2">
      <c r="A30" s="427" t="s">
        <v>390</v>
      </c>
      <c r="B30" s="428"/>
      <c r="C30" s="125" t="s">
        <v>159</v>
      </c>
      <c r="D30" s="125">
        <v>17000</v>
      </c>
      <c r="E30" s="389">
        <v>1</v>
      </c>
      <c r="F30" s="389"/>
      <c r="G30" s="390">
        <f t="shared" ref="G30:G37" si="1">+D30*E30</f>
        <v>17000</v>
      </c>
      <c r="H30" s="391"/>
    </row>
    <row r="31" spans="1:12" x14ac:dyDescent="0.2">
      <c r="A31" s="427" t="s">
        <v>391</v>
      </c>
      <c r="B31" s="428"/>
      <c r="C31" s="125" t="s">
        <v>159</v>
      </c>
      <c r="D31" s="125">
        <v>102454</v>
      </c>
      <c r="E31" s="389">
        <v>0.48</v>
      </c>
      <c r="F31" s="389"/>
      <c r="G31" s="390">
        <f t="shared" si="1"/>
        <v>49177.919999999998</v>
      </c>
      <c r="H31" s="391"/>
    </row>
    <row r="32" spans="1:12" x14ac:dyDescent="0.2">
      <c r="A32" s="427" t="s">
        <v>392</v>
      </c>
      <c r="B32" s="428"/>
      <c r="C32" s="125" t="s">
        <v>159</v>
      </c>
      <c r="D32" s="125">
        <v>10450</v>
      </c>
      <c r="E32" s="389">
        <v>4</v>
      </c>
      <c r="F32" s="389"/>
      <c r="G32" s="390">
        <f t="shared" si="1"/>
        <v>41800</v>
      </c>
      <c r="H32" s="391"/>
    </row>
    <row r="33" spans="1:13" x14ac:dyDescent="0.2">
      <c r="A33" s="427" t="s">
        <v>393</v>
      </c>
      <c r="B33" s="428"/>
      <c r="C33" s="125" t="s">
        <v>182</v>
      </c>
      <c r="D33" s="125">
        <v>192500</v>
      </c>
      <c r="E33" s="389">
        <v>0.04</v>
      </c>
      <c r="F33" s="389"/>
      <c r="G33" s="390">
        <f t="shared" si="1"/>
        <v>7700</v>
      </c>
      <c r="H33" s="391"/>
    </row>
    <row r="34" spans="1:13" x14ac:dyDescent="0.2">
      <c r="A34" s="427" t="s">
        <v>394</v>
      </c>
      <c r="B34" s="428"/>
      <c r="C34" s="125" t="s">
        <v>152</v>
      </c>
      <c r="D34" s="125">
        <v>570000</v>
      </c>
      <c r="E34" s="389">
        <v>0.12</v>
      </c>
      <c r="F34" s="389"/>
      <c r="G34" s="390">
        <f t="shared" si="1"/>
        <v>68400</v>
      </c>
      <c r="H34" s="391"/>
    </row>
    <row r="35" spans="1:13" x14ac:dyDescent="0.2">
      <c r="A35" s="427" t="s">
        <v>395</v>
      </c>
      <c r="B35" s="428"/>
      <c r="C35" s="125" t="s">
        <v>159</v>
      </c>
      <c r="D35" s="125">
        <v>3800</v>
      </c>
      <c r="E35" s="389">
        <v>1</v>
      </c>
      <c r="F35" s="389"/>
      <c r="G35" s="390">
        <f t="shared" si="1"/>
        <v>3800</v>
      </c>
      <c r="H35" s="391"/>
    </row>
    <row r="36" spans="1:13" x14ac:dyDescent="0.2">
      <c r="A36" s="427" t="s">
        <v>396</v>
      </c>
      <c r="B36" s="428"/>
      <c r="C36" s="125" t="s">
        <v>159</v>
      </c>
      <c r="D36" s="125">
        <v>13000</v>
      </c>
      <c r="E36" s="389">
        <v>1</v>
      </c>
      <c r="F36" s="389"/>
      <c r="G36" s="390">
        <f t="shared" si="1"/>
        <v>13000</v>
      </c>
      <c r="H36" s="391"/>
    </row>
    <row r="37" spans="1:13" ht="27" customHeight="1" x14ac:dyDescent="0.2">
      <c r="A37" s="427" t="s">
        <v>397</v>
      </c>
      <c r="B37" s="428"/>
      <c r="C37" s="124" t="s">
        <v>159</v>
      </c>
      <c r="D37" s="125">
        <v>4300</v>
      </c>
      <c r="E37" s="506">
        <v>0.48</v>
      </c>
      <c r="F37" s="507"/>
      <c r="G37" s="390">
        <f t="shared" si="1"/>
        <v>2064</v>
      </c>
      <c r="H37" s="391"/>
    </row>
    <row r="38" spans="1:13" x14ac:dyDescent="0.2">
      <c r="A38" s="115"/>
      <c r="B38" s="115"/>
      <c r="C38" s="478" t="s">
        <v>225</v>
      </c>
      <c r="D38" s="478"/>
      <c r="E38" s="478"/>
      <c r="F38" s="478"/>
      <c r="G38" s="452">
        <f>SUM(G29:G37)</f>
        <v>225793.91999999998</v>
      </c>
      <c r="H38" s="452"/>
    </row>
    <row r="40" spans="1:13" ht="15" x14ac:dyDescent="0.25">
      <c r="A40" s="109" t="s">
        <v>256</v>
      </c>
      <c r="L40" s="180"/>
      <c r="M40" s="180"/>
    </row>
    <row r="41" spans="1:13" x14ac:dyDescent="0.2">
      <c r="A41" s="480" t="s">
        <v>233</v>
      </c>
      <c r="B41" s="480"/>
      <c r="C41" s="112" t="s">
        <v>234</v>
      </c>
      <c r="D41" s="116" t="s">
        <v>235</v>
      </c>
      <c r="E41" s="480" t="s">
        <v>236</v>
      </c>
      <c r="F41" s="480"/>
      <c r="G41" s="480" t="s">
        <v>220</v>
      </c>
      <c r="H41" s="480"/>
    </row>
    <row r="42" spans="1:13" x14ac:dyDescent="0.2">
      <c r="A42" s="482" t="s">
        <v>481</v>
      </c>
      <c r="B42" s="482"/>
      <c r="C42" s="118">
        <v>1</v>
      </c>
      <c r="D42" s="118">
        <v>50</v>
      </c>
      <c r="E42" s="452">
        <v>1000</v>
      </c>
      <c r="F42" s="452"/>
      <c r="G42" s="452">
        <f>+C42*D42*E42</f>
        <v>50000</v>
      </c>
      <c r="H42" s="452"/>
    </row>
    <row r="43" spans="1:13" x14ac:dyDescent="0.2">
      <c r="A43" s="482"/>
      <c r="B43" s="482"/>
      <c r="C43" s="118"/>
      <c r="D43" s="118"/>
      <c r="E43" s="452"/>
      <c r="F43" s="452"/>
      <c r="G43" s="452"/>
      <c r="H43" s="452"/>
    </row>
    <row r="44" spans="1:13" x14ac:dyDescent="0.2">
      <c r="A44" s="482"/>
      <c r="B44" s="482"/>
      <c r="C44" s="118"/>
      <c r="D44" s="118"/>
      <c r="E44" s="452"/>
      <c r="F44" s="452"/>
      <c r="G44" s="452"/>
      <c r="H44" s="452"/>
    </row>
    <row r="45" spans="1:13" x14ac:dyDescent="0.2">
      <c r="A45" s="115"/>
      <c r="B45" s="115"/>
      <c r="C45" s="478" t="s">
        <v>225</v>
      </c>
      <c r="D45" s="478"/>
      <c r="E45" s="478"/>
      <c r="F45" s="478"/>
      <c r="G45" s="452">
        <f>SUM(G42:H44)</f>
        <v>50000</v>
      </c>
      <c r="H45" s="452"/>
    </row>
    <row r="46" spans="1:13" ht="15" x14ac:dyDescent="0.25">
      <c r="L46" s="180"/>
      <c r="M46" s="180"/>
    </row>
    <row r="47" spans="1:13" x14ac:dyDescent="0.2">
      <c r="A47" s="109" t="s">
        <v>257</v>
      </c>
    </row>
    <row r="48" spans="1:13" x14ac:dyDescent="0.2">
      <c r="A48" s="480" t="s">
        <v>238</v>
      </c>
      <c r="B48" s="480"/>
      <c r="C48" s="128" t="s">
        <v>239</v>
      </c>
      <c r="D48" s="116" t="s">
        <v>240</v>
      </c>
      <c r="E48" s="119" t="s">
        <v>241</v>
      </c>
      <c r="F48" s="120" t="s">
        <v>219</v>
      </c>
      <c r="G48" s="480" t="s">
        <v>220</v>
      </c>
      <c r="H48" s="480"/>
    </row>
    <row r="49" spans="1:8" x14ac:dyDescent="0.2">
      <c r="A49" s="450" t="s">
        <v>314</v>
      </c>
      <c r="B49" s="451"/>
      <c r="C49" s="121">
        <f>35000*4</f>
        <v>140000</v>
      </c>
      <c r="D49" s="117">
        <v>1.85</v>
      </c>
      <c r="E49" s="121">
        <v>162800</v>
      </c>
      <c r="F49" s="182">
        <v>14.5</v>
      </c>
      <c r="G49" s="452">
        <f>+E49/F49</f>
        <v>11227.586206896553</v>
      </c>
      <c r="H49" s="452"/>
    </row>
    <row r="50" spans="1:8" x14ac:dyDescent="0.2">
      <c r="A50" s="450" t="s">
        <v>466</v>
      </c>
      <c r="B50" s="451"/>
      <c r="C50" s="181">
        <v>60000</v>
      </c>
      <c r="D50" s="117">
        <v>1.85</v>
      </c>
      <c r="E50" s="121">
        <v>129500</v>
      </c>
      <c r="F50" s="182">
        <v>14.5</v>
      </c>
      <c r="G50" s="623">
        <f>+E50/F50</f>
        <v>8931.0344827586214</v>
      </c>
      <c r="H50" s="623"/>
    </row>
    <row r="51" spans="1:8" x14ac:dyDescent="0.2">
      <c r="A51" s="482"/>
      <c r="B51" s="482"/>
      <c r="C51" s="121"/>
      <c r="D51" s="118"/>
      <c r="E51" s="121"/>
      <c r="F51" s="118"/>
      <c r="G51" s="452"/>
      <c r="H51" s="452"/>
    </row>
    <row r="52" spans="1:8" x14ac:dyDescent="0.2">
      <c r="A52" s="115"/>
      <c r="B52" s="115"/>
      <c r="C52" s="478" t="s">
        <v>225</v>
      </c>
      <c r="D52" s="478"/>
      <c r="E52" s="478"/>
      <c r="F52" s="478"/>
      <c r="G52" s="452">
        <f>+SUM(G49:H51)</f>
        <v>20158.620689655174</v>
      </c>
      <c r="H52" s="452"/>
    </row>
    <row r="55" spans="1:8" x14ac:dyDescent="0.2">
      <c r="A55" s="479" t="s">
        <v>244</v>
      </c>
      <c r="B55" s="479"/>
      <c r="C55" s="479"/>
      <c r="D55" s="479"/>
      <c r="E55" s="479"/>
      <c r="F55" s="479"/>
      <c r="G55" s="556">
        <f>ROUND(G25+G38+G45+G52,0)</f>
        <v>541886</v>
      </c>
      <c r="H55" s="556"/>
    </row>
    <row r="56" spans="1:8" x14ac:dyDescent="0.2">
      <c r="G56" s="188">
        <f>+G55</f>
        <v>541886</v>
      </c>
    </row>
  </sheetData>
  <mergeCells count="93">
    <mergeCell ref="A22:B22"/>
    <mergeCell ref="C22:D22"/>
    <mergeCell ref="E22:F22"/>
    <mergeCell ref="G22:H22"/>
    <mergeCell ref="A23:B23"/>
    <mergeCell ref="C23:D23"/>
    <mergeCell ref="E23:F23"/>
    <mergeCell ref="G23:H23"/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4:B24"/>
    <mergeCell ref="C24:D24"/>
    <mergeCell ref="E24:F24"/>
    <mergeCell ref="G24:H24"/>
    <mergeCell ref="C25:F25"/>
    <mergeCell ref="G25:H25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A42:B42"/>
    <mergeCell ref="E42:F42"/>
    <mergeCell ref="G42:H42"/>
    <mergeCell ref="A36:B36"/>
    <mergeCell ref="E36:F36"/>
    <mergeCell ref="G36:H36"/>
    <mergeCell ref="A37:B37"/>
    <mergeCell ref="E37:F37"/>
    <mergeCell ref="G37:H37"/>
    <mergeCell ref="C38:F38"/>
    <mergeCell ref="G38:H38"/>
    <mergeCell ref="A41:B41"/>
    <mergeCell ref="E41:F41"/>
    <mergeCell ref="G41:H41"/>
    <mergeCell ref="A43:B43"/>
    <mergeCell ref="E43:F43"/>
    <mergeCell ref="G43:H43"/>
    <mergeCell ref="A44:B44"/>
    <mergeCell ref="E44:F44"/>
    <mergeCell ref="G44:H44"/>
    <mergeCell ref="C45:F45"/>
    <mergeCell ref="G45:H45"/>
    <mergeCell ref="A48:B48"/>
    <mergeCell ref="G48:H48"/>
    <mergeCell ref="A49:B49"/>
    <mergeCell ref="G49:H49"/>
    <mergeCell ref="A55:F55"/>
    <mergeCell ref="G55:H55"/>
    <mergeCell ref="A50:B50"/>
    <mergeCell ref="G50:H50"/>
    <mergeCell ref="A51:B51"/>
    <mergeCell ref="G51:H51"/>
    <mergeCell ref="C52:F52"/>
    <mergeCell ref="G52:H5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0"/>
  <sheetViews>
    <sheetView workbookViewId="0">
      <selection activeCell="G49" sqref="G49:H49"/>
    </sheetView>
  </sheetViews>
  <sheetFormatPr baseColWidth="10" defaultRowHeight="12.75" x14ac:dyDescent="0.2"/>
  <cols>
    <col min="1" max="1" width="9.28515625" style="74" customWidth="1"/>
    <col min="2" max="2" width="10.42578125" style="74" customWidth="1"/>
    <col min="3" max="3" width="10.7109375" style="74" customWidth="1"/>
    <col min="4" max="4" width="12.140625" style="74" customWidth="1"/>
    <col min="5" max="6" width="11.42578125" style="74"/>
    <col min="7" max="7" width="11.140625" style="74" customWidth="1"/>
    <col min="8" max="8" width="9.28515625" style="74" customWidth="1"/>
    <col min="9" max="256" width="11.42578125" style="74"/>
    <col min="257" max="257" width="9.28515625" style="74" customWidth="1"/>
    <col min="258" max="258" width="10.42578125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3" width="9.28515625" style="74" customWidth="1"/>
    <col min="514" max="514" width="10.42578125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69" width="9.28515625" style="74" customWidth="1"/>
    <col min="770" max="770" width="10.42578125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5" width="9.28515625" style="74" customWidth="1"/>
    <col min="1026" max="1026" width="10.42578125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1" width="9.28515625" style="74" customWidth="1"/>
    <col min="1282" max="1282" width="10.42578125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7" width="9.28515625" style="74" customWidth="1"/>
    <col min="1538" max="1538" width="10.42578125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3" width="9.28515625" style="74" customWidth="1"/>
    <col min="1794" max="1794" width="10.42578125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49" width="9.28515625" style="74" customWidth="1"/>
    <col min="2050" max="2050" width="10.42578125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5" width="9.28515625" style="74" customWidth="1"/>
    <col min="2306" max="2306" width="10.42578125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1" width="9.28515625" style="74" customWidth="1"/>
    <col min="2562" max="2562" width="10.42578125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7" width="9.28515625" style="74" customWidth="1"/>
    <col min="2818" max="2818" width="10.42578125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3" width="9.28515625" style="74" customWidth="1"/>
    <col min="3074" max="3074" width="10.42578125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29" width="9.28515625" style="74" customWidth="1"/>
    <col min="3330" max="3330" width="10.42578125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5" width="9.28515625" style="74" customWidth="1"/>
    <col min="3586" max="3586" width="10.42578125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1" width="9.28515625" style="74" customWidth="1"/>
    <col min="3842" max="3842" width="10.42578125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7" width="9.28515625" style="74" customWidth="1"/>
    <col min="4098" max="4098" width="10.42578125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3" width="9.28515625" style="74" customWidth="1"/>
    <col min="4354" max="4354" width="10.42578125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09" width="9.28515625" style="74" customWidth="1"/>
    <col min="4610" max="4610" width="10.42578125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5" width="9.28515625" style="74" customWidth="1"/>
    <col min="4866" max="4866" width="10.42578125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1" width="9.28515625" style="74" customWidth="1"/>
    <col min="5122" max="5122" width="10.42578125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7" width="9.28515625" style="74" customWidth="1"/>
    <col min="5378" max="5378" width="10.42578125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3" width="9.28515625" style="74" customWidth="1"/>
    <col min="5634" max="5634" width="10.42578125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89" width="9.28515625" style="74" customWidth="1"/>
    <col min="5890" max="5890" width="10.42578125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5" width="9.28515625" style="74" customWidth="1"/>
    <col min="6146" max="6146" width="10.42578125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1" width="9.28515625" style="74" customWidth="1"/>
    <col min="6402" max="6402" width="10.42578125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7" width="9.28515625" style="74" customWidth="1"/>
    <col min="6658" max="6658" width="10.42578125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3" width="9.28515625" style="74" customWidth="1"/>
    <col min="6914" max="6914" width="10.42578125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69" width="9.28515625" style="74" customWidth="1"/>
    <col min="7170" max="7170" width="10.42578125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5" width="9.28515625" style="74" customWidth="1"/>
    <col min="7426" max="7426" width="10.42578125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1" width="9.28515625" style="74" customWidth="1"/>
    <col min="7682" max="7682" width="10.42578125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7" width="9.28515625" style="74" customWidth="1"/>
    <col min="7938" max="7938" width="10.42578125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3" width="9.28515625" style="74" customWidth="1"/>
    <col min="8194" max="8194" width="10.42578125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49" width="9.28515625" style="74" customWidth="1"/>
    <col min="8450" max="8450" width="10.42578125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5" width="9.28515625" style="74" customWidth="1"/>
    <col min="8706" max="8706" width="10.42578125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1" width="9.28515625" style="74" customWidth="1"/>
    <col min="8962" max="8962" width="10.42578125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7" width="9.28515625" style="74" customWidth="1"/>
    <col min="9218" max="9218" width="10.42578125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3" width="9.28515625" style="74" customWidth="1"/>
    <col min="9474" max="9474" width="10.42578125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29" width="9.28515625" style="74" customWidth="1"/>
    <col min="9730" max="9730" width="10.42578125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5" width="9.28515625" style="74" customWidth="1"/>
    <col min="9986" max="9986" width="10.42578125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1" width="9.28515625" style="74" customWidth="1"/>
    <col min="10242" max="10242" width="10.42578125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7" width="9.28515625" style="74" customWidth="1"/>
    <col min="10498" max="10498" width="10.42578125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3" width="9.28515625" style="74" customWidth="1"/>
    <col min="10754" max="10754" width="10.42578125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09" width="9.28515625" style="74" customWidth="1"/>
    <col min="11010" max="11010" width="10.42578125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5" width="9.28515625" style="74" customWidth="1"/>
    <col min="11266" max="11266" width="10.42578125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1" width="9.28515625" style="74" customWidth="1"/>
    <col min="11522" max="11522" width="10.42578125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7" width="9.28515625" style="74" customWidth="1"/>
    <col min="11778" max="11778" width="10.42578125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3" width="9.28515625" style="74" customWidth="1"/>
    <col min="12034" max="12034" width="10.42578125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89" width="9.28515625" style="74" customWidth="1"/>
    <col min="12290" max="12290" width="10.42578125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5" width="9.28515625" style="74" customWidth="1"/>
    <col min="12546" max="12546" width="10.42578125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1" width="9.28515625" style="74" customWidth="1"/>
    <col min="12802" max="12802" width="10.42578125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7" width="9.28515625" style="74" customWidth="1"/>
    <col min="13058" max="13058" width="10.42578125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3" width="9.28515625" style="74" customWidth="1"/>
    <col min="13314" max="13314" width="10.42578125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69" width="9.28515625" style="74" customWidth="1"/>
    <col min="13570" max="13570" width="10.42578125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5" width="9.28515625" style="74" customWidth="1"/>
    <col min="13826" max="13826" width="10.42578125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1" width="9.28515625" style="74" customWidth="1"/>
    <col min="14082" max="14082" width="10.42578125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7" width="9.28515625" style="74" customWidth="1"/>
    <col min="14338" max="14338" width="10.42578125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3" width="9.28515625" style="74" customWidth="1"/>
    <col min="14594" max="14594" width="10.42578125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49" width="9.28515625" style="74" customWidth="1"/>
    <col min="14850" max="14850" width="10.42578125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5" width="9.28515625" style="74" customWidth="1"/>
    <col min="15106" max="15106" width="10.42578125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1" width="9.28515625" style="74" customWidth="1"/>
    <col min="15362" max="15362" width="10.42578125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7" width="9.28515625" style="74" customWidth="1"/>
    <col min="15618" max="15618" width="10.42578125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3" width="9.28515625" style="74" customWidth="1"/>
    <col min="15874" max="15874" width="10.42578125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29" width="9.28515625" style="74" customWidth="1"/>
    <col min="16130" max="16130" width="10.42578125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81"/>
      <c r="B9" s="81"/>
      <c r="C9" s="81"/>
      <c r="D9" s="81"/>
      <c r="E9" s="81"/>
      <c r="F9" s="81"/>
      <c r="G9" s="394" t="s">
        <v>279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60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398</v>
      </c>
      <c r="B15" s="407" t="s">
        <v>399</v>
      </c>
      <c r="C15" s="408"/>
      <c r="D15" s="408"/>
      <c r="E15" s="408"/>
      <c r="F15" s="409"/>
      <c r="G15" s="405" t="s">
        <v>216</v>
      </c>
      <c r="H15" s="413" t="s">
        <v>149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400</v>
      </c>
      <c r="B19" s="376"/>
      <c r="C19" s="370">
        <v>580000</v>
      </c>
      <c r="D19" s="370"/>
      <c r="E19" s="632">
        <v>0.46</v>
      </c>
      <c r="F19" s="632"/>
      <c r="G19" s="370">
        <f t="shared" ref="G19:G24" si="0">+C19/E19</f>
        <v>1260869.5652173914</v>
      </c>
      <c r="H19" s="370"/>
    </row>
    <row r="20" spans="1:8" x14ac:dyDescent="0.2">
      <c r="A20" s="375" t="s">
        <v>401</v>
      </c>
      <c r="B20" s="376"/>
      <c r="C20" s="370">
        <v>320000</v>
      </c>
      <c r="D20" s="370"/>
      <c r="E20" s="632">
        <v>1.84</v>
      </c>
      <c r="F20" s="632"/>
      <c r="G20" s="370">
        <f t="shared" si="0"/>
        <v>173913.04347826086</v>
      </c>
      <c r="H20" s="370"/>
    </row>
    <row r="21" spans="1:8" x14ac:dyDescent="0.2">
      <c r="A21" s="375" t="s">
        <v>402</v>
      </c>
      <c r="B21" s="376"/>
      <c r="C21" s="370">
        <v>180000</v>
      </c>
      <c r="D21" s="370"/>
      <c r="E21" s="632">
        <v>1.84</v>
      </c>
      <c r="F21" s="632"/>
      <c r="G21" s="370">
        <f t="shared" si="0"/>
        <v>97826.086956521729</v>
      </c>
      <c r="H21" s="370"/>
    </row>
    <row r="22" spans="1:8" x14ac:dyDescent="0.2">
      <c r="A22" s="375" t="s">
        <v>403</v>
      </c>
      <c r="B22" s="376"/>
      <c r="C22" s="370">
        <v>150000</v>
      </c>
      <c r="D22" s="370"/>
      <c r="E22" s="632">
        <v>1.84</v>
      </c>
      <c r="F22" s="632"/>
      <c r="G22" s="370">
        <f t="shared" si="0"/>
        <v>81521.739130434784</v>
      </c>
      <c r="H22" s="370"/>
    </row>
    <row r="23" spans="1:8" x14ac:dyDescent="0.2">
      <c r="A23" s="375" t="s">
        <v>404</v>
      </c>
      <c r="B23" s="376"/>
      <c r="C23" s="370">
        <v>65000</v>
      </c>
      <c r="D23" s="370"/>
      <c r="E23" s="632">
        <v>11.2</v>
      </c>
      <c r="F23" s="632"/>
      <c r="G23" s="370">
        <f t="shared" si="0"/>
        <v>5803.5714285714294</v>
      </c>
      <c r="H23" s="370"/>
    </row>
    <row r="24" spans="1:8" x14ac:dyDescent="0.2">
      <c r="A24" s="375" t="s">
        <v>405</v>
      </c>
      <c r="B24" s="376"/>
      <c r="C24" s="370">
        <v>30000</v>
      </c>
      <c r="D24" s="370"/>
      <c r="E24" s="632">
        <v>7.2</v>
      </c>
      <c r="F24" s="632"/>
      <c r="G24" s="370">
        <f t="shared" si="0"/>
        <v>4166.666666666667</v>
      </c>
      <c r="H24" s="370"/>
    </row>
    <row r="25" spans="1:8" x14ac:dyDescent="0.2">
      <c r="A25" s="375" t="s">
        <v>224</v>
      </c>
      <c r="B25" s="376"/>
      <c r="C25" s="370"/>
      <c r="D25" s="370"/>
      <c r="E25" s="392"/>
      <c r="F25" s="392"/>
      <c r="G25" s="370">
        <v>15052.46</v>
      </c>
      <c r="H25" s="370"/>
    </row>
    <row r="26" spans="1:8" x14ac:dyDescent="0.2">
      <c r="A26" s="84"/>
      <c r="B26" s="84"/>
      <c r="C26" s="371" t="s">
        <v>225</v>
      </c>
      <c r="D26" s="371"/>
      <c r="E26" s="371"/>
      <c r="F26" s="371"/>
      <c r="G26" s="370">
        <f>+G19+G20+G21+G22+G23+G24+G25</f>
        <v>1639153.1328778469</v>
      </c>
      <c r="H26" s="370"/>
    </row>
    <row r="27" spans="1:8" x14ac:dyDescent="0.2">
      <c r="C27" s="85"/>
      <c r="D27" s="85"/>
      <c r="E27" s="85"/>
      <c r="F27" s="85"/>
      <c r="G27" s="86"/>
      <c r="H27" s="86"/>
    </row>
    <row r="28" spans="1:8" x14ac:dyDescent="0.2">
      <c r="A28" s="83" t="s">
        <v>226</v>
      </c>
      <c r="B28" s="84"/>
      <c r="C28" s="84"/>
      <c r="D28" s="84"/>
      <c r="E28" s="84"/>
      <c r="F28" s="84"/>
      <c r="G28" s="84"/>
      <c r="H28" s="84"/>
    </row>
    <row r="29" spans="1:8" x14ac:dyDescent="0.2">
      <c r="A29" s="374" t="s">
        <v>1</v>
      </c>
      <c r="B29" s="374"/>
      <c r="C29" s="87" t="s">
        <v>227</v>
      </c>
      <c r="D29" s="87" t="s">
        <v>228</v>
      </c>
      <c r="E29" s="374" t="s">
        <v>3</v>
      </c>
      <c r="F29" s="374"/>
      <c r="G29" s="374" t="s">
        <v>220</v>
      </c>
      <c r="H29" s="374"/>
    </row>
    <row r="30" spans="1:8" x14ac:dyDescent="0.2">
      <c r="A30" s="375"/>
      <c r="B30" s="376"/>
      <c r="C30" s="88"/>
      <c r="D30" s="88"/>
      <c r="E30" s="392"/>
      <c r="F30" s="392"/>
      <c r="G30" s="378"/>
      <c r="H30" s="379"/>
    </row>
    <row r="31" spans="1:8" x14ac:dyDescent="0.2">
      <c r="A31" s="375"/>
      <c r="B31" s="376"/>
      <c r="C31" s="88"/>
      <c r="D31" s="88"/>
      <c r="E31" s="392"/>
      <c r="F31" s="392"/>
      <c r="G31" s="378"/>
      <c r="H31" s="379"/>
    </row>
    <row r="32" spans="1:8" x14ac:dyDescent="0.2">
      <c r="A32" s="380"/>
      <c r="B32" s="381"/>
      <c r="C32" s="89"/>
      <c r="D32" s="88"/>
      <c r="E32" s="382"/>
      <c r="F32" s="383"/>
      <c r="G32" s="378"/>
      <c r="H32" s="379"/>
    </row>
    <row r="33" spans="1:8" x14ac:dyDescent="0.2">
      <c r="A33" s="90"/>
      <c r="B33" s="90"/>
      <c r="C33" s="371" t="s">
        <v>225</v>
      </c>
      <c r="D33" s="371"/>
      <c r="E33" s="371"/>
      <c r="F33" s="371"/>
      <c r="G33" s="370">
        <f>SUM(G30:G32)</f>
        <v>0</v>
      </c>
      <c r="H33" s="370"/>
    </row>
    <row r="35" spans="1:8" x14ac:dyDescent="0.2">
      <c r="A35" s="83" t="s">
        <v>232</v>
      </c>
      <c r="B35" s="84"/>
      <c r="C35" s="84"/>
      <c r="D35" s="84"/>
      <c r="E35" s="84"/>
      <c r="F35" s="84"/>
      <c r="G35" s="84"/>
      <c r="H35" s="84"/>
    </row>
    <row r="36" spans="1:8" x14ac:dyDescent="0.2">
      <c r="A36" s="374" t="s">
        <v>233</v>
      </c>
      <c r="B36" s="374"/>
      <c r="C36" s="91" t="s">
        <v>234</v>
      </c>
      <c r="D36" s="92" t="s">
        <v>235</v>
      </c>
      <c r="E36" s="374" t="s">
        <v>236</v>
      </c>
      <c r="F36" s="374"/>
      <c r="G36" s="374" t="s">
        <v>220</v>
      </c>
      <c r="H36" s="374"/>
    </row>
    <row r="37" spans="1:8" x14ac:dyDescent="0.2">
      <c r="A37" s="369"/>
      <c r="B37" s="369"/>
      <c r="C37" s="89"/>
      <c r="D37" s="89"/>
      <c r="E37" s="370"/>
      <c r="F37" s="370"/>
      <c r="G37" s="370"/>
      <c r="H37" s="370"/>
    </row>
    <row r="38" spans="1:8" x14ac:dyDescent="0.2">
      <c r="A38" s="369"/>
      <c r="B38" s="369"/>
      <c r="C38" s="89"/>
      <c r="D38" s="89"/>
      <c r="E38" s="370"/>
      <c r="F38" s="370"/>
      <c r="G38" s="370"/>
      <c r="H38" s="370"/>
    </row>
    <row r="39" spans="1:8" x14ac:dyDescent="0.2">
      <c r="A39" s="369"/>
      <c r="B39" s="369"/>
      <c r="C39" s="89"/>
      <c r="D39" s="89"/>
      <c r="E39" s="370"/>
      <c r="F39" s="370"/>
      <c r="G39" s="370"/>
      <c r="H39" s="370"/>
    </row>
    <row r="40" spans="1:8" x14ac:dyDescent="0.2">
      <c r="A40" s="90"/>
      <c r="B40" s="90"/>
      <c r="C40" s="371" t="s">
        <v>225</v>
      </c>
      <c r="D40" s="371"/>
      <c r="E40" s="371"/>
      <c r="F40" s="371"/>
      <c r="G40" s="370"/>
      <c r="H40" s="370"/>
    </row>
    <row r="42" spans="1:8" x14ac:dyDescent="0.2">
      <c r="A42" s="83" t="s">
        <v>237</v>
      </c>
      <c r="B42" s="84"/>
      <c r="C42" s="84"/>
      <c r="D42" s="84"/>
      <c r="E42" s="84"/>
      <c r="F42" s="84"/>
      <c r="G42" s="84"/>
      <c r="H42" s="84"/>
    </row>
    <row r="43" spans="1:8" x14ac:dyDescent="0.2">
      <c r="A43" s="374" t="s">
        <v>238</v>
      </c>
      <c r="B43" s="374"/>
      <c r="C43" s="87" t="s">
        <v>239</v>
      </c>
      <c r="D43" s="183" t="s">
        <v>240</v>
      </c>
      <c r="E43" s="93" t="s">
        <v>241</v>
      </c>
      <c r="F43" s="94" t="s">
        <v>219</v>
      </c>
      <c r="G43" s="374" t="s">
        <v>220</v>
      </c>
      <c r="H43" s="374"/>
    </row>
    <row r="44" spans="1:8" x14ac:dyDescent="0.2">
      <c r="A44" s="450" t="s">
        <v>467</v>
      </c>
      <c r="B44" s="451"/>
      <c r="C44" s="88">
        <f>35000*8</f>
        <v>280000</v>
      </c>
      <c r="D44" s="96">
        <v>1.85</v>
      </c>
      <c r="E44" s="88">
        <v>325600</v>
      </c>
      <c r="F44" s="96">
        <v>0.59</v>
      </c>
      <c r="G44" s="370">
        <f>+E44/F44</f>
        <v>551864.40677966108</v>
      </c>
      <c r="H44" s="370"/>
    </row>
    <row r="45" spans="1:8" x14ac:dyDescent="0.2">
      <c r="A45" s="375" t="s">
        <v>465</v>
      </c>
      <c r="B45" s="376"/>
      <c r="C45" s="88">
        <v>120000</v>
      </c>
      <c r="D45" s="96">
        <v>1.85</v>
      </c>
      <c r="E45" s="88">
        <v>129500</v>
      </c>
      <c r="F45" s="96">
        <v>0.59</v>
      </c>
      <c r="G45" s="370">
        <f>+E45/F45</f>
        <v>219491.52542372883</v>
      </c>
      <c r="H45" s="370"/>
    </row>
    <row r="46" spans="1:8" x14ac:dyDescent="0.2">
      <c r="A46" s="90"/>
      <c r="B46" s="90"/>
      <c r="C46" s="629" t="s">
        <v>225</v>
      </c>
      <c r="D46" s="630"/>
      <c r="E46" s="630"/>
      <c r="F46" s="631"/>
      <c r="G46" s="370">
        <f>+G44+G45</f>
        <v>771355.93220338994</v>
      </c>
      <c r="H46" s="370"/>
    </row>
    <row r="49" spans="1:8" x14ac:dyDescent="0.2">
      <c r="A49" s="372" t="s">
        <v>244</v>
      </c>
      <c r="B49" s="372"/>
      <c r="C49" s="372"/>
      <c r="D49" s="372"/>
      <c r="E49" s="372"/>
      <c r="F49" s="372"/>
      <c r="G49" s="628">
        <f>+ROUND(G26+G33+G40+G46,0)</f>
        <v>2410509</v>
      </c>
      <c r="H49" s="628"/>
    </row>
    <row r="50" spans="1:8" x14ac:dyDescent="0.2">
      <c r="G50" s="187">
        <f>+G49</f>
        <v>2410509</v>
      </c>
    </row>
  </sheetData>
  <mergeCells count="85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30:B30"/>
    <mergeCell ref="E30:F30"/>
    <mergeCell ref="G30:H30"/>
    <mergeCell ref="A24:B24"/>
    <mergeCell ref="C24:D24"/>
    <mergeCell ref="E24:F24"/>
    <mergeCell ref="G24:H24"/>
    <mergeCell ref="A25:B25"/>
    <mergeCell ref="C25:D25"/>
    <mergeCell ref="E25:F25"/>
    <mergeCell ref="G25:H25"/>
    <mergeCell ref="C26:F26"/>
    <mergeCell ref="G26:H26"/>
    <mergeCell ref="A29:B29"/>
    <mergeCell ref="E29:F29"/>
    <mergeCell ref="G29:H29"/>
    <mergeCell ref="A37:B37"/>
    <mergeCell ref="E37:F37"/>
    <mergeCell ref="G37:H37"/>
    <mergeCell ref="A31:B31"/>
    <mergeCell ref="E31:F31"/>
    <mergeCell ref="G31:H31"/>
    <mergeCell ref="A32:B32"/>
    <mergeCell ref="E32:F32"/>
    <mergeCell ref="G32:H32"/>
    <mergeCell ref="C33:F33"/>
    <mergeCell ref="G33:H33"/>
    <mergeCell ref="A36:B36"/>
    <mergeCell ref="E36:F36"/>
    <mergeCell ref="G36:H36"/>
    <mergeCell ref="A38:B38"/>
    <mergeCell ref="E38:F38"/>
    <mergeCell ref="G38:H38"/>
    <mergeCell ref="A39:B39"/>
    <mergeCell ref="E39:F39"/>
    <mergeCell ref="G39:H39"/>
    <mergeCell ref="C40:F40"/>
    <mergeCell ref="G40:H40"/>
    <mergeCell ref="A43:B43"/>
    <mergeCell ref="G43:H43"/>
    <mergeCell ref="A44:B44"/>
    <mergeCell ref="G44:H44"/>
    <mergeCell ref="A49:F49"/>
    <mergeCell ref="G49:H49"/>
    <mergeCell ref="A45:B45"/>
    <mergeCell ref="G45:H45"/>
    <mergeCell ref="C46:F46"/>
    <mergeCell ref="G46:H4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4"/>
  <sheetViews>
    <sheetView workbookViewId="0">
      <selection activeCell="G43" sqref="G43:H43"/>
    </sheetView>
  </sheetViews>
  <sheetFormatPr baseColWidth="10" defaultRowHeight="12.75" x14ac:dyDescent="0.2"/>
  <cols>
    <col min="1" max="1" width="9.28515625" style="74" customWidth="1"/>
    <col min="2" max="2" width="11" style="74" customWidth="1"/>
    <col min="3" max="3" width="10.7109375" style="74" customWidth="1"/>
    <col min="4" max="4" width="12.140625" style="74" customWidth="1"/>
    <col min="5" max="6" width="11.42578125" style="74"/>
    <col min="7" max="8" width="9.28515625" style="74" customWidth="1"/>
    <col min="9" max="256" width="11.42578125" style="74"/>
    <col min="257" max="257" width="9.28515625" style="74" customWidth="1"/>
    <col min="258" max="258" width="11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3" width="9.28515625" style="74" customWidth="1"/>
    <col min="514" max="514" width="11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69" width="9.28515625" style="74" customWidth="1"/>
    <col min="770" max="770" width="11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5" width="9.28515625" style="74" customWidth="1"/>
    <col min="1026" max="1026" width="11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1" width="9.28515625" style="74" customWidth="1"/>
    <col min="1282" max="1282" width="11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7" width="9.28515625" style="74" customWidth="1"/>
    <col min="1538" max="1538" width="11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3" width="9.28515625" style="74" customWidth="1"/>
    <col min="1794" max="1794" width="11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49" width="9.28515625" style="74" customWidth="1"/>
    <col min="2050" max="2050" width="11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5" width="9.28515625" style="74" customWidth="1"/>
    <col min="2306" max="2306" width="11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1" width="9.28515625" style="74" customWidth="1"/>
    <col min="2562" max="2562" width="11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7" width="9.28515625" style="74" customWidth="1"/>
    <col min="2818" max="2818" width="11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3" width="9.28515625" style="74" customWidth="1"/>
    <col min="3074" max="3074" width="11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29" width="9.28515625" style="74" customWidth="1"/>
    <col min="3330" max="3330" width="11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5" width="9.28515625" style="74" customWidth="1"/>
    <col min="3586" max="3586" width="11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1" width="9.28515625" style="74" customWidth="1"/>
    <col min="3842" max="3842" width="11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7" width="9.28515625" style="74" customWidth="1"/>
    <col min="4098" max="4098" width="11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3" width="9.28515625" style="74" customWidth="1"/>
    <col min="4354" max="4354" width="11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09" width="9.28515625" style="74" customWidth="1"/>
    <col min="4610" max="4610" width="11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5" width="9.28515625" style="74" customWidth="1"/>
    <col min="4866" max="4866" width="11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1" width="9.28515625" style="74" customWidth="1"/>
    <col min="5122" max="5122" width="11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7" width="9.28515625" style="74" customWidth="1"/>
    <col min="5378" max="5378" width="11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3" width="9.28515625" style="74" customWidth="1"/>
    <col min="5634" max="5634" width="11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89" width="9.28515625" style="74" customWidth="1"/>
    <col min="5890" max="5890" width="11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5" width="9.28515625" style="74" customWidth="1"/>
    <col min="6146" max="6146" width="11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1" width="9.28515625" style="74" customWidth="1"/>
    <col min="6402" max="6402" width="11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7" width="9.28515625" style="74" customWidth="1"/>
    <col min="6658" max="6658" width="11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3" width="9.28515625" style="74" customWidth="1"/>
    <col min="6914" max="6914" width="11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69" width="9.28515625" style="74" customWidth="1"/>
    <col min="7170" max="7170" width="11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5" width="9.28515625" style="74" customWidth="1"/>
    <col min="7426" max="7426" width="11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1" width="9.28515625" style="74" customWidth="1"/>
    <col min="7682" max="7682" width="11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7" width="9.28515625" style="74" customWidth="1"/>
    <col min="7938" max="7938" width="11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3" width="9.28515625" style="74" customWidth="1"/>
    <col min="8194" max="8194" width="11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49" width="9.28515625" style="74" customWidth="1"/>
    <col min="8450" max="8450" width="11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5" width="9.28515625" style="74" customWidth="1"/>
    <col min="8706" max="8706" width="11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1" width="9.28515625" style="74" customWidth="1"/>
    <col min="8962" max="8962" width="11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7" width="9.28515625" style="74" customWidth="1"/>
    <col min="9218" max="9218" width="11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3" width="9.28515625" style="74" customWidth="1"/>
    <col min="9474" max="9474" width="11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29" width="9.28515625" style="74" customWidth="1"/>
    <col min="9730" max="9730" width="11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5" width="9.28515625" style="74" customWidth="1"/>
    <col min="9986" max="9986" width="11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1" width="9.28515625" style="74" customWidth="1"/>
    <col min="10242" max="10242" width="11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7" width="9.28515625" style="74" customWidth="1"/>
    <col min="10498" max="10498" width="11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3" width="9.28515625" style="74" customWidth="1"/>
    <col min="10754" max="10754" width="11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09" width="9.28515625" style="74" customWidth="1"/>
    <col min="11010" max="11010" width="11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5" width="9.28515625" style="74" customWidth="1"/>
    <col min="11266" max="11266" width="11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1" width="9.28515625" style="74" customWidth="1"/>
    <col min="11522" max="11522" width="11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7" width="9.28515625" style="74" customWidth="1"/>
    <col min="11778" max="11778" width="11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3" width="9.28515625" style="74" customWidth="1"/>
    <col min="12034" max="12034" width="11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89" width="9.28515625" style="74" customWidth="1"/>
    <col min="12290" max="12290" width="11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5" width="9.28515625" style="74" customWidth="1"/>
    <col min="12546" max="12546" width="11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1" width="9.28515625" style="74" customWidth="1"/>
    <col min="12802" max="12802" width="11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7" width="9.28515625" style="74" customWidth="1"/>
    <col min="13058" max="13058" width="11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3" width="9.28515625" style="74" customWidth="1"/>
    <col min="13314" max="13314" width="11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69" width="9.28515625" style="74" customWidth="1"/>
    <col min="13570" max="13570" width="11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5" width="9.28515625" style="74" customWidth="1"/>
    <col min="13826" max="13826" width="11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1" width="9.28515625" style="74" customWidth="1"/>
    <col min="14082" max="14082" width="11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7" width="9.28515625" style="74" customWidth="1"/>
    <col min="14338" max="14338" width="11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3" width="9.28515625" style="74" customWidth="1"/>
    <col min="14594" max="14594" width="11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49" width="9.28515625" style="74" customWidth="1"/>
    <col min="14850" max="14850" width="11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5" width="9.28515625" style="74" customWidth="1"/>
    <col min="15106" max="15106" width="11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1" width="9.28515625" style="74" customWidth="1"/>
    <col min="15362" max="15362" width="11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7" width="9.28515625" style="74" customWidth="1"/>
    <col min="15618" max="15618" width="11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3" width="9.28515625" style="74" customWidth="1"/>
    <col min="15874" max="15874" width="11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29" width="9.28515625" style="74" customWidth="1"/>
    <col min="16130" max="16130" width="11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81"/>
      <c r="B9" s="81"/>
      <c r="C9" s="81"/>
      <c r="D9" s="81"/>
      <c r="E9" s="81"/>
      <c r="F9" s="81"/>
      <c r="G9" s="394" t="s">
        <v>279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65.2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406</v>
      </c>
      <c r="B15" s="407" t="s">
        <v>407</v>
      </c>
      <c r="C15" s="408"/>
      <c r="D15" s="408"/>
      <c r="E15" s="408"/>
      <c r="F15" s="409"/>
      <c r="G15" s="405" t="s">
        <v>216</v>
      </c>
      <c r="H15" s="413" t="s">
        <v>152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638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480</v>
      </c>
      <c r="B19" s="376"/>
      <c r="C19" s="378">
        <v>80000</v>
      </c>
      <c r="D19" s="379"/>
      <c r="E19" s="639">
        <v>10</v>
      </c>
      <c r="F19" s="640"/>
      <c r="G19" s="370">
        <f t="shared" ref="G19" si="0">+C19/E19</f>
        <v>8000</v>
      </c>
      <c r="H19" s="370"/>
    </row>
    <row r="20" spans="1:8" x14ac:dyDescent="0.2">
      <c r="A20" s="375" t="s">
        <v>224</v>
      </c>
      <c r="B20" s="376"/>
      <c r="C20" s="378"/>
      <c r="D20" s="379"/>
      <c r="E20" s="639"/>
      <c r="F20" s="640"/>
      <c r="G20" s="635">
        <v>794</v>
      </c>
      <c r="H20" s="636"/>
    </row>
    <row r="21" spans="1:8" x14ac:dyDescent="0.2">
      <c r="A21" s="84"/>
      <c r="B21" s="84"/>
      <c r="C21" s="371" t="s">
        <v>225</v>
      </c>
      <c r="D21" s="371"/>
      <c r="E21" s="371"/>
      <c r="F21" s="371"/>
      <c r="G21" s="637">
        <f>SUM(G19:H20)</f>
        <v>8794</v>
      </c>
      <c r="H21" s="637"/>
    </row>
    <row r="22" spans="1:8" x14ac:dyDescent="0.2">
      <c r="C22" s="85"/>
      <c r="D22" s="85"/>
      <c r="E22" s="85"/>
      <c r="F22" s="85"/>
      <c r="G22" s="86"/>
      <c r="H22" s="86"/>
    </row>
    <row r="23" spans="1:8" x14ac:dyDescent="0.2">
      <c r="A23" s="83" t="s">
        <v>226</v>
      </c>
      <c r="B23" s="84"/>
      <c r="C23" s="84"/>
      <c r="D23" s="84"/>
      <c r="E23" s="84"/>
      <c r="F23" s="84"/>
      <c r="G23" s="84"/>
      <c r="H23" s="84"/>
    </row>
    <row r="24" spans="1:8" x14ac:dyDescent="0.2">
      <c r="A24" s="374" t="s">
        <v>1</v>
      </c>
      <c r="B24" s="374"/>
      <c r="C24" s="87" t="s">
        <v>227</v>
      </c>
      <c r="D24" s="87" t="s">
        <v>3</v>
      </c>
      <c r="E24" s="374" t="s">
        <v>408</v>
      </c>
      <c r="F24" s="374"/>
      <c r="G24" s="374" t="s">
        <v>220</v>
      </c>
      <c r="H24" s="374"/>
    </row>
    <row r="25" spans="1:8" ht="23.25" customHeight="1" x14ac:dyDescent="0.2">
      <c r="A25" s="380" t="s">
        <v>409</v>
      </c>
      <c r="B25" s="381"/>
      <c r="C25" s="88" t="s">
        <v>116</v>
      </c>
      <c r="D25" s="184">
        <v>1.1000000000000001</v>
      </c>
      <c r="E25" s="378">
        <v>570000</v>
      </c>
      <c r="F25" s="379"/>
      <c r="G25" s="635">
        <f>+D25*E25</f>
        <v>627000</v>
      </c>
      <c r="H25" s="636"/>
    </row>
    <row r="26" spans="1:8" ht="24" customHeight="1" x14ac:dyDescent="0.2">
      <c r="A26" s="380" t="s">
        <v>410</v>
      </c>
      <c r="B26" s="381"/>
      <c r="C26" s="88" t="s">
        <v>411</v>
      </c>
      <c r="D26" s="184">
        <v>9.1</v>
      </c>
      <c r="E26" s="378">
        <v>10100</v>
      </c>
      <c r="F26" s="379"/>
      <c r="G26" s="635">
        <f>+E26*D26</f>
        <v>91910</v>
      </c>
      <c r="H26" s="636"/>
    </row>
    <row r="27" spans="1:8" x14ac:dyDescent="0.2">
      <c r="A27" s="90"/>
      <c r="B27" s="90"/>
      <c r="C27" s="371" t="s">
        <v>225</v>
      </c>
      <c r="D27" s="371"/>
      <c r="E27" s="371"/>
      <c r="F27" s="371"/>
      <c r="G27" s="637">
        <f>+G25+G26</f>
        <v>718910</v>
      </c>
      <c r="H27" s="637"/>
    </row>
    <row r="29" spans="1:8" x14ac:dyDescent="0.2">
      <c r="A29" s="83" t="s">
        <v>232</v>
      </c>
      <c r="B29" s="84"/>
      <c r="C29" s="84"/>
      <c r="D29" s="84"/>
      <c r="E29" s="84"/>
      <c r="F29" s="84"/>
      <c r="G29" s="84"/>
      <c r="H29" s="84"/>
    </row>
    <row r="30" spans="1:8" x14ac:dyDescent="0.2">
      <c r="A30" s="374" t="s">
        <v>233</v>
      </c>
      <c r="B30" s="374"/>
      <c r="C30" s="91" t="s">
        <v>234</v>
      </c>
      <c r="D30" s="92" t="s">
        <v>235</v>
      </c>
      <c r="E30" s="374" t="s">
        <v>412</v>
      </c>
      <c r="F30" s="374"/>
      <c r="G30" s="374" t="s">
        <v>220</v>
      </c>
      <c r="H30" s="374"/>
    </row>
    <row r="31" spans="1:8" x14ac:dyDescent="0.2">
      <c r="A31" s="634" t="s">
        <v>482</v>
      </c>
      <c r="B31" s="634"/>
      <c r="C31" s="260">
        <v>1</v>
      </c>
      <c r="D31" s="118">
        <v>50</v>
      </c>
      <c r="E31" s="452">
        <v>1000</v>
      </c>
      <c r="F31" s="452"/>
      <c r="G31" s="452">
        <f>+C31*D31*E31</f>
        <v>50000</v>
      </c>
      <c r="H31" s="452"/>
    </row>
    <row r="32" spans="1:8" x14ac:dyDescent="0.2">
      <c r="A32" s="369"/>
      <c r="B32" s="369"/>
      <c r="C32" s="89"/>
      <c r="D32" s="89"/>
      <c r="E32" s="370"/>
      <c r="F32" s="370"/>
      <c r="G32" s="370"/>
      <c r="H32" s="370"/>
    </row>
    <row r="33" spans="1:8" x14ac:dyDescent="0.2">
      <c r="A33" s="369"/>
      <c r="B33" s="369"/>
      <c r="C33" s="89"/>
      <c r="D33" s="89"/>
      <c r="E33" s="370"/>
      <c r="F33" s="370"/>
      <c r="G33" s="370"/>
      <c r="H33" s="370"/>
    </row>
    <row r="34" spans="1:8" x14ac:dyDescent="0.2">
      <c r="A34" s="90"/>
      <c r="B34" s="90"/>
      <c r="C34" s="371" t="s">
        <v>225</v>
      </c>
      <c r="D34" s="371"/>
      <c r="E34" s="371"/>
      <c r="F34" s="371"/>
      <c r="G34" s="370">
        <f>+G31</f>
        <v>50000</v>
      </c>
      <c r="H34" s="370"/>
    </row>
    <row r="36" spans="1:8" x14ac:dyDescent="0.2">
      <c r="A36" s="83" t="s">
        <v>237</v>
      </c>
      <c r="B36" s="84"/>
      <c r="C36" s="84"/>
      <c r="D36" s="84"/>
      <c r="E36" s="84"/>
      <c r="F36" s="84"/>
      <c r="G36" s="84"/>
      <c r="H36" s="84"/>
    </row>
    <row r="37" spans="1:8" x14ac:dyDescent="0.2">
      <c r="A37" s="374" t="s">
        <v>238</v>
      </c>
      <c r="B37" s="374"/>
      <c r="C37" s="87" t="s">
        <v>239</v>
      </c>
      <c r="D37" s="92" t="s">
        <v>240</v>
      </c>
      <c r="E37" s="87" t="s">
        <v>241</v>
      </c>
      <c r="F37" s="94" t="s">
        <v>219</v>
      </c>
      <c r="G37" s="374" t="s">
        <v>220</v>
      </c>
      <c r="H37" s="374"/>
    </row>
    <row r="38" spans="1:8" x14ac:dyDescent="0.2">
      <c r="A38" s="375" t="s">
        <v>413</v>
      </c>
      <c r="B38" s="376"/>
      <c r="C38" s="88">
        <v>60000</v>
      </c>
      <c r="D38" s="96">
        <v>1.85</v>
      </c>
      <c r="E38" s="88">
        <v>64750</v>
      </c>
      <c r="F38" s="184">
        <v>10</v>
      </c>
      <c r="G38" s="370">
        <f>+E38/F38</f>
        <v>6475</v>
      </c>
      <c r="H38" s="370"/>
    </row>
    <row r="39" spans="1:8" x14ac:dyDescent="0.2">
      <c r="A39" s="375" t="s">
        <v>304</v>
      </c>
      <c r="B39" s="376"/>
      <c r="C39" s="88">
        <f>35000*2</f>
        <v>70000</v>
      </c>
      <c r="D39" s="96">
        <v>1.85</v>
      </c>
      <c r="E39" s="88">
        <v>81400</v>
      </c>
      <c r="F39" s="184">
        <v>10</v>
      </c>
      <c r="G39" s="370">
        <f>+E39/F39</f>
        <v>8140</v>
      </c>
      <c r="H39" s="370"/>
    </row>
    <row r="40" spans="1:8" x14ac:dyDescent="0.2">
      <c r="A40" s="90"/>
      <c r="B40" s="90"/>
      <c r="C40" s="371" t="s">
        <v>225</v>
      </c>
      <c r="D40" s="371"/>
      <c r="E40" s="371"/>
      <c r="F40" s="371"/>
      <c r="G40" s="370">
        <f>+G38+G39</f>
        <v>14615</v>
      </c>
      <c r="H40" s="370"/>
    </row>
    <row r="43" spans="1:8" x14ac:dyDescent="0.2">
      <c r="A43" s="372" t="s">
        <v>244</v>
      </c>
      <c r="B43" s="372"/>
      <c r="C43" s="372"/>
      <c r="D43" s="372"/>
      <c r="E43" s="372"/>
      <c r="F43" s="372"/>
      <c r="G43" s="633">
        <f>ROUND(G40+G27+G21,0)</f>
        <v>742319</v>
      </c>
      <c r="H43" s="633"/>
    </row>
    <row r="44" spans="1:8" x14ac:dyDescent="0.2">
      <c r="G44" s="187">
        <f>+G43</f>
        <v>742319</v>
      </c>
    </row>
  </sheetData>
  <mergeCells count="62">
    <mergeCell ref="A19:B19"/>
    <mergeCell ref="C19:D19"/>
    <mergeCell ref="E19:F19"/>
    <mergeCell ref="G19:H19"/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25:B25"/>
    <mergeCell ref="E25:F25"/>
    <mergeCell ref="G25:H25"/>
    <mergeCell ref="A18:B18"/>
    <mergeCell ref="C18:D18"/>
    <mergeCell ref="E18:F18"/>
    <mergeCell ref="G18:H18"/>
    <mergeCell ref="A20:B20"/>
    <mergeCell ref="C20:D20"/>
    <mergeCell ref="E20:F20"/>
    <mergeCell ref="G20:H20"/>
    <mergeCell ref="C21:F21"/>
    <mergeCell ref="G21:H21"/>
    <mergeCell ref="A24:B24"/>
    <mergeCell ref="E24:F24"/>
    <mergeCell ref="G24:H24"/>
    <mergeCell ref="A31:B31"/>
    <mergeCell ref="E31:F31"/>
    <mergeCell ref="G31:H31"/>
    <mergeCell ref="A26:B26"/>
    <mergeCell ref="E26:F26"/>
    <mergeCell ref="G26:H26"/>
    <mergeCell ref="C27:F27"/>
    <mergeCell ref="G27:H27"/>
    <mergeCell ref="A30:B30"/>
    <mergeCell ref="E30:F30"/>
    <mergeCell ref="G30:H30"/>
    <mergeCell ref="A32:B32"/>
    <mergeCell ref="E32:F32"/>
    <mergeCell ref="G32:H32"/>
    <mergeCell ref="A33:B33"/>
    <mergeCell ref="E33:F33"/>
    <mergeCell ref="G33:H33"/>
    <mergeCell ref="C34:F34"/>
    <mergeCell ref="G34:H34"/>
    <mergeCell ref="A37:B37"/>
    <mergeCell ref="G37:H37"/>
    <mergeCell ref="A38:B38"/>
    <mergeCell ref="G38:H38"/>
    <mergeCell ref="A39:B39"/>
    <mergeCell ref="G39:H39"/>
    <mergeCell ref="C40:F40"/>
    <mergeCell ref="G40:H40"/>
    <mergeCell ref="A43:F43"/>
    <mergeCell ref="G43:H4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4"/>
  <sheetViews>
    <sheetView workbookViewId="0">
      <selection activeCell="G20" sqref="G20:H20"/>
    </sheetView>
  </sheetViews>
  <sheetFormatPr baseColWidth="10" defaultRowHeight="12.75" x14ac:dyDescent="0.2"/>
  <cols>
    <col min="1" max="1" width="9.28515625" style="74" customWidth="1"/>
    <col min="2" max="2" width="11" style="74" customWidth="1"/>
    <col min="3" max="3" width="10.7109375" style="74" customWidth="1"/>
    <col min="4" max="4" width="12.140625" style="74" customWidth="1"/>
    <col min="5" max="6" width="11.42578125" style="74"/>
    <col min="7" max="7" width="11.140625" style="74" customWidth="1"/>
    <col min="8" max="8" width="9.28515625" style="74" customWidth="1"/>
    <col min="9" max="256" width="11.42578125" style="74"/>
    <col min="257" max="257" width="9.28515625" style="74" customWidth="1"/>
    <col min="258" max="258" width="11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3" width="9.28515625" style="74" customWidth="1"/>
    <col min="514" max="514" width="11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69" width="9.28515625" style="74" customWidth="1"/>
    <col min="770" max="770" width="11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5" width="9.28515625" style="74" customWidth="1"/>
    <col min="1026" max="1026" width="11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1" width="9.28515625" style="74" customWidth="1"/>
    <col min="1282" max="1282" width="11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7" width="9.28515625" style="74" customWidth="1"/>
    <col min="1538" max="1538" width="11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3" width="9.28515625" style="74" customWidth="1"/>
    <col min="1794" max="1794" width="11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49" width="9.28515625" style="74" customWidth="1"/>
    <col min="2050" max="2050" width="11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5" width="9.28515625" style="74" customWidth="1"/>
    <col min="2306" max="2306" width="11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1" width="9.28515625" style="74" customWidth="1"/>
    <col min="2562" max="2562" width="11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7" width="9.28515625" style="74" customWidth="1"/>
    <col min="2818" max="2818" width="11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3" width="9.28515625" style="74" customWidth="1"/>
    <col min="3074" max="3074" width="11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29" width="9.28515625" style="74" customWidth="1"/>
    <col min="3330" max="3330" width="11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5" width="9.28515625" style="74" customWidth="1"/>
    <col min="3586" max="3586" width="11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1" width="9.28515625" style="74" customWidth="1"/>
    <col min="3842" max="3842" width="11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7" width="9.28515625" style="74" customWidth="1"/>
    <col min="4098" max="4098" width="11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3" width="9.28515625" style="74" customWidth="1"/>
    <col min="4354" max="4354" width="11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09" width="9.28515625" style="74" customWidth="1"/>
    <col min="4610" max="4610" width="11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5" width="9.28515625" style="74" customWidth="1"/>
    <col min="4866" max="4866" width="11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1" width="9.28515625" style="74" customWidth="1"/>
    <col min="5122" max="5122" width="11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7" width="9.28515625" style="74" customWidth="1"/>
    <col min="5378" max="5378" width="11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3" width="9.28515625" style="74" customWidth="1"/>
    <col min="5634" max="5634" width="11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89" width="9.28515625" style="74" customWidth="1"/>
    <col min="5890" max="5890" width="11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5" width="9.28515625" style="74" customWidth="1"/>
    <col min="6146" max="6146" width="11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1" width="9.28515625" style="74" customWidth="1"/>
    <col min="6402" max="6402" width="11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7" width="9.28515625" style="74" customWidth="1"/>
    <col min="6658" max="6658" width="11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3" width="9.28515625" style="74" customWidth="1"/>
    <col min="6914" max="6914" width="11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69" width="9.28515625" style="74" customWidth="1"/>
    <col min="7170" max="7170" width="11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5" width="9.28515625" style="74" customWidth="1"/>
    <col min="7426" max="7426" width="11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1" width="9.28515625" style="74" customWidth="1"/>
    <col min="7682" max="7682" width="11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7" width="9.28515625" style="74" customWidth="1"/>
    <col min="7938" max="7938" width="11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3" width="9.28515625" style="74" customWidth="1"/>
    <col min="8194" max="8194" width="11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49" width="9.28515625" style="74" customWidth="1"/>
    <col min="8450" max="8450" width="11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5" width="9.28515625" style="74" customWidth="1"/>
    <col min="8706" max="8706" width="11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1" width="9.28515625" style="74" customWidth="1"/>
    <col min="8962" max="8962" width="11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7" width="9.28515625" style="74" customWidth="1"/>
    <col min="9218" max="9218" width="11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3" width="9.28515625" style="74" customWidth="1"/>
    <col min="9474" max="9474" width="11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29" width="9.28515625" style="74" customWidth="1"/>
    <col min="9730" max="9730" width="11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5" width="9.28515625" style="74" customWidth="1"/>
    <col min="9986" max="9986" width="11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1" width="9.28515625" style="74" customWidth="1"/>
    <col min="10242" max="10242" width="11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7" width="9.28515625" style="74" customWidth="1"/>
    <col min="10498" max="10498" width="11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3" width="9.28515625" style="74" customWidth="1"/>
    <col min="10754" max="10754" width="11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09" width="9.28515625" style="74" customWidth="1"/>
    <col min="11010" max="11010" width="11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5" width="9.28515625" style="74" customWidth="1"/>
    <col min="11266" max="11266" width="11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1" width="9.28515625" style="74" customWidth="1"/>
    <col min="11522" max="11522" width="11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7" width="9.28515625" style="74" customWidth="1"/>
    <col min="11778" max="11778" width="11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3" width="9.28515625" style="74" customWidth="1"/>
    <col min="12034" max="12034" width="11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89" width="9.28515625" style="74" customWidth="1"/>
    <col min="12290" max="12290" width="11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5" width="9.28515625" style="74" customWidth="1"/>
    <col min="12546" max="12546" width="11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1" width="9.28515625" style="74" customWidth="1"/>
    <col min="12802" max="12802" width="11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7" width="9.28515625" style="74" customWidth="1"/>
    <col min="13058" max="13058" width="11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3" width="9.28515625" style="74" customWidth="1"/>
    <col min="13314" max="13314" width="11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69" width="9.28515625" style="74" customWidth="1"/>
    <col min="13570" max="13570" width="11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5" width="9.28515625" style="74" customWidth="1"/>
    <col min="13826" max="13826" width="11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1" width="9.28515625" style="74" customWidth="1"/>
    <col min="14082" max="14082" width="11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7" width="9.28515625" style="74" customWidth="1"/>
    <col min="14338" max="14338" width="11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3" width="9.28515625" style="74" customWidth="1"/>
    <col min="14594" max="14594" width="11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49" width="9.28515625" style="74" customWidth="1"/>
    <col min="14850" max="14850" width="11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5" width="9.28515625" style="74" customWidth="1"/>
    <col min="15106" max="15106" width="11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1" width="9.28515625" style="74" customWidth="1"/>
    <col min="15362" max="15362" width="11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7" width="9.28515625" style="74" customWidth="1"/>
    <col min="15618" max="15618" width="11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3" width="9.28515625" style="74" customWidth="1"/>
    <col min="15874" max="15874" width="11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29" width="9.28515625" style="74" customWidth="1"/>
    <col min="16130" max="16130" width="11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81"/>
      <c r="B9" s="81"/>
      <c r="C9" s="81"/>
      <c r="D9" s="81"/>
      <c r="E9" s="81"/>
      <c r="F9" s="81"/>
      <c r="G9" s="394" t="s">
        <v>279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70.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414</v>
      </c>
      <c r="B15" s="407" t="s">
        <v>415</v>
      </c>
      <c r="C15" s="408"/>
      <c r="D15" s="408"/>
      <c r="E15" s="408"/>
      <c r="F15" s="409"/>
      <c r="G15" s="405" t="s">
        <v>216</v>
      </c>
      <c r="H15" s="413" t="s">
        <v>416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417</v>
      </c>
      <c r="B19" s="376"/>
      <c r="C19" s="378">
        <v>1100000</v>
      </c>
      <c r="D19" s="379"/>
      <c r="E19" s="639">
        <v>1</v>
      </c>
      <c r="F19" s="640"/>
      <c r="G19" s="635">
        <f>+C19/E19</f>
        <v>1100000</v>
      </c>
      <c r="H19" s="636"/>
    </row>
    <row r="20" spans="1:8" x14ac:dyDescent="0.2">
      <c r="A20" s="84"/>
      <c r="B20" s="84"/>
      <c r="C20" s="371" t="s">
        <v>225</v>
      </c>
      <c r="D20" s="371"/>
      <c r="E20" s="371"/>
      <c r="F20" s="371"/>
      <c r="G20" s="637">
        <f>SUM(G19:G19)</f>
        <v>1100000</v>
      </c>
      <c r="H20" s="637"/>
    </row>
    <row r="21" spans="1:8" x14ac:dyDescent="0.2">
      <c r="C21" s="85"/>
      <c r="D21" s="85"/>
      <c r="E21" s="85"/>
      <c r="F21" s="85"/>
      <c r="G21" s="86"/>
      <c r="H21" s="86"/>
    </row>
    <row r="22" spans="1:8" x14ac:dyDescent="0.2">
      <c r="A22" s="83" t="s">
        <v>226</v>
      </c>
      <c r="B22" s="84"/>
      <c r="C22" s="84"/>
      <c r="D22" s="84"/>
      <c r="E22" s="84"/>
      <c r="F22" s="84"/>
      <c r="G22" s="84"/>
      <c r="H22" s="84"/>
    </row>
    <row r="23" spans="1:8" x14ac:dyDescent="0.2">
      <c r="A23" s="374" t="s">
        <v>1</v>
      </c>
      <c r="B23" s="374"/>
      <c r="C23" s="87" t="s">
        <v>227</v>
      </c>
      <c r="D23" s="87" t="s">
        <v>228</v>
      </c>
      <c r="E23" s="374" t="s">
        <v>3</v>
      </c>
      <c r="F23" s="374"/>
      <c r="G23" s="374" t="s">
        <v>220</v>
      </c>
      <c r="H23" s="374"/>
    </row>
    <row r="24" spans="1:8" x14ac:dyDescent="0.2">
      <c r="A24" s="375"/>
      <c r="B24" s="376"/>
      <c r="C24" s="88"/>
      <c r="D24" s="88"/>
      <c r="E24" s="392"/>
      <c r="F24" s="392"/>
      <c r="G24" s="378"/>
      <c r="H24" s="379"/>
    </row>
    <row r="25" spans="1:8" x14ac:dyDescent="0.2">
      <c r="A25" s="375"/>
      <c r="B25" s="376"/>
      <c r="C25" s="88"/>
      <c r="D25" s="88"/>
      <c r="E25" s="392"/>
      <c r="F25" s="392"/>
      <c r="G25" s="378"/>
      <c r="H25" s="379"/>
    </row>
    <row r="26" spans="1:8" x14ac:dyDescent="0.2">
      <c r="A26" s="380"/>
      <c r="B26" s="381"/>
      <c r="C26" s="89"/>
      <c r="D26" s="88"/>
      <c r="E26" s="382"/>
      <c r="F26" s="383"/>
      <c r="G26" s="378"/>
      <c r="H26" s="379"/>
    </row>
    <row r="27" spans="1:8" x14ac:dyDescent="0.2">
      <c r="A27" s="90"/>
      <c r="B27" s="90"/>
      <c r="C27" s="371" t="s">
        <v>225</v>
      </c>
      <c r="D27" s="371"/>
      <c r="E27" s="371"/>
      <c r="F27" s="371"/>
      <c r="G27" s="370"/>
      <c r="H27" s="370"/>
    </row>
    <row r="29" spans="1:8" x14ac:dyDescent="0.2">
      <c r="A29" s="83" t="s">
        <v>232</v>
      </c>
      <c r="B29" s="84"/>
      <c r="C29" s="84"/>
      <c r="D29" s="84"/>
      <c r="E29" s="84"/>
      <c r="F29" s="84"/>
      <c r="G29" s="84"/>
      <c r="H29" s="84"/>
    </row>
    <row r="30" spans="1:8" x14ac:dyDescent="0.2">
      <c r="A30" s="374" t="s">
        <v>233</v>
      </c>
      <c r="B30" s="374"/>
      <c r="C30" s="91" t="s">
        <v>234</v>
      </c>
      <c r="D30" s="92" t="s">
        <v>235</v>
      </c>
      <c r="E30" s="374" t="s">
        <v>412</v>
      </c>
      <c r="F30" s="374"/>
      <c r="G30" s="374" t="s">
        <v>220</v>
      </c>
      <c r="H30" s="374"/>
    </row>
    <row r="31" spans="1:8" x14ac:dyDescent="0.2">
      <c r="A31" s="641"/>
      <c r="B31" s="641"/>
      <c r="C31" s="89"/>
      <c r="D31" s="89"/>
      <c r="E31" s="370"/>
      <c r="F31" s="370"/>
      <c r="G31" s="370"/>
      <c r="H31" s="370"/>
    </row>
    <row r="32" spans="1:8" x14ac:dyDescent="0.2">
      <c r="A32" s="369"/>
      <c r="B32" s="369"/>
      <c r="C32" s="89"/>
      <c r="D32" s="89"/>
      <c r="E32" s="370"/>
      <c r="F32" s="370"/>
      <c r="G32" s="370"/>
      <c r="H32" s="370"/>
    </row>
    <row r="33" spans="1:8" x14ac:dyDescent="0.2">
      <c r="A33" s="369"/>
      <c r="B33" s="369"/>
      <c r="C33" s="89"/>
      <c r="D33" s="89"/>
      <c r="E33" s="370"/>
      <c r="F33" s="370"/>
      <c r="G33" s="370"/>
      <c r="H33" s="370"/>
    </row>
    <row r="34" spans="1:8" x14ac:dyDescent="0.2">
      <c r="A34" s="90"/>
      <c r="B34" s="90"/>
      <c r="C34" s="371" t="s">
        <v>225</v>
      </c>
      <c r="D34" s="371"/>
      <c r="E34" s="371"/>
      <c r="F34" s="371"/>
      <c r="G34" s="370">
        <f>+G31</f>
        <v>0</v>
      </c>
      <c r="H34" s="370"/>
    </row>
    <row r="36" spans="1:8" x14ac:dyDescent="0.2">
      <c r="A36" s="83" t="s">
        <v>237</v>
      </c>
      <c r="B36" s="84"/>
      <c r="C36" s="84"/>
      <c r="D36" s="84"/>
      <c r="E36" s="84"/>
      <c r="F36" s="84"/>
      <c r="G36" s="84"/>
      <c r="H36" s="84"/>
    </row>
    <row r="37" spans="1:8" x14ac:dyDescent="0.2">
      <c r="A37" s="374" t="s">
        <v>238</v>
      </c>
      <c r="B37" s="374"/>
      <c r="C37" s="87" t="s">
        <v>239</v>
      </c>
      <c r="D37" s="92" t="s">
        <v>240</v>
      </c>
      <c r="E37" s="93" t="s">
        <v>241</v>
      </c>
      <c r="F37" s="94" t="s">
        <v>219</v>
      </c>
      <c r="G37" s="374" t="s">
        <v>220</v>
      </c>
      <c r="H37" s="374"/>
    </row>
    <row r="38" spans="1:8" x14ac:dyDescent="0.2">
      <c r="A38" s="375"/>
      <c r="B38" s="376"/>
      <c r="C38" s="88"/>
      <c r="D38" s="96"/>
      <c r="E38" s="88"/>
      <c r="F38" s="184"/>
      <c r="G38" s="370"/>
      <c r="H38" s="370"/>
    </row>
    <row r="39" spans="1:8" x14ac:dyDescent="0.2">
      <c r="A39" s="375"/>
      <c r="B39" s="376"/>
      <c r="C39" s="88"/>
      <c r="D39" s="96"/>
      <c r="E39" s="88"/>
      <c r="F39" s="184"/>
      <c r="G39" s="370"/>
      <c r="H39" s="370"/>
    </row>
    <row r="40" spans="1:8" x14ac:dyDescent="0.2">
      <c r="A40" s="90"/>
      <c r="B40" s="90"/>
      <c r="C40" s="371" t="s">
        <v>225</v>
      </c>
      <c r="D40" s="371"/>
      <c r="E40" s="371"/>
      <c r="F40" s="371"/>
      <c r="G40" s="370">
        <f>+G38+G39</f>
        <v>0</v>
      </c>
      <c r="H40" s="370"/>
    </row>
    <row r="43" spans="1:8" x14ac:dyDescent="0.2">
      <c r="A43" s="372" t="s">
        <v>244</v>
      </c>
      <c r="B43" s="372"/>
      <c r="C43" s="372"/>
      <c r="D43" s="372"/>
      <c r="E43" s="372"/>
      <c r="F43" s="372"/>
      <c r="G43" s="633">
        <f>ROUND(G40+G34+G20,0)</f>
        <v>1100000</v>
      </c>
      <c r="H43" s="633"/>
    </row>
    <row r="44" spans="1:8" x14ac:dyDescent="0.2">
      <c r="G44" s="187">
        <f>+G43</f>
        <v>1100000</v>
      </c>
    </row>
  </sheetData>
  <mergeCells count="61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24:B24"/>
    <mergeCell ref="E24:F24"/>
    <mergeCell ref="G24:H24"/>
    <mergeCell ref="A18:B18"/>
    <mergeCell ref="C18:D18"/>
    <mergeCell ref="E18:F18"/>
    <mergeCell ref="G18:H18"/>
    <mergeCell ref="A19:B19"/>
    <mergeCell ref="C19:D19"/>
    <mergeCell ref="E19:F19"/>
    <mergeCell ref="G19:H19"/>
    <mergeCell ref="C20:F20"/>
    <mergeCell ref="G20:H20"/>
    <mergeCell ref="A23:B23"/>
    <mergeCell ref="E23:F23"/>
    <mergeCell ref="G23:H23"/>
    <mergeCell ref="A31:B31"/>
    <mergeCell ref="E31:F31"/>
    <mergeCell ref="G31:H31"/>
    <mergeCell ref="A25:B25"/>
    <mergeCell ref="E25:F25"/>
    <mergeCell ref="G25:H25"/>
    <mergeCell ref="A26:B26"/>
    <mergeCell ref="E26:F26"/>
    <mergeCell ref="G26:H26"/>
    <mergeCell ref="C27:F27"/>
    <mergeCell ref="G27:H27"/>
    <mergeCell ref="A30:B30"/>
    <mergeCell ref="E30:F30"/>
    <mergeCell ref="G30:H30"/>
    <mergeCell ref="A32:B32"/>
    <mergeCell ref="E32:F32"/>
    <mergeCell ref="G32:H32"/>
    <mergeCell ref="A33:B33"/>
    <mergeCell ref="E33:F33"/>
    <mergeCell ref="G33:H33"/>
    <mergeCell ref="C34:F34"/>
    <mergeCell ref="G34:H34"/>
    <mergeCell ref="A37:B37"/>
    <mergeCell ref="G37:H37"/>
    <mergeCell ref="A38:B38"/>
    <mergeCell ref="G38:H38"/>
    <mergeCell ref="A39:B39"/>
    <mergeCell ref="G39:H39"/>
    <mergeCell ref="C40:F40"/>
    <mergeCell ref="G40:H40"/>
    <mergeCell ref="A43:F43"/>
    <mergeCell ref="G43:H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workbookViewId="0">
      <selection activeCell="G47" sqref="G47"/>
    </sheetView>
  </sheetViews>
  <sheetFormatPr baseColWidth="10" defaultRowHeight="12.75" x14ac:dyDescent="0.2"/>
  <cols>
    <col min="1" max="2" width="9.28515625" style="74" customWidth="1"/>
    <col min="3" max="3" width="10.7109375" style="74" customWidth="1"/>
    <col min="4" max="4" width="12.140625" style="74" customWidth="1"/>
    <col min="5" max="6" width="11.42578125" style="74"/>
    <col min="7" max="7" width="11.7109375" style="74" customWidth="1"/>
    <col min="8" max="8" width="9.28515625" style="74" customWidth="1"/>
    <col min="9" max="256" width="11.42578125" style="74"/>
    <col min="257" max="258" width="9.28515625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4" width="9.28515625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70" width="9.28515625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6" width="9.28515625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2" width="9.28515625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8" width="9.28515625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4" width="9.28515625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50" width="9.28515625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6" width="9.28515625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2" width="9.28515625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8" width="9.28515625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4" width="9.28515625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30" width="9.28515625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6" width="9.28515625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2" width="9.28515625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8" width="9.28515625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4" width="9.28515625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10" width="9.28515625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6" width="9.28515625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2" width="9.28515625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8" width="9.28515625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4" width="9.28515625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90" width="9.28515625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6" width="9.28515625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2" width="9.28515625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8" width="9.28515625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4" width="9.28515625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70" width="9.28515625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6" width="9.28515625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2" width="9.28515625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8" width="9.28515625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4" width="9.28515625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50" width="9.28515625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6" width="9.28515625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2" width="9.28515625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8" width="9.28515625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4" width="9.28515625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30" width="9.28515625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6" width="9.28515625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2" width="9.28515625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8" width="9.28515625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4" width="9.28515625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10" width="9.28515625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6" width="9.28515625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2" width="9.28515625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8" width="9.28515625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4" width="9.28515625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90" width="9.28515625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6" width="9.28515625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2" width="9.28515625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8" width="9.28515625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4" width="9.28515625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70" width="9.28515625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6" width="9.28515625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2" width="9.28515625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8" width="9.28515625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4" width="9.28515625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50" width="9.28515625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6" width="9.28515625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2" width="9.28515625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8" width="9.28515625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4" width="9.28515625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30" width="9.28515625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9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9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9" x14ac:dyDescent="0.2">
      <c r="A3" s="417"/>
      <c r="B3" s="418"/>
      <c r="C3" s="75"/>
      <c r="D3" s="76"/>
      <c r="E3" s="76"/>
      <c r="F3" s="77"/>
      <c r="G3" s="417"/>
      <c r="H3" s="418"/>
    </row>
    <row r="4" spans="1:9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9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9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9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9" ht="13.5" thickBot="1" x14ac:dyDescent="0.25">
      <c r="A9" s="81"/>
      <c r="B9" s="81"/>
      <c r="C9" s="81"/>
      <c r="D9" s="81"/>
      <c r="E9" s="81"/>
      <c r="F9" s="81"/>
      <c r="G9" s="394" t="s">
        <v>213</v>
      </c>
      <c r="H9" s="395"/>
    </row>
    <row r="10" spans="1:9" ht="13.5" thickBot="1" x14ac:dyDescent="0.25"/>
    <row r="11" spans="1:9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9" x14ac:dyDescent="0.2">
      <c r="A12" s="399"/>
      <c r="B12" s="400"/>
      <c r="C12" s="400"/>
      <c r="D12" s="400"/>
      <c r="E12" s="400"/>
      <c r="F12" s="400"/>
      <c r="G12" s="400"/>
      <c r="H12" s="401"/>
    </row>
    <row r="13" spans="1:9" ht="63.75" customHeight="1" thickBot="1" x14ac:dyDescent="0.25">
      <c r="A13" s="402"/>
      <c r="B13" s="403"/>
      <c r="C13" s="403"/>
      <c r="D13" s="403"/>
      <c r="E13" s="403"/>
      <c r="F13" s="403"/>
      <c r="G13" s="403"/>
      <c r="H13" s="404"/>
      <c r="I13" s="190"/>
    </row>
    <row r="14" spans="1:9" ht="13.5" thickBot="1" x14ac:dyDescent="0.25">
      <c r="A14" s="82"/>
    </row>
    <row r="15" spans="1:9" x14ac:dyDescent="0.2">
      <c r="A15" s="405" t="s">
        <v>214</v>
      </c>
      <c r="B15" s="407" t="s">
        <v>215</v>
      </c>
      <c r="C15" s="408"/>
      <c r="D15" s="408"/>
      <c r="E15" s="408"/>
      <c r="F15" s="409"/>
      <c r="G15" s="405" t="s">
        <v>216</v>
      </c>
      <c r="H15" s="413" t="s">
        <v>149</v>
      </c>
    </row>
    <row r="16" spans="1:9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221</v>
      </c>
      <c r="B19" s="376"/>
      <c r="C19" s="370">
        <v>45000</v>
      </c>
      <c r="D19" s="370"/>
      <c r="E19" s="392">
        <v>100</v>
      </c>
      <c r="F19" s="392"/>
      <c r="G19" s="370">
        <f>+C19/E19</f>
        <v>450</v>
      </c>
      <c r="H19" s="370"/>
    </row>
    <row r="20" spans="1:8" x14ac:dyDescent="0.2">
      <c r="A20" s="386" t="s">
        <v>222</v>
      </c>
      <c r="B20" s="387"/>
      <c r="C20" s="388">
        <v>85000</v>
      </c>
      <c r="D20" s="388"/>
      <c r="E20" s="389">
        <v>100</v>
      </c>
      <c r="F20" s="389"/>
      <c r="G20" s="388">
        <f>+C20/E20</f>
        <v>850</v>
      </c>
      <c r="H20" s="388"/>
    </row>
    <row r="21" spans="1:8" x14ac:dyDescent="0.2">
      <c r="A21" s="386" t="s">
        <v>223</v>
      </c>
      <c r="B21" s="387"/>
      <c r="C21" s="390">
        <v>130000</v>
      </c>
      <c r="D21" s="391"/>
      <c r="E21" s="389">
        <v>100</v>
      </c>
      <c r="F21" s="389"/>
      <c r="G21" s="388">
        <f>+C21/E21</f>
        <v>1300</v>
      </c>
      <c r="H21" s="388"/>
    </row>
    <row r="22" spans="1:8" x14ac:dyDescent="0.2">
      <c r="A22" s="375" t="s">
        <v>224</v>
      </c>
      <c r="B22" s="376"/>
      <c r="C22" s="370"/>
      <c r="D22" s="370"/>
      <c r="E22" s="384">
        <v>0.1</v>
      </c>
      <c r="F22" s="385"/>
      <c r="G22" s="370">
        <f>+E22*G43</f>
        <v>758.5</v>
      </c>
      <c r="H22" s="370"/>
    </row>
    <row r="23" spans="1:8" x14ac:dyDescent="0.2">
      <c r="A23" s="84"/>
      <c r="B23" s="84"/>
      <c r="C23" s="371" t="s">
        <v>225</v>
      </c>
      <c r="D23" s="371"/>
      <c r="E23" s="371"/>
      <c r="F23" s="371"/>
      <c r="G23" s="370">
        <f>SUM(G19:H22)</f>
        <v>3358.5</v>
      </c>
      <c r="H23" s="370"/>
    </row>
    <row r="24" spans="1:8" x14ac:dyDescent="0.2">
      <c r="C24" s="85"/>
      <c r="D24" s="85"/>
      <c r="E24" s="85"/>
      <c r="F24" s="85"/>
      <c r="G24" s="86"/>
      <c r="H24" s="86"/>
    </row>
    <row r="25" spans="1:8" x14ac:dyDescent="0.2">
      <c r="A25" s="83" t="s">
        <v>226</v>
      </c>
      <c r="B25" s="84"/>
      <c r="C25" s="84"/>
      <c r="D25" s="84"/>
      <c r="E25" s="84"/>
      <c r="F25" s="84"/>
      <c r="G25" s="84"/>
      <c r="H25" s="84"/>
    </row>
    <row r="26" spans="1:8" x14ac:dyDescent="0.2">
      <c r="A26" s="374" t="s">
        <v>1</v>
      </c>
      <c r="B26" s="374"/>
      <c r="C26" s="87" t="s">
        <v>227</v>
      </c>
      <c r="D26" s="87" t="s">
        <v>228</v>
      </c>
      <c r="E26" s="374" t="s">
        <v>3</v>
      </c>
      <c r="F26" s="374"/>
      <c r="G26" s="374" t="s">
        <v>220</v>
      </c>
      <c r="H26" s="374"/>
    </row>
    <row r="27" spans="1:8" x14ac:dyDescent="0.2">
      <c r="A27" s="375" t="s">
        <v>229</v>
      </c>
      <c r="B27" s="376"/>
      <c r="C27" s="88" t="s">
        <v>230</v>
      </c>
      <c r="D27" s="88">
        <v>80000</v>
      </c>
      <c r="E27" s="377">
        <v>0.2</v>
      </c>
      <c r="F27" s="377"/>
      <c r="G27" s="378">
        <f>+D27*E27</f>
        <v>16000</v>
      </c>
      <c r="H27" s="379"/>
    </row>
    <row r="28" spans="1:8" x14ac:dyDescent="0.2">
      <c r="A28" s="375" t="s">
        <v>231</v>
      </c>
      <c r="B28" s="376"/>
      <c r="C28" s="88" t="s">
        <v>230</v>
      </c>
      <c r="D28" s="88">
        <v>15000</v>
      </c>
      <c r="E28" s="377">
        <v>0.2</v>
      </c>
      <c r="F28" s="377"/>
      <c r="G28" s="378">
        <f>+D28*E28</f>
        <v>3000</v>
      </c>
      <c r="H28" s="379"/>
    </row>
    <row r="29" spans="1:8" x14ac:dyDescent="0.2">
      <c r="A29" s="380"/>
      <c r="B29" s="381"/>
      <c r="C29" s="89"/>
      <c r="D29" s="88"/>
      <c r="E29" s="382"/>
      <c r="F29" s="383"/>
      <c r="G29" s="378"/>
      <c r="H29" s="379"/>
    </row>
    <row r="30" spans="1:8" x14ac:dyDescent="0.2">
      <c r="A30" s="90"/>
      <c r="B30" s="90"/>
      <c r="C30" s="371" t="s">
        <v>225</v>
      </c>
      <c r="D30" s="371"/>
      <c r="E30" s="371"/>
      <c r="F30" s="371"/>
      <c r="G30" s="370">
        <f>SUM(G27:G29)</f>
        <v>19000</v>
      </c>
      <c r="H30" s="370"/>
    </row>
    <row r="32" spans="1:8" x14ac:dyDescent="0.2">
      <c r="A32" s="83" t="s">
        <v>232</v>
      </c>
      <c r="B32" s="84"/>
      <c r="C32" s="84"/>
      <c r="D32" s="84"/>
      <c r="E32" s="84"/>
      <c r="F32" s="84"/>
      <c r="G32" s="84"/>
      <c r="H32" s="84"/>
    </row>
    <row r="33" spans="1:8" x14ac:dyDescent="0.2">
      <c r="A33" s="374" t="s">
        <v>233</v>
      </c>
      <c r="B33" s="374"/>
      <c r="C33" s="91" t="s">
        <v>234</v>
      </c>
      <c r="D33" s="92" t="s">
        <v>235</v>
      </c>
      <c r="E33" s="374" t="s">
        <v>236</v>
      </c>
      <c r="F33" s="374"/>
      <c r="G33" s="374" t="s">
        <v>220</v>
      </c>
      <c r="H33" s="374"/>
    </row>
    <row r="34" spans="1:8" x14ac:dyDescent="0.2">
      <c r="A34" s="369"/>
      <c r="B34" s="369"/>
      <c r="C34" s="89"/>
      <c r="D34" s="89"/>
      <c r="E34" s="370"/>
      <c r="F34" s="370"/>
      <c r="G34" s="370"/>
      <c r="H34" s="370"/>
    </row>
    <row r="35" spans="1:8" x14ac:dyDescent="0.2">
      <c r="A35" s="369"/>
      <c r="B35" s="369"/>
      <c r="C35" s="89"/>
      <c r="D35" s="89"/>
      <c r="E35" s="370"/>
      <c r="F35" s="370"/>
      <c r="G35" s="370"/>
      <c r="H35" s="370"/>
    </row>
    <row r="36" spans="1:8" x14ac:dyDescent="0.2">
      <c r="A36" s="369"/>
      <c r="B36" s="369"/>
      <c r="C36" s="89"/>
      <c r="D36" s="89"/>
      <c r="E36" s="370"/>
      <c r="F36" s="370"/>
      <c r="G36" s="370"/>
      <c r="H36" s="370"/>
    </row>
    <row r="37" spans="1:8" x14ac:dyDescent="0.2">
      <c r="A37" s="90"/>
      <c r="B37" s="90"/>
      <c r="C37" s="371" t="s">
        <v>225</v>
      </c>
      <c r="D37" s="371"/>
      <c r="E37" s="371"/>
      <c r="F37" s="371"/>
      <c r="G37" s="370"/>
      <c r="H37" s="370"/>
    </row>
    <row r="39" spans="1:8" x14ac:dyDescent="0.2">
      <c r="A39" s="83" t="s">
        <v>237</v>
      </c>
      <c r="B39" s="84"/>
      <c r="C39" s="84"/>
      <c r="D39" s="84"/>
      <c r="E39" s="84"/>
      <c r="F39" s="84"/>
      <c r="G39" s="84"/>
      <c r="H39" s="84"/>
    </row>
    <row r="40" spans="1:8" x14ac:dyDescent="0.2">
      <c r="A40" s="374" t="s">
        <v>238</v>
      </c>
      <c r="B40" s="374"/>
      <c r="C40" s="87" t="s">
        <v>239</v>
      </c>
      <c r="D40" s="92" t="s">
        <v>240</v>
      </c>
      <c r="E40" s="93" t="s">
        <v>241</v>
      </c>
      <c r="F40" s="94" t="s">
        <v>219</v>
      </c>
      <c r="G40" s="374" t="s">
        <v>220</v>
      </c>
      <c r="H40" s="374"/>
    </row>
    <row r="41" spans="1:8" x14ac:dyDescent="0.2">
      <c r="A41" s="375" t="s">
        <v>242</v>
      </c>
      <c r="B41" s="376"/>
      <c r="C41" s="88">
        <v>60000</v>
      </c>
      <c r="D41" s="95">
        <v>0.85</v>
      </c>
      <c r="E41" s="88">
        <f>+((C41*D41)+C41)</f>
        <v>111000</v>
      </c>
      <c r="F41" s="96">
        <v>100</v>
      </c>
      <c r="G41" s="370">
        <f>+E41/F41</f>
        <v>1110</v>
      </c>
      <c r="H41" s="370"/>
    </row>
    <row r="42" spans="1:8" x14ac:dyDescent="0.2">
      <c r="A42" s="369" t="s">
        <v>243</v>
      </c>
      <c r="B42" s="369"/>
      <c r="C42" s="88">
        <v>350000</v>
      </c>
      <c r="D42" s="95">
        <v>0.85</v>
      </c>
      <c r="E42" s="88">
        <f>+((C42*D42)+C42)</f>
        <v>647500</v>
      </c>
      <c r="F42" s="96">
        <v>100</v>
      </c>
      <c r="G42" s="370">
        <f>+E42/F42</f>
        <v>6475</v>
      </c>
      <c r="H42" s="370"/>
    </row>
    <row r="43" spans="1:8" x14ac:dyDescent="0.2">
      <c r="A43" s="90"/>
      <c r="B43" s="90"/>
      <c r="C43" s="371" t="s">
        <v>225</v>
      </c>
      <c r="D43" s="371"/>
      <c r="E43" s="371"/>
      <c r="F43" s="371"/>
      <c r="G43" s="370">
        <f>SUM(G41:H42)</f>
        <v>7585</v>
      </c>
      <c r="H43" s="370"/>
    </row>
    <row r="46" spans="1:8" x14ac:dyDescent="0.2">
      <c r="A46" s="372" t="s">
        <v>244</v>
      </c>
      <c r="B46" s="372"/>
      <c r="C46" s="372"/>
      <c r="D46" s="372"/>
      <c r="E46" s="372"/>
      <c r="F46" s="372"/>
      <c r="G46" s="373">
        <f>+ROUND(G23+G30+G37+G43,0)</f>
        <v>29944</v>
      </c>
      <c r="H46" s="373"/>
    </row>
    <row r="47" spans="1:8" x14ac:dyDescent="0.2">
      <c r="G47" s="186">
        <f>+G46</f>
        <v>29944</v>
      </c>
    </row>
    <row r="48" spans="1:8" x14ac:dyDescent="0.2">
      <c r="G48" s="301"/>
    </row>
  </sheetData>
  <mergeCells count="73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7:B27"/>
    <mergeCell ref="E27:F27"/>
    <mergeCell ref="G27:H27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C30:F30"/>
    <mergeCell ref="G30:H30"/>
    <mergeCell ref="A33:B33"/>
    <mergeCell ref="E33:F33"/>
    <mergeCell ref="G33:H33"/>
    <mergeCell ref="A35:B35"/>
    <mergeCell ref="E35:F35"/>
    <mergeCell ref="G35:H35"/>
    <mergeCell ref="A36:B36"/>
    <mergeCell ref="E36:F36"/>
    <mergeCell ref="G36:H36"/>
    <mergeCell ref="C37:F37"/>
    <mergeCell ref="G37:H37"/>
    <mergeCell ref="A40:B40"/>
    <mergeCell ref="G40:H40"/>
    <mergeCell ref="A41:B41"/>
    <mergeCell ref="G41:H41"/>
    <mergeCell ref="A42:B42"/>
    <mergeCell ref="G42:H42"/>
    <mergeCell ref="C43:F43"/>
    <mergeCell ref="G43:H43"/>
    <mergeCell ref="A46:F46"/>
    <mergeCell ref="G46:H4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6"/>
  <sheetViews>
    <sheetView workbookViewId="0">
      <selection activeCell="G45" sqref="G45:H45"/>
    </sheetView>
  </sheetViews>
  <sheetFormatPr baseColWidth="10" defaultRowHeight="12.75" x14ac:dyDescent="0.2"/>
  <cols>
    <col min="1" max="2" width="9.28515625" style="74" customWidth="1"/>
    <col min="3" max="3" width="10.7109375" style="74" customWidth="1"/>
    <col min="4" max="4" width="12.140625" style="74" customWidth="1"/>
    <col min="5" max="6" width="11.42578125" style="74"/>
    <col min="7" max="8" width="9.28515625" style="74" customWidth="1"/>
    <col min="9" max="256" width="11.42578125" style="74"/>
    <col min="257" max="258" width="9.28515625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4" width="9.28515625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70" width="9.28515625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6" width="9.28515625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2" width="9.28515625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8" width="9.28515625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4" width="9.28515625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50" width="9.28515625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6" width="9.28515625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2" width="9.28515625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8" width="9.28515625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4" width="9.28515625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30" width="9.28515625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6" width="9.28515625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2" width="9.28515625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8" width="9.28515625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4" width="9.28515625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10" width="9.28515625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6" width="9.28515625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2" width="9.28515625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8" width="9.28515625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4" width="9.28515625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90" width="9.28515625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6" width="9.28515625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2" width="9.28515625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8" width="9.28515625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4" width="9.28515625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70" width="9.28515625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6" width="9.28515625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2" width="9.28515625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8" width="9.28515625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4" width="9.28515625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50" width="9.28515625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6" width="9.28515625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2" width="9.28515625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8" width="9.28515625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4" width="9.28515625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30" width="9.28515625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6" width="9.28515625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2" width="9.28515625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8" width="9.28515625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4" width="9.28515625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10" width="9.28515625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6" width="9.28515625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2" width="9.28515625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8" width="9.28515625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4" width="9.28515625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90" width="9.28515625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6" width="9.28515625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2" width="9.28515625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8" width="9.28515625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4" width="9.28515625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70" width="9.28515625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6" width="9.28515625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2" width="9.28515625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8" width="9.28515625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4" width="9.28515625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50" width="9.28515625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6" width="9.28515625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2" width="9.28515625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8" width="9.28515625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4" width="9.28515625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30" width="9.28515625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81"/>
      <c r="B9" s="81"/>
      <c r="C9" s="81"/>
      <c r="D9" s="81"/>
      <c r="E9" s="81"/>
      <c r="F9" s="81"/>
      <c r="G9" s="394" t="s">
        <v>279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61.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418</v>
      </c>
      <c r="B15" s="407" t="s">
        <v>419</v>
      </c>
      <c r="C15" s="408"/>
      <c r="D15" s="408"/>
      <c r="E15" s="408"/>
      <c r="F15" s="409"/>
      <c r="G15" s="405" t="s">
        <v>216</v>
      </c>
      <c r="H15" s="413" t="s">
        <v>420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421</v>
      </c>
      <c r="B19" s="376"/>
      <c r="C19" s="378">
        <v>150000</v>
      </c>
      <c r="D19" s="379"/>
      <c r="E19" s="639">
        <v>80</v>
      </c>
      <c r="F19" s="640"/>
      <c r="G19" s="635">
        <f>+C19/E19</f>
        <v>1875</v>
      </c>
      <c r="H19" s="636"/>
    </row>
    <row r="20" spans="1:8" x14ac:dyDescent="0.2">
      <c r="A20" s="375" t="s">
        <v>422</v>
      </c>
      <c r="B20" s="376"/>
      <c r="C20" s="378">
        <v>80000</v>
      </c>
      <c r="D20" s="379"/>
      <c r="E20" s="639">
        <v>0.125</v>
      </c>
      <c r="F20" s="640"/>
      <c r="G20" s="378">
        <v>302400</v>
      </c>
      <c r="H20" s="379"/>
    </row>
    <row r="21" spans="1:8" x14ac:dyDescent="0.2">
      <c r="A21" s="375" t="s">
        <v>224</v>
      </c>
      <c r="B21" s="376"/>
      <c r="C21" s="378"/>
      <c r="D21" s="379"/>
      <c r="E21" s="643"/>
      <c r="F21" s="644"/>
      <c r="G21" s="378">
        <v>4925</v>
      </c>
      <c r="H21" s="379"/>
    </row>
    <row r="22" spans="1:8" x14ac:dyDescent="0.2">
      <c r="A22" s="84"/>
      <c r="B22" s="84"/>
      <c r="C22" s="371" t="s">
        <v>225</v>
      </c>
      <c r="D22" s="371"/>
      <c r="E22" s="371"/>
      <c r="F22" s="371"/>
      <c r="G22" s="637">
        <f>SUM(G19:G21)</f>
        <v>309200</v>
      </c>
      <c r="H22" s="637"/>
    </row>
    <row r="23" spans="1:8" x14ac:dyDescent="0.2">
      <c r="C23" s="85"/>
      <c r="D23" s="85"/>
      <c r="E23" s="85"/>
      <c r="F23" s="85"/>
      <c r="G23" s="86"/>
      <c r="H23" s="86"/>
    </row>
    <row r="24" spans="1:8" x14ac:dyDescent="0.2">
      <c r="A24" s="83" t="s">
        <v>226</v>
      </c>
      <c r="B24" s="84"/>
      <c r="C24" s="84"/>
      <c r="D24" s="84"/>
      <c r="E24" s="84"/>
      <c r="F24" s="84"/>
      <c r="G24" s="84"/>
      <c r="H24" s="84"/>
    </row>
    <row r="25" spans="1:8" x14ac:dyDescent="0.2">
      <c r="A25" s="374" t="s">
        <v>1</v>
      </c>
      <c r="B25" s="374"/>
      <c r="C25" s="87" t="s">
        <v>227</v>
      </c>
      <c r="D25" s="87" t="s">
        <v>228</v>
      </c>
      <c r="E25" s="374" t="s">
        <v>3</v>
      </c>
      <c r="F25" s="374"/>
      <c r="G25" s="374" t="s">
        <v>220</v>
      </c>
      <c r="H25" s="374"/>
    </row>
    <row r="26" spans="1:8" x14ac:dyDescent="0.2">
      <c r="A26" s="375"/>
      <c r="B26" s="376"/>
      <c r="C26" s="88"/>
      <c r="D26" s="88"/>
      <c r="E26" s="392"/>
      <c r="F26" s="392"/>
      <c r="G26" s="378"/>
      <c r="H26" s="379"/>
    </row>
    <row r="27" spans="1:8" x14ac:dyDescent="0.2">
      <c r="A27" s="375"/>
      <c r="B27" s="376"/>
      <c r="C27" s="88"/>
      <c r="D27" s="88"/>
      <c r="E27" s="392"/>
      <c r="F27" s="392"/>
      <c r="G27" s="378"/>
      <c r="H27" s="379"/>
    </row>
    <row r="28" spans="1:8" x14ac:dyDescent="0.2">
      <c r="A28" s="380"/>
      <c r="B28" s="381"/>
      <c r="C28" s="89"/>
      <c r="D28" s="88"/>
      <c r="E28" s="382"/>
      <c r="F28" s="383"/>
      <c r="G28" s="378"/>
      <c r="H28" s="379"/>
    </row>
    <row r="29" spans="1:8" x14ac:dyDescent="0.2">
      <c r="A29" s="90"/>
      <c r="B29" s="90"/>
      <c r="C29" s="371" t="s">
        <v>225</v>
      </c>
      <c r="D29" s="371"/>
      <c r="E29" s="371"/>
      <c r="F29" s="371"/>
      <c r="G29" s="370"/>
      <c r="H29" s="370"/>
    </row>
    <row r="31" spans="1:8" x14ac:dyDescent="0.2">
      <c r="A31" s="83" t="s">
        <v>232</v>
      </c>
      <c r="B31" s="84"/>
      <c r="C31" s="84"/>
      <c r="D31" s="84"/>
      <c r="E31" s="84"/>
      <c r="F31" s="84"/>
      <c r="G31" s="84"/>
      <c r="H31" s="84"/>
    </row>
    <row r="32" spans="1:8" x14ac:dyDescent="0.2">
      <c r="A32" s="374" t="s">
        <v>233</v>
      </c>
      <c r="B32" s="374"/>
      <c r="C32" s="91" t="s">
        <v>234</v>
      </c>
      <c r="D32" s="92" t="s">
        <v>235</v>
      </c>
      <c r="E32" s="374" t="s">
        <v>412</v>
      </c>
      <c r="F32" s="374"/>
      <c r="G32" s="374" t="s">
        <v>220</v>
      </c>
      <c r="H32" s="374"/>
    </row>
    <row r="33" spans="1:8" ht="41.25" customHeight="1" x14ac:dyDescent="0.2">
      <c r="A33" s="642" t="s">
        <v>423</v>
      </c>
      <c r="B33" s="642"/>
      <c r="C33" s="89">
        <v>1.5</v>
      </c>
      <c r="D33" s="185">
        <v>30</v>
      </c>
      <c r="E33" s="370">
        <v>1000</v>
      </c>
      <c r="F33" s="370"/>
      <c r="G33" s="370">
        <f>+E33*D33*C33</f>
        <v>45000</v>
      </c>
      <c r="H33" s="370"/>
    </row>
    <row r="34" spans="1:8" x14ac:dyDescent="0.2">
      <c r="A34" s="369"/>
      <c r="B34" s="369"/>
      <c r="C34" s="89"/>
      <c r="D34" s="89"/>
      <c r="E34" s="370"/>
      <c r="F34" s="370"/>
      <c r="G34" s="370"/>
      <c r="H34" s="370"/>
    </row>
    <row r="35" spans="1:8" x14ac:dyDescent="0.2">
      <c r="A35" s="369"/>
      <c r="B35" s="369"/>
      <c r="C35" s="89"/>
      <c r="D35" s="89"/>
      <c r="E35" s="370"/>
      <c r="F35" s="370"/>
      <c r="G35" s="370"/>
      <c r="H35" s="370"/>
    </row>
    <row r="36" spans="1:8" x14ac:dyDescent="0.2">
      <c r="A36" s="90"/>
      <c r="B36" s="90"/>
      <c r="C36" s="371" t="s">
        <v>225</v>
      </c>
      <c r="D36" s="371"/>
      <c r="E36" s="371"/>
      <c r="F36" s="371"/>
      <c r="G36" s="370">
        <f>+G33</f>
        <v>45000</v>
      </c>
      <c r="H36" s="370"/>
    </row>
    <row r="38" spans="1:8" x14ac:dyDescent="0.2">
      <c r="A38" s="83" t="s">
        <v>237</v>
      </c>
      <c r="B38" s="84"/>
      <c r="C38" s="84"/>
      <c r="D38" s="84"/>
      <c r="E38" s="84"/>
      <c r="F38" s="84"/>
      <c r="G38" s="84"/>
      <c r="H38" s="84"/>
    </row>
    <row r="39" spans="1:8" x14ac:dyDescent="0.2">
      <c r="A39" s="374" t="s">
        <v>238</v>
      </c>
      <c r="B39" s="374"/>
      <c r="C39" s="87" t="s">
        <v>239</v>
      </c>
      <c r="D39" s="92" t="s">
        <v>240</v>
      </c>
      <c r="E39" s="87" t="s">
        <v>241</v>
      </c>
      <c r="F39" s="94" t="s">
        <v>219</v>
      </c>
      <c r="G39" s="374" t="s">
        <v>220</v>
      </c>
      <c r="H39" s="374"/>
    </row>
    <row r="40" spans="1:8" x14ac:dyDescent="0.2">
      <c r="A40" s="375" t="s">
        <v>314</v>
      </c>
      <c r="B40" s="376"/>
      <c r="C40" s="88">
        <f>35000*4</f>
        <v>140000</v>
      </c>
      <c r="D40" s="96">
        <v>1.85</v>
      </c>
      <c r="E40" s="88">
        <f>+C40*D40</f>
        <v>259000</v>
      </c>
      <c r="F40" s="184">
        <v>1</v>
      </c>
      <c r="G40" s="370">
        <f>+E40/F40</f>
        <v>259000</v>
      </c>
      <c r="H40" s="370"/>
    </row>
    <row r="41" spans="1:8" x14ac:dyDescent="0.2">
      <c r="A41" s="375" t="s">
        <v>242</v>
      </c>
      <c r="B41" s="376"/>
      <c r="C41" s="88">
        <v>60000</v>
      </c>
      <c r="D41" s="96">
        <v>1.85</v>
      </c>
      <c r="E41" s="88">
        <f>+C41*D41</f>
        <v>111000</v>
      </c>
      <c r="F41" s="184">
        <v>1</v>
      </c>
      <c r="G41" s="370">
        <f>+E41/F41</f>
        <v>111000</v>
      </c>
      <c r="H41" s="370"/>
    </row>
    <row r="42" spans="1:8" x14ac:dyDescent="0.2">
      <c r="A42" s="90"/>
      <c r="B42" s="90"/>
      <c r="C42" s="371" t="s">
        <v>225</v>
      </c>
      <c r="D42" s="371"/>
      <c r="E42" s="371"/>
      <c r="F42" s="371"/>
      <c r="G42" s="370">
        <f>+G40+G41</f>
        <v>370000</v>
      </c>
      <c r="H42" s="370"/>
    </row>
    <row r="45" spans="1:8" x14ac:dyDescent="0.2">
      <c r="A45" s="372" t="s">
        <v>244</v>
      </c>
      <c r="B45" s="372"/>
      <c r="C45" s="372"/>
      <c r="D45" s="372"/>
      <c r="E45" s="372"/>
      <c r="F45" s="372"/>
      <c r="G45" s="633">
        <f>ROUND(G42+G36+G22,0)</f>
        <v>724200</v>
      </c>
      <c r="H45" s="633"/>
    </row>
    <row r="46" spans="1:8" x14ac:dyDescent="0.2">
      <c r="G46" s="187">
        <f>+G45</f>
        <v>724200</v>
      </c>
    </row>
  </sheetData>
  <mergeCells count="69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6:B26"/>
    <mergeCell ref="E26:F26"/>
    <mergeCell ref="G26:H26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33:B33"/>
    <mergeCell ref="E33:F33"/>
    <mergeCell ref="G33:H33"/>
    <mergeCell ref="A27:B27"/>
    <mergeCell ref="E27:F27"/>
    <mergeCell ref="G27:H27"/>
    <mergeCell ref="A28:B28"/>
    <mergeCell ref="E28:F28"/>
    <mergeCell ref="G28:H28"/>
    <mergeCell ref="C29:F29"/>
    <mergeCell ref="G29:H29"/>
    <mergeCell ref="A32:B32"/>
    <mergeCell ref="E32:F32"/>
    <mergeCell ref="G32:H32"/>
    <mergeCell ref="A34:B34"/>
    <mergeCell ref="E34:F34"/>
    <mergeCell ref="G34:H34"/>
    <mergeCell ref="A35:B35"/>
    <mergeCell ref="E35:F35"/>
    <mergeCell ref="G35:H35"/>
    <mergeCell ref="C36:F36"/>
    <mergeCell ref="G36:H36"/>
    <mergeCell ref="A39:B39"/>
    <mergeCell ref="G39:H39"/>
    <mergeCell ref="A40:B40"/>
    <mergeCell ref="G40:H40"/>
    <mergeCell ref="A41:B41"/>
    <mergeCell ref="G41:H41"/>
    <mergeCell ref="C42:F42"/>
    <mergeCell ref="G42:H42"/>
    <mergeCell ref="A45:F45"/>
    <mergeCell ref="G45:H45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1"/>
  <sheetViews>
    <sheetView workbookViewId="0">
      <selection activeCell="G50" sqref="G50:H50"/>
    </sheetView>
  </sheetViews>
  <sheetFormatPr baseColWidth="10" defaultRowHeight="12.75" x14ac:dyDescent="0.2"/>
  <cols>
    <col min="1" max="2" width="9.28515625" style="74" customWidth="1"/>
    <col min="3" max="3" width="10.7109375" style="74" customWidth="1"/>
    <col min="4" max="4" width="12.140625" style="74" customWidth="1"/>
    <col min="5" max="6" width="11.42578125" style="74"/>
    <col min="7" max="7" width="11.42578125" style="74" customWidth="1"/>
    <col min="8" max="8" width="9.28515625" style="74" customWidth="1"/>
    <col min="9" max="256" width="11.42578125" style="74"/>
    <col min="257" max="258" width="9.28515625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28515625" style="74" customWidth="1"/>
    <col min="265" max="512" width="11.42578125" style="74"/>
    <col min="513" max="514" width="9.28515625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28515625" style="74" customWidth="1"/>
    <col min="521" max="768" width="11.42578125" style="74"/>
    <col min="769" max="770" width="9.28515625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28515625" style="74" customWidth="1"/>
    <col min="777" max="1024" width="11.42578125" style="74"/>
    <col min="1025" max="1026" width="9.28515625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28515625" style="74" customWidth="1"/>
    <col min="1033" max="1280" width="11.42578125" style="74"/>
    <col min="1281" max="1282" width="9.28515625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28515625" style="74" customWidth="1"/>
    <col min="1289" max="1536" width="11.42578125" style="74"/>
    <col min="1537" max="1538" width="9.28515625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28515625" style="74" customWidth="1"/>
    <col min="1545" max="1792" width="11.42578125" style="74"/>
    <col min="1793" max="1794" width="9.28515625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28515625" style="74" customWidth="1"/>
    <col min="1801" max="2048" width="11.42578125" style="74"/>
    <col min="2049" max="2050" width="9.28515625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28515625" style="74" customWidth="1"/>
    <col min="2057" max="2304" width="11.42578125" style="74"/>
    <col min="2305" max="2306" width="9.28515625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28515625" style="74" customWidth="1"/>
    <col min="2313" max="2560" width="11.42578125" style="74"/>
    <col min="2561" max="2562" width="9.28515625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28515625" style="74" customWidth="1"/>
    <col min="2569" max="2816" width="11.42578125" style="74"/>
    <col min="2817" max="2818" width="9.28515625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28515625" style="74" customWidth="1"/>
    <col min="2825" max="3072" width="11.42578125" style="74"/>
    <col min="3073" max="3074" width="9.28515625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28515625" style="74" customWidth="1"/>
    <col min="3081" max="3328" width="11.42578125" style="74"/>
    <col min="3329" max="3330" width="9.28515625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28515625" style="74" customWidth="1"/>
    <col min="3337" max="3584" width="11.42578125" style="74"/>
    <col min="3585" max="3586" width="9.28515625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28515625" style="74" customWidth="1"/>
    <col min="3593" max="3840" width="11.42578125" style="74"/>
    <col min="3841" max="3842" width="9.28515625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28515625" style="74" customWidth="1"/>
    <col min="3849" max="4096" width="11.42578125" style="74"/>
    <col min="4097" max="4098" width="9.28515625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28515625" style="74" customWidth="1"/>
    <col min="4105" max="4352" width="11.42578125" style="74"/>
    <col min="4353" max="4354" width="9.28515625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28515625" style="74" customWidth="1"/>
    <col min="4361" max="4608" width="11.42578125" style="74"/>
    <col min="4609" max="4610" width="9.28515625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28515625" style="74" customWidth="1"/>
    <col min="4617" max="4864" width="11.42578125" style="74"/>
    <col min="4865" max="4866" width="9.28515625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28515625" style="74" customWidth="1"/>
    <col min="4873" max="5120" width="11.42578125" style="74"/>
    <col min="5121" max="5122" width="9.28515625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28515625" style="74" customWidth="1"/>
    <col min="5129" max="5376" width="11.42578125" style="74"/>
    <col min="5377" max="5378" width="9.28515625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28515625" style="74" customWidth="1"/>
    <col min="5385" max="5632" width="11.42578125" style="74"/>
    <col min="5633" max="5634" width="9.28515625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28515625" style="74" customWidth="1"/>
    <col min="5641" max="5888" width="11.42578125" style="74"/>
    <col min="5889" max="5890" width="9.28515625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28515625" style="74" customWidth="1"/>
    <col min="5897" max="6144" width="11.42578125" style="74"/>
    <col min="6145" max="6146" width="9.28515625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28515625" style="74" customWidth="1"/>
    <col min="6153" max="6400" width="11.42578125" style="74"/>
    <col min="6401" max="6402" width="9.28515625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28515625" style="74" customWidth="1"/>
    <col min="6409" max="6656" width="11.42578125" style="74"/>
    <col min="6657" max="6658" width="9.28515625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28515625" style="74" customWidth="1"/>
    <col min="6665" max="6912" width="11.42578125" style="74"/>
    <col min="6913" max="6914" width="9.28515625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28515625" style="74" customWidth="1"/>
    <col min="6921" max="7168" width="11.42578125" style="74"/>
    <col min="7169" max="7170" width="9.28515625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28515625" style="74" customWidth="1"/>
    <col min="7177" max="7424" width="11.42578125" style="74"/>
    <col min="7425" max="7426" width="9.28515625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28515625" style="74" customWidth="1"/>
    <col min="7433" max="7680" width="11.42578125" style="74"/>
    <col min="7681" max="7682" width="9.28515625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28515625" style="74" customWidth="1"/>
    <col min="7689" max="7936" width="11.42578125" style="74"/>
    <col min="7937" max="7938" width="9.28515625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28515625" style="74" customWidth="1"/>
    <col min="7945" max="8192" width="11.42578125" style="74"/>
    <col min="8193" max="8194" width="9.28515625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28515625" style="74" customWidth="1"/>
    <col min="8201" max="8448" width="11.42578125" style="74"/>
    <col min="8449" max="8450" width="9.28515625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28515625" style="74" customWidth="1"/>
    <col min="8457" max="8704" width="11.42578125" style="74"/>
    <col min="8705" max="8706" width="9.28515625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28515625" style="74" customWidth="1"/>
    <col min="8713" max="8960" width="11.42578125" style="74"/>
    <col min="8961" max="8962" width="9.28515625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28515625" style="74" customWidth="1"/>
    <col min="8969" max="9216" width="11.42578125" style="74"/>
    <col min="9217" max="9218" width="9.28515625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28515625" style="74" customWidth="1"/>
    <col min="9225" max="9472" width="11.42578125" style="74"/>
    <col min="9473" max="9474" width="9.28515625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28515625" style="74" customWidth="1"/>
    <col min="9481" max="9728" width="11.42578125" style="74"/>
    <col min="9729" max="9730" width="9.28515625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28515625" style="74" customWidth="1"/>
    <col min="9737" max="9984" width="11.42578125" style="74"/>
    <col min="9985" max="9986" width="9.28515625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28515625" style="74" customWidth="1"/>
    <col min="9993" max="10240" width="11.42578125" style="74"/>
    <col min="10241" max="10242" width="9.28515625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28515625" style="74" customWidth="1"/>
    <col min="10249" max="10496" width="11.42578125" style="74"/>
    <col min="10497" max="10498" width="9.28515625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28515625" style="74" customWidth="1"/>
    <col min="10505" max="10752" width="11.42578125" style="74"/>
    <col min="10753" max="10754" width="9.28515625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28515625" style="74" customWidth="1"/>
    <col min="10761" max="11008" width="11.42578125" style="74"/>
    <col min="11009" max="11010" width="9.28515625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28515625" style="74" customWidth="1"/>
    <col min="11017" max="11264" width="11.42578125" style="74"/>
    <col min="11265" max="11266" width="9.28515625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28515625" style="74" customWidth="1"/>
    <col min="11273" max="11520" width="11.42578125" style="74"/>
    <col min="11521" max="11522" width="9.28515625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28515625" style="74" customWidth="1"/>
    <col min="11529" max="11776" width="11.42578125" style="74"/>
    <col min="11777" max="11778" width="9.28515625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28515625" style="74" customWidth="1"/>
    <col min="11785" max="12032" width="11.42578125" style="74"/>
    <col min="12033" max="12034" width="9.28515625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28515625" style="74" customWidth="1"/>
    <col min="12041" max="12288" width="11.42578125" style="74"/>
    <col min="12289" max="12290" width="9.28515625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28515625" style="74" customWidth="1"/>
    <col min="12297" max="12544" width="11.42578125" style="74"/>
    <col min="12545" max="12546" width="9.28515625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28515625" style="74" customWidth="1"/>
    <col min="12553" max="12800" width="11.42578125" style="74"/>
    <col min="12801" max="12802" width="9.28515625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28515625" style="74" customWidth="1"/>
    <col min="12809" max="13056" width="11.42578125" style="74"/>
    <col min="13057" max="13058" width="9.28515625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28515625" style="74" customWidth="1"/>
    <col min="13065" max="13312" width="11.42578125" style="74"/>
    <col min="13313" max="13314" width="9.28515625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28515625" style="74" customWidth="1"/>
    <col min="13321" max="13568" width="11.42578125" style="74"/>
    <col min="13569" max="13570" width="9.28515625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28515625" style="74" customWidth="1"/>
    <col min="13577" max="13824" width="11.42578125" style="74"/>
    <col min="13825" max="13826" width="9.28515625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28515625" style="74" customWidth="1"/>
    <col min="13833" max="14080" width="11.42578125" style="74"/>
    <col min="14081" max="14082" width="9.28515625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28515625" style="74" customWidth="1"/>
    <col min="14089" max="14336" width="11.42578125" style="74"/>
    <col min="14337" max="14338" width="9.28515625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28515625" style="74" customWidth="1"/>
    <col min="14345" max="14592" width="11.42578125" style="74"/>
    <col min="14593" max="14594" width="9.28515625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28515625" style="74" customWidth="1"/>
    <col min="14601" max="14848" width="11.42578125" style="74"/>
    <col min="14849" max="14850" width="9.28515625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28515625" style="74" customWidth="1"/>
    <col min="14857" max="15104" width="11.42578125" style="74"/>
    <col min="15105" max="15106" width="9.28515625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28515625" style="74" customWidth="1"/>
    <col min="15113" max="15360" width="11.42578125" style="74"/>
    <col min="15361" max="15362" width="9.28515625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28515625" style="74" customWidth="1"/>
    <col min="15369" max="15616" width="11.42578125" style="74"/>
    <col min="15617" max="15618" width="9.28515625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28515625" style="74" customWidth="1"/>
    <col min="15625" max="15872" width="11.42578125" style="74"/>
    <col min="15873" max="15874" width="9.28515625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28515625" style="74" customWidth="1"/>
    <col min="15881" max="16128" width="11.42578125" style="74"/>
    <col min="16129" max="16130" width="9.28515625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285156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81"/>
      <c r="B9" s="81"/>
      <c r="C9" s="81"/>
      <c r="D9" s="81"/>
      <c r="E9" s="81"/>
      <c r="F9" s="81"/>
      <c r="G9" s="394" t="s">
        <v>279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67.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424</v>
      </c>
      <c r="B15" s="407" t="s">
        <v>425</v>
      </c>
      <c r="C15" s="408"/>
      <c r="D15" s="408"/>
      <c r="E15" s="408"/>
      <c r="F15" s="409"/>
      <c r="G15" s="405" t="s">
        <v>216</v>
      </c>
      <c r="H15" s="413" t="s">
        <v>149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8" x14ac:dyDescent="0.2">
      <c r="A17" s="83" t="s">
        <v>217</v>
      </c>
    </row>
    <row r="18" spans="1:8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8" x14ac:dyDescent="0.2">
      <c r="A19" s="375" t="s">
        <v>426</v>
      </c>
      <c r="B19" s="376"/>
      <c r="C19" s="378">
        <v>580000</v>
      </c>
      <c r="D19" s="379"/>
      <c r="E19" s="639">
        <v>0.61</v>
      </c>
      <c r="F19" s="640"/>
      <c r="G19" s="378">
        <f t="shared" ref="G19:G24" si="0">+C19/E19</f>
        <v>950819.67213114758</v>
      </c>
      <c r="H19" s="379"/>
    </row>
    <row r="20" spans="1:8" x14ac:dyDescent="0.2">
      <c r="A20" s="375" t="s">
        <v>401</v>
      </c>
      <c r="B20" s="376"/>
      <c r="C20" s="378">
        <v>320000</v>
      </c>
      <c r="D20" s="379"/>
      <c r="E20" s="639">
        <v>2.44</v>
      </c>
      <c r="F20" s="640"/>
      <c r="G20" s="378">
        <f t="shared" si="0"/>
        <v>131147.54098360657</v>
      </c>
      <c r="H20" s="379"/>
    </row>
    <row r="21" spans="1:8" x14ac:dyDescent="0.2">
      <c r="A21" s="375" t="s">
        <v>402</v>
      </c>
      <c r="B21" s="376"/>
      <c r="C21" s="378">
        <v>180000</v>
      </c>
      <c r="D21" s="379"/>
      <c r="E21" s="639">
        <v>2.44</v>
      </c>
      <c r="F21" s="640"/>
      <c r="G21" s="378">
        <f t="shared" si="0"/>
        <v>73770.491803278695</v>
      </c>
      <c r="H21" s="379"/>
    </row>
    <row r="22" spans="1:8" x14ac:dyDescent="0.2">
      <c r="A22" s="375" t="s">
        <v>421</v>
      </c>
      <c r="B22" s="376"/>
      <c r="C22" s="378">
        <v>150000</v>
      </c>
      <c r="D22" s="379"/>
      <c r="E22" s="639">
        <v>2.44</v>
      </c>
      <c r="F22" s="640"/>
      <c r="G22" s="378">
        <f t="shared" si="0"/>
        <v>61475.409836065577</v>
      </c>
      <c r="H22" s="379"/>
    </row>
    <row r="23" spans="1:8" x14ac:dyDescent="0.2">
      <c r="A23" s="375" t="s">
        <v>404</v>
      </c>
      <c r="B23" s="376"/>
      <c r="C23" s="378">
        <v>65000</v>
      </c>
      <c r="D23" s="379"/>
      <c r="E23" s="639">
        <v>12</v>
      </c>
      <c r="F23" s="640"/>
      <c r="G23" s="378">
        <f t="shared" si="0"/>
        <v>5416.666666666667</v>
      </c>
      <c r="H23" s="379"/>
    </row>
    <row r="24" spans="1:8" x14ac:dyDescent="0.2">
      <c r="A24" s="375" t="s">
        <v>427</v>
      </c>
      <c r="B24" s="376"/>
      <c r="C24" s="378">
        <v>30000</v>
      </c>
      <c r="D24" s="379"/>
      <c r="E24" s="643">
        <v>7.6</v>
      </c>
      <c r="F24" s="644"/>
      <c r="G24" s="378">
        <f t="shared" si="0"/>
        <v>3947.3684210526317</v>
      </c>
      <c r="H24" s="379"/>
    </row>
    <row r="25" spans="1:8" x14ac:dyDescent="0.2">
      <c r="A25" s="375" t="s">
        <v>224</v>
      </c>
      <c r="B25" s="376"/>
      <c r="C25" s="378"/>
      <c r="D25" s="379"/>
      <c r="E25" s="643"/>
      <c r="F25" s="644"/>
      <c r="G25" s="378">
        <v>9029.7099999999991</v>
      </c>
      <c r="H25" s="379"/>
    </row>
    <row r="26" spans="1:8" x14ac:dyDescent="0.2">
      <c r="A26" s="84"/>
      <c r="B26" s="84"/>
      <c r="C26" s="371" t="s">
        <v>225</v>
      </c>
      <c r="D26" s="371"/>
      <c r="E26" s="371"/>
      <c r="F26" s="371"/>
      <c r="G26" s="370">
        <f>SUM(G19:G25)</f>
        <v>1235606.8598418175</v>
      </c>
      <c r="H26" s="370"/>
    </row>
    <row r="27" spans="1:8" x14ac:dyDescent="0.2">
      <c r="C27" s="85"/>
      <c r="D27" s="85"/>
      <c r="E27" s="85"/>
      <c r="F27" s="85"/>
      <c r="G27" s="86"/>
      <c r="H27" s="86"/>
    </row>
    <row r="28" spans="1:8" x14ac:dyDescent="0.2">
      <c r="A28" s="83" t="s">
        <v>226</v>
      </c>
      <c r="B28" s="84"/>
      <c r="C28" s="84"/>
      <c r="D28" s="84"/>
      <c r="E28" s="84"/>
      <c r="F28" s="84"/>
      <c r="G28" s="84"/>
      <c r="H28" s="84"/>
    </row>
    <row r="29" spans="1:8" x14ac:dyDescent="0.2">
      <c r="A29" s="374" t="s">
        <v>1</v>
      </c>
      <c r="B29" s="374"/>
      <c r="C29" s="87" t="s">
        <v>227</v>
      </c>
      <c r="D29" s="87" t="s">
        <v>228</v>
      </c>
      <c r="E29" s="374" t="s">
        <v>3</v>
      </c>
      <c r="F29" s="374"/>
      <c r="G29" s="374" t="s">
        <v>220</v>
      </c>
      <c r="H29" s="374"/>
    </row>
    <row r="30" spans="1:8" x14ac:dyDescent="0.2">
      <c r="A30" s="375"/>
      <c r="B30" s="376"/>
      <c r="C30" s="88"/>
      <c r="D30" s="88"/>
      <c r="E30" s="392"/>
      <c r="F30" s="392"/>
      <c r="G30" s="378"/>
      <c r="H30" s="379"/>
    </row>
    <row r="31" spans="1:8" x14ac:dyDescent="0.2">
      <c r="A31" s="375"/>
      <c r="B31" s="376"/>
      <c r="C31" s="88"/>
      <c r="D31" s="88"/>
      <c r="E31" s="392"/>
      <c r="F31" s="392"/>
      <c r="G31" s="378"/>
      <c r="H31" s="379"/>
    </row>
    <row r="32" spans="1:8" x14ac:dyDescent="0.2">
      <c r="A32" s="380"/>
      <c r="B32" s="381"/>
      <c r="C32" s="89"/>
      <c r="D32" s="88"/>
      <c r="E32" s="382"/>
      <c r="F32" s="383"/>
      <c r="G32" s="378"/>
      <c r="H32" s="379"/>
    </row>
    <row r="33" spans="1:8" x14ac:dyDescent="0.2">
      <c r="A33" s="90"/>
      <c r="B33" s="90"/>
      <c r="C33" s="371" t="s">
        <v>225</v>
      </c>
      <c r="D33" s="371"/>
      <c r="E33" s="371"/>
      <c r="F33" s="371"/>
      <c r="G33" s="370"/>
      <c r="H33" s="370"/>
    </row>
    <row r="35" spans="1:8" x14ac:dyDescent="0.2">
      <c r="A35" s="83" t="s">
        <v>232</v>
      </c>
      <c r="B35" s="84"/>
      <c r="C35" s="84"/>
      <c r="D35" s="84"/>
      <c r="E35" s="84"/>
      <c r="F35" s="84"/>
      <c r="G35" s="84"/>
      <c r="H35" s="84"/>
    </row>
    <row r="36" spans="1:8" x14ac:dyDescent="0.2">
      <c r="A36" s="374" t="s">
        <v>233</v>
      </c>
      <c r="B36" s="374"/>
      <c r="C36" s="91" t="s">
        <v>234</v>
      </c>
      <c r="D36" s="92" t="s">
        <v>235</v>
      </c>
      <c r="E36" s="374" t="s">
        <v>236</v>
      </c>
      <c r="F36" s="374"/>
      <c r="G36" s="374" t="s">
        <v>220</v>
      </c>
      <c r="H36" s="374"/>
    </row>
    <row r="37" spans="1:8" x14ac:dyDescent="0.2">
      <c r="A37" s="369"/>
      <c r="B37" s="369"/>
      <c r="C37" s="89"/>
      <c r="D37" s="89"/>
      <c r="E37" s="370"/>
      <c r="F37" s="370"/>
      <c r="G37" s="370"/>
      <c r="H37" s="370"/>
    </row>
    <row r="38" spans="1:8" x14ac:dyDescent="0.2">
      <c r="A38" s="369"/>
      <c r="B38" s="369"/>
      <c r="C38" s="89"/>
      <c r="D38" s="89"/>
      <c r="E38" s="370"/>
      <c r="F38" s="370"/>
      <c r="G38" s="370"/>
      <c r="H38" s="370"/>
    </row>
    <row r="39" spans="1:8" x14ac:dyDescent="0.2">
      <c r="A39" s="369"/>
      <c r="B39" s="369"/>
      <c r="C39" s="89"/>
      <c r="D39" s="89"/>
      <c r="E39" s="370"/>
      <c r="F39" s="370"/>
      <c r="G39" s="370"/>
      <c r="H39" s="370"/>
    </row>
    <row r="40" spans="1:8" x14ac:dyDescent="0.2">
      <c r="A40" s="90"/>
      <c r="B40" s="90"/>
      <c r="C40" s="371" t="s">
        <v>225</v>
      </c>
      <c r="D40" s="371"/>
      <c r="E40" s="371"/>
      <c r="F40" s="371"/>
      <c r="G40" s="370"/>
      <c r="H40" s="370"/>
    </row>
    <row r="42" spans="1:8" x14ac:dyDescent="0.2">
      <c r="A42" s="83" t="s">
        <v>237</v>
      </c>
      <c r="B42" s="84"/>
      <c r="C42" s="84"/>
      <c r="D42" s="84"/>
      <c r="E42" s="84"/>
      <c r="F42" s="84"/>
      <c r="G42" s="84"/>
      <c r="H42" s="84"/>
    </row>
    <row r="43" spans="1:8" x14ac:dyDescent="0.2">
      <c r="A43" s="374" t="s">
        <v>238</v>
      </c>
      <c r="B43" s="374"/>
      <c r="C43" s="87" t="s">
        <v>239</v>
      </c>
      <c r="D43" s="92" t="s">
        <v>240</v>
      </c>
      <c r="E43" s="93" t="s">
        <v>241</v>
      </c>
      <c r="F43" s="94" t="s">
        <v>219</v>
      </c>
      <c r="G43" s="374" t="s">
        <v>220</v>
      </c>
      <c r="H43" s="374"/>
    </row>
    <row r="44" spans="1:8" x14ac:dyDescent="0.2">
      <c r="A44" s="375" t="s">
        <v>467</v>
      </c>
      <c r="B44" s="376"/>
      <c r="C44" s="88">
        <f>35000*8</f>
        <v>280000</v>
      </c>
      <c r="D44" s="96">
        <v>1.85</v>
      </c>
      <c r="E44" s="88">
        <f>+C44*D44</f>
        <v>518000</v>
      </c>
      <c r="F44" s="96">
        <v>0.64</v>
      </c>
      <c r="G44" s="370">
        <f>+E44/F44</f>
        <v>809375</v>
      </c>
      <c r="H44" s="370"/>
    </row>
    <row r="45" spans="1:8" x14ac:dyDescent="0.2">
      <c r="A45" s="375" t="s">
        <v>465</v>
      </c>
      <c r="B45" s="376"/>
      <c r="C45" s="88">
        <v>120000</v>
      </c>
      <c r="D45" s="96">
        <v>1.85</v>
      </c>
      <c r="E45" s="88">
        <f>+C45*D45</f>
        <v>222000</v>
      </c>
      <c r="F45" s="96">
        <v>0.64</v>
      </c>
      <c r="G45" s="370">
        <f>+E45/F45</f>
        <v>346875</v>
      </c>
      <c r="H45" s="370"/>
    </row>
    <row r="46" spans="1:8" x14ac:dyDescent="0.2">
      <c r="A46" s="369" t="s">
        <v>326</v>
      </c>
      <c r="B46" s="369"/>
      <c r="C46" s="88">
        <v>70000</v>
      </c>
      <c r="D46" s="96">
        <v>1.85</v>
      </c>
      <c r="E46" s="88">
        <f>+C46*D46</f>
        <v>129500</v>
      </c>
      <c r="F46" s="96">
        <v>0.64</v>
      </c>
      <c r="G46" s="370">
        <f>+E46/F46</f>
        <v>202343.75</v>
      </c>
      <c r="H46" s="370"/>
    </row>
    <row r="47" spans="1:8" x14ac:dyDescent="0.2">
      <c r="A47" s="90"/>
      <c r="B47" s="90"/>
      <c r="C47" s="371" t="s">
        <v>225</v>
      </c>
      <c r="D47" s="371"/>
      <c r="E47" s="371"/>
      <c r="F47" s="371"/>
      <c r="G47" s="370">
        <f>+G44+G45+G46</f>
        <v>1358593.75</v>
      </c>
      <c r="H47" s="370"/>
    </row>
    <row r="50" spans="1:8" x14ac:dyDescent="0.2">
      <c r="A50" s="372" t="s">
        <v>244</v>
      </c>
      <c r="B50" s="372"/>
      <c r="C50" s="372"/>
      <c r="D50" s="372"/>
      <c r="E50" s="372"/>
      <c r="F50" s="372"/>
      <c r="G50" s="628">
        <f>+ROUND(G26+G33+G40+G47,0)</f>
        <v>2594201</v>
      </c>
      <c r="H50" s="628"/>
    </row>
    <row r="51" spans="1:8" x14ac:dyDescent="0.2">
      <c r="G51" s="187">
        <f>+G50</f>
        <v>2594201</v>
      </c>
    </row>
  </sheetData>
  <mergeCells count="87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30:B30"/>
    <mergeCell ref="E30:F30"/>
    <mergeCell ref="G30:H30"/>
    <mergeCell ref="A24:B24"/>
    <mergeCell ref="C24:D24"/>
    <mergeCell ref="E24:F24"/>
    <mergeCell ref="G24:H24"/>
    <mergeCell ref="A25:B25"/>
    <mergeCell ref="C25:D25"/>
    <mergeCell ref="E25:F25"/>
    <mergeCell ref="G25:H25"/>
    <mergeCell ref="C26:F26"/>
    <mergeCell ref="G26:H26"/>
    <mergeCell ref="A29:B29"/>
    <mergeCell ref="E29:F29"/>
    <mergeCell ref="G29:H29"/>
    <mergeCell ref="A37:B37"/>
    <mergeCell ref="E37:F37"/>
    <mergeCell ref="G37:H37"/>
    <mergeCell ref="A31:B31"/>
    <mergeCell ref="E31:F31"/>
    <mergeCell ref="G31:H31"/>
    <mergeCell ref="A32:B32"/>
    <mergeCell ref="E32:F32"/>
    <mergeCell ref="G32:H32"/>
    <mergeCell ref="C33:F33"/>
    <mergeCell ref="G33:H33"/>
    <mergeCell ref="A36:B36"/>
    <mergeCell ref="E36:F36"/>
    <mergeCell ref="G36:H36"/>
    <mergeCell ref="A38:B38"/>
    <mergeCell ref="E38:F38"/>
    <mergeCell ref="G38:H38"/>
    <mergeCell ref="A39:B39"/>
    <mergeCell ref="E39:F39"/>
    <mergeCell ref="G39:H39"/>
    <mergeCell ref="C40:F40"/>
    <mergeCell ref="G40:H40"/>
    <mergeCell ref="A43:B43"/>
    <mergeCell ref="G43:H43"/>
    <mergeCell ref="A44:B44"/>
    <mergeCell ref="G44:H44"/>
    <mergeCell ref="A50:F50"/>
    <mergeCell ref="G50:H50"/>
    <mergeCell ref="A45:B45"/>
    <mergeCell ref="G45:H45"/>
    <mergeCell ref="A46:B46"/>
    <mergeCell ref="G46:H46"/>
    <mergeCell ref="C47:F47"/>
    <mergeCell ref="G47:H4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50"/>
  <sheetViews>
    <sheetView workbookViewId="0">
      <selection activeCell="G47" sqref="G47:H47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8" width="9.28515625" customWidth="1"/>
    <col min="16" max="16" width="15.85546875" bestFit="1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272" max="272" width="15.85546875" bestFit="1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528" max="528" width="15.85546875" bestFit="1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784" max="784" width="15.85546875" bestFit="1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040" max="1040" width="15.85546875" bestFit="1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296" max="1296" width="15.85546875" bestFit="1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552" max="1552" width="15.85546875" bestFit="1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1808" max="1808" width="15.85546875" bestFit="1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064" max="2064" width="15.85546875" bestFit="1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320" max="2320" width="15.85546875" bestFit="1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576" max="2576" width="15.85546875" bestFit="1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2832" max="2832" width="15.85546875" bestFit="1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088" max="3088" width="15.85546875" bestFit="1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344" max="3344" width="15.85546875" bestFit="1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600" max="3600" width="15.85546875" bestFit="1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3856" max="3856" width="15.85546875" bestFit="1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112" max="4112" width="15.85546875" bestFit="1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368" max="4368" width="15.85546875" bestFit="1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624" max="4624" width="15.85546875" bestFit="1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4880" max="4880" width="15.85546875" bestFit="1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136" max="5136" width="15.85546875" bestFit="1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392" max="5392" width="15.85546875" bestFit="1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648" max="5648" width="15.85546875" bestFit="1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5904" max="5904" width="15.85546875" bestFit="1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160" max="6160" width="15.85546875" bestFit="1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416" max="6416" width="15.85546875" bestFit="1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672" max="6672" width="15.85546875" bestFit="1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6928" max="6928" width="15.85546875" bestFit="1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184" max="7184" width="15.85546875" bestFit="1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440" max="7440" width="15.85546875" bestFit="1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696" max="7696" width="15.85546875" bestFit="1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7952" max="7952" width="15.85546875" bestFit="1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208" max="8208" width="15.85546875" bestFit="1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464" max="8464" width="15.85546875" bestFit="1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720" max="8720" width="15.85546875" bestFit="1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8976" max="8976" width="15.85546875" bestFit="1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232" max="9232" width="15.85546875" bestFit="1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488" max="9488" width="15.85546875" bestFit="1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744" max="9744" width="15.85546875" bestFit="1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000" max="10000" width="15.85546875" bestFit="1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256" max="10256" width="15.85546875" bestFit="1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512" max="10512" width="15.85546875" bestFit="1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0768" max="10768" width="15.85546875" bestFit="1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024" max="11024" width="15.85546875" bestFit="1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280" max="11280" width="15.85546875" bestFit="1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536" max="11536" width="15.85546875" bestFit="1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1792" max="11792" width="15.85546875" bestFit="1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048" max="12048" width="15.85546875" bestFit="1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304" max="12304" width="15.85546875" bestFit="1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560" max="12560" width="15.85546875" bestFit="1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2816" max="12816" width="15.85546875" bestFit="1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072" max="13072" width="15.85546875" bestFit="1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328" max="13328" width="15.85546875" bestFit="1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584" max="13584" width="15.85546875" bestFit="1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3840" max="13840" width="15.85546875" bestFit="1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096" max="14096" width="15.85546875" bestFit="1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352" max="14352" width="15.85546875" bestFit="1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608" max="14608" width="15.85546875" bestFit="1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4864" max="14864" width="15.85546875" bestFit="1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120" max="15120" width="15.85546875" bestFit="1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376" max="15376" width="15.85546875" bestFit="1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632" max="15632" width="15.85546875" bestFit="1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5888" max="15888" width="15.85546875" bestFit="1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  <col min="16144" max="16144" width="15.85546875" bestFit="1" customWidth="1"/>
  </cols>
  <sheetData>
    <row r="1" spans="1:8" ht="18" x14ac:dyDescent="0.25">
      <c r="A1" s="645"/>
      <c r="B1" s="646"/>
      <c r="C1" s="651" t="s">
        <v>209</v>
      </c>
      <c r="D1" s="652"/>
      <c r="E1" s="652"/>
      <c r="F1" s="653"/>
      <c r="G1" s="645"/>
      <c r="H1" s="646"/>
    </row>
    <row r="2" spans="1:8" x14ac:dyDescent="0.25">
      <c r="A2" s="647"/>
      <c r="B2" s="648"/>
      <c r="C2" s="654" t="s">
        <v>98</v>
      </c>
      <c r="D2" s="655"/>
      <c r="E2" s="655"/>
      <c r="F2" s="656"/>
      <c r="G2" s="647"/>
      <c r="H2" s="648"/>
    </row>
    <row r="3" spans="1:8" x14ac:dyDescent="0.25">
      <c r="A3" s="647"/>
      <c r="B3" s="648"/>
      <c r="C3" s="284"/>
      <c r="D3" s="285"/>
      <c r="E3" s="285"/>
      <c r="F3" s="286"/>
      <c r="G3" s="647"/>
      <c r="H3" s="648"/>
    </row>
    <row r="4" spans="1:8" x14ac:dyDescent="0.25">
      <c r="A4" s="647"/>
      <c r="B4" s="648"/>
      <c r="C4" s="654" t="s">
        <v>210</v>
      </c>
      <c r="D4" s="655"/>
      <c r="E4" s="655"/>
      <c r="F4" s="656"/>
      <c r="G4" s="647"/>
      <c r="H4" s="648"/>
    </row>
    <row r="5" spans="1:8" x14ac:dyDescent="0.25">
      <c r="A5" s="647"/>
      <c r="B5" s="648"/>
      <c r="C5" s="654" t="s">
        <v>211</v>
      </c>
      <c r="D5" s="655"/>
      <c r="E5" s="655"/>
      <c r="F5" s="656"/>
      <c r="G5" s="647"/>
      <c r="H5" s="648"/>
    </row>
    <row r="6" spans="1:8" ht="15.75" thickBot="1" x14ac:dyDescent="0.3">
      <c r="A6" s="649"/>
      <c r="B6" s="650"/>
      <c r="C6" s="287"/>
      <c r="D6" s="288"/>
      <c r="E6" s="288"/>
      <c r="F6" s="289"/>
      <c r="G6" s="649"/>
      <c r="H6" s="650"/>
    </row>
    <row r="8" spans="1:8" ht="15.75" thickBot="1" x14ac:dyDescent="0.3">
      <c r="A8" s="657" t="s">
        <v>212</v>
      </c>
      <c r="B8" s="657"/>
      <c r="C8" s="657"/>
      <c r="D8" s="657"/>
      <c r="E8" s="657"/>
      <c r="F8" s="657"/>
      <c r="G8" s="657"/>
      <c r="H8" s="657"/>
    </row>
    <row r="9" spans="1:8" ht="15.75" thickBot="1" x14ac:dyDescent="0.3">
      <c r="A9" s="290"/>
      <c r="B9" s="290"/>
      <c r="C9" s="290"/>
      <c r="D9" s="290"/>
      <c r="E9" s="290"/>
      <c r="F9" s="290"/>
      <c r="G9" s="658" t="s">
        <v>502</v>
      </c>
      <c r="H9" s="659"/>
    </row>
    <row r="10" spans="1:8" ht="15.75" thickBot="1" x14ac:dyDescent="0.3">
      <c r="A10" s="291"/>
      <c r="B10" s="291"/>
      <c r="C10" s="291"/>
      <c r="D10" s="291"/>
      <c r="E10" s="291"/>
      <c r="F10" s="291"/>
      <c r="G10" s="291"/>
      <c r="H10" s="291"/>
    </row>
    <row r="11" spans="1:8" ht="48.75" customHeight="1" x14ac:dyDescent="0.25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5">
      <c r="A12" s="399"/>
      <c r="B12" s="400"/>
      <c r="C12" s="400"/>
      <c r="D12" s="400"/>
      <c r="E12" s="400"/>
      <c r="F12" s="400"/>
      <c r="G12" s="400"/>
      <c r="H12" s="401"/>
    </row>
    <row r="13" spans="1:8" ht="15.75" thickBot="1" x14ac:dyDescent="0.3">
      <c r="A13" s="402"/>
      <c r="B13" s="403"/>
      <c r="C13" s="403"/>
      <c r="D13" s="403"/>
      <c r="E13" s="403"/>
      <c r="F13" s="403"/>
      <c r="G13" s="403"/>
      <c r="H13" s="404"/>
    </row>
    <row r="14" spans="1:8" ht="15.75" thickBot="1" x14ac:dyDescent="0.3">
      <c r="A14" s="263"/>
    </row>
    <row r="15" spans="1:8" ht="12.75" customHeight="1" x14ac:dyDescent="0.25">
      <c r="A15" s="660" t="s">
        <v>500</v>
      </c>
      <c r="B15" s="663" t="s">
        <v>476</v>
      </c>
      <c r="C15" s="664"/>
      <c r="D15" s="664"/>
      <c r="E15" s="664"/>
      <c r="F15" s="665"/>
      <c r="G15" s="660" t="s">
        <v>216</v>
      </c>
      <c r="H15" s="672" t="s">
        <v>501</v>
      </c>
    </row>
    <row r="16" spans="1:8" ht="12.75" customHeight="1" x14ac:dyDescent="0.25">
      <c r="A16" s="661"/>
      <c r="B16" s="666"/>
      <c r="C16" s="667"/>
      <c r="D16" s="667"/>
      <c r="E16" s="667"/>
      <c r="F16" s="668"/>
      <c r="G16" s="661"/>
      <c r="H16" s="673"/>
    </row>
    <row r="17" spans="1:16" ht="15.75" thickBot="1" x14ac:dyDescent="0.3">
      <c r="A17" s="662"/>
      <c r="B17" s="669"/>
      <c r="C17" s="670"/>
      <c r="D17" s="670"/>
      <c r="E17" s="670"/>
      <c r="F17" s="671"/>
      <c r="G17" s="662"/>
      <c r="H17" s="674"/>
    </row>
    <row r="18" spans="1:16" x14ac:dyDescent="0.25">
      <c r="A18" s="269" t="s">
        <v>217</v>
      </c>
    </row>
    <row r="19" spans="1:16" x14ac:dyDescent="0.25">
      <c r="A19" s="675" t="s">
        <v>1</v>
      </c>
      <c r="B19" s="675"/>
      <c r="C19" s="675" t="s">
        <v>218</v>
      </c>
      <c r="D19" s="675"/>
      <c r="E19" s="675" t="s">
        <v>219</v>
      </c>
      <c r="F19" s="675"/>
      <c r="G19" s="675" t="s">
        <v>220</v>
      </c>
      <c r="H19" s="675"/>
    </row>
    <row r="20" spans="1:16" ht="38.25" customHeight="1" x14ac:dyDescent="0.25">
      <c r="A20" s="676" t="s">
        <v>250</v>
      </c>
      <c r="B20" s="677"/>
      <c r="C20" s="678">
        <v>150000</v>
      </c>
      <c r="D20" s="678"/>
      <c r="E20" s="679">
        <v>40</v>
      </c>
      <c r="F20" s="679"/>
      <c r="G20" s="678">
        <f>+C20/E20</f>
        <v>3750</v>
      </c>
      <c r="H20" s="678"/>
    </row>
    <row r="21" spans="1:16" ht="12.75" customHeight="1" x14ac:dyDescent="0.25">
      <c r="A21" s="680" t="s">
        <v>224</v>
      </c>
      <c r="B21" s="681"/>
      <c r="C21" s="682"/>
      <c r="D21" s="682"/>
      <c r="E21" s="683">
        <v>0.1</v>
      </c>
      <c r="F21" s="682"/>
      <c r="G21" s="684">
        <f>+E21*G44</f>
        <v>925</v>
      </c>
      <c r="H21" s="684"/>
    </row>
    <row r="22" spans="1:16" x14ac:dyDescent="0.25">
      <c r="C22" s="685" t="s">
        <v>225</v>
      </c>
      <c r="D22" s="685"/>
      <c r="E22" s="685"/>
      <c r="F22" s="685"/>
      <c r="G22" s="684">
        <f>SUM(G20:H21)</f>
        <v>4675</v>
      </c>
      <c r="H22" s="684"/>
    </row>
    <row r="23" spans="1:16" x14ac:dyDescent="0.25">
      <c r="C23" s="270"/>
      <c r="D23" s="270"/>
      <c r="E23" s="270"/>
      <c r="F23" s="270"/>
      <c r="G23" s="271"/>
      <c r="H23" s="271"/>
    </row>
    <row r="24" spans="1:16" x14ac:dyDescent="0.25">
      <c r="A24" s="269" t="s">
        <v>226</v>
      </c>
    </row>
    <row r="25" spans="1:16" x14ac:dyDescent="0.25">
      <c r="A25" s="675" t="s">
        <v>1</v>
      </c>
      <c r="B25" s="675"/>
      <c r="C25" s="272" t="s">
        <v>227</v>
      </c>
      <c r="D25" s="272" t="s">
        <v>228</v>
      </c>
      <c r="E25" s="675" t="s">
        <v>3</v>
      </c>
      <c r="F25" s="675"/>
      <c r="G25" s="675" t="s">
        <v>220</v>
      </c>
      <c r="H25" s="675"/>
    </row>
    <row r="26" spans="1:16" x14ac:dyDescent="0.25">
      <c r="A26" s="450" t="s">
        <v>459</v>
      </c>
      <c r="B26" s="451"/>
      <c r="C26" s="259" t="s">
        <v>74</v>
      </c>
      <c r="D26" s="247">
        <v>5000</v>
      </c>
      <c r="E26" s="515">
        <v>4</v>
      </c>
      <c r="F26" s="516"/>
      <c r="G26" s="517">
        <f>+D26*E26</f>
        <v>20000</v>
      </c>
      <c r="H26" s="518"/>
      <c r="P26" s="292"/>
    </row>
    <row r="27" spans="1:16" x14ac:dyDescent="0.25">
      <c r="A27" s="450" t="s">
        <v>460</v>
      </c>
      <c r="B27" s="451"/>
      <c r="C27" s="259" t="s">
        <v>74</v>
      </c>
      <c r="D27" s="247">
        <v>18000</v>
      </c>
      <c r="E27" s="515">
        <v>4</v>
      </c>
      <c r="F27" s="516"/>
      <c r="G27" s="517">
        <f>+D27*E27</f>
        <v>72000</v>
      </c>
      <c r="H27" s="518"/>
    </row>
    <row r="28" spans="1:16" x14ac:dyDescent="0.25">
      <c r="A28" s="514" t="s">
        <v>461</v>
      </c>
      <c r="B28" s="514"/>
      <c r="C28" s="259" t="s">
        <v>74</v>
      </c>
      <c r="D28" s="247">
        <v>7000</v>
      </c>
      <c r="E28" s="515">
        <v>8</v>
      </c>
      <c r="F28" s="516"/>
      <c r="G28" s="517">
        <f>+D28*E28</f>
        <v>56000</v>
      </c>
      <c r="H28" s="518"/>
    </row>
    <row r="29" spans="1:16" ht="28.5" customHeight="1" x14ac:dyDescent="0.25">
      <c r="A29" s="427" t="s">
        <v>440</v>
      </c>
      <c r="B29" s="428"/>
      <c r="C29" s="325" t="s">
        <v>227</v>
      </c>
      <c r="D29" s="324">
        <f>46*3200</f>
        <v>147200</v>
      </c>
      <c r="E29" s="506">
        <v>0.33</v>
      </c>
      <c r="F29" s="507"/>
      <c r="G29" s="390">
        <f>+D29*E29</f>
        <v>48576</v>
      </c>
      <c r="H29" s="391"/>
    </row>
    <row r="30" spans="1:16" ht="24" customHeight="1" x14ac:dyDescent="0.25">
      <c r="A30" s="519" t="s">
        <v>457</v>
      </c>
      <c r="B30" s="519"/>
      <c r="C30" s="246" t="s">
        <v>458</v>
      </c>
      <c r="D30" s="246"/>
      <c r="E30" s="520">
        <v>0.17</v>
      </c>
      <c r="F30" s="520"/>
      <c r="G30" s="521">
        <f>+E30*(G28+G27++G26)</f>
        <v>25160</v>
      </c>
      <c r="H30" s="522"/>
    </row>
    <row r="31" spans="1:16" x14ac:dyDescent="0.25">
      <c r="A31" s="273"/>
      <c r="B31" s="273"/>
      <c r="C31" s="685" t="s">
        <v>225</v>
      </c>
      <c r="D31" s="685"/>
      <c r="E31" s="685"/>
      <c r="F31" s="685"/>
      <c r="G31" s="684">
        <f>SUM(G26:H30)</f>
        <v>221736</v>
      </c>
      <c r="H31" s="684"/>
    </row>
    <row r="33" spans="1:8" x14ac:dyDescent="0.25">
      <c r="A33" s="269" t="s">
        <v>232</v>
      </c>
    </row>
    <row r="34" spans="1:8" x14ac:dyDescent="0.25">
      <c r="A34" s="675" t="s">
        <v>233</v>
      </c>
      <c r="B34" s="675"/>
      <c r="C34" s="274" t="s">
        <v>234</v>
      </c>
      <c r="D34" s="272" t="s">
        <v>235</v>
      </c>
      <c r="E34" s="675" t="s">
        <v>236</v>
      </c>
      <c r="F34" s="675"/>
      <c r="G34" s="675" t="s">
        <v>220</v>
      </c>
      <c r="H34" s="675"/>
    </row>
    <row r="35" spans="1:8" x14ac:dyDescent="0.25">
      <c r="A35" s="450" t="s">
        <v>459</v>
      </c>
      <c r="B35" s="451"/>
      <c r="C35" s="248">
        <v>4</v>
      </c>
      <c r="D35" s="248">
        <v>350</v>
      </c>
      <c r="E35" s="684">
        <v>0.5</v>
      </c>
      <c r="F35" s="684"/>
      <c r="G35" s="684">
        <f>+E35*D35*C35</f>
        <v>700</v>
      </c>
      <c r="H35" s="684"/>
    </row>
    <row r="36" spans="1:8" x14ac:dyDescent="0.25">
      <c r="A36" s="450" t="s">
        <v>460</v>
      </c>
      <c r="B36" s="451"/>
      <c r="C36" s="248">
        <v>4</v>
      </c>
      <c r="D36" s="248">
        <v>350</v>
      </c>
      <c r="E36" s="521">
        <v>0.5</v>
      </c>
      <c r="F36" s="522"/>
      <c r="G36" s="521">
        <f>+E36*D36*C36</f>
        <v>700</v>
      </c>
      <c r="H36" s="522"/>
    </row>
    <row r="37" spans="1:8" x14ac:dyDescent="0.25">
      <c r="A37" s="514" t="s">
        <v>461</v>
      </c>
      <c r="B37" s="514"/>
      <c r="C37" s="248">
        <v>8</v>
      </c>
      <c r="D37" s="248">
        <v>350</v>
      </c>
      <c r="E37" s="684">
        <v>0.5</v>
      </c>
      <c r="F37" s="684"/>
      <c r="G37" s="684">
        <f>+E37*D37*C37</f>
        <v>1400</v>
      </c>
      <c r="H37" s="684"/>
    </row>
    <row r="38" spans="1:8" x14ac:dyDescent="0.25">
      <c r="A38" s="273"/>
      <c r="B38" s="273"/>
      <c r="C38" s="685" t="s">
        <v>225</v>
      </c>
      <c r="D38" s="685"/>
      <c r="E38" s="685"/>
      <c r="F38" s="685"/>
      <c r="G38" s="684">
        <f>SUM(G35:H37)</f>
        <v>2800</v>
      </c>
      <c r="H38" s="684"/>
    </row>
    <row r="40" spans="1:8" x14ac:dyDescent="0.25">
      <c r="A40" s="269" t="s">
        <v>237</v>
      </c>
    </row>
    <row r="41" spans="1:8" x14ac:dyDescent="0.25">
      <c r="A41" s="675" t="s">
        <v>238</v>
      </c>
      <c r="B41" s="675"/>
      <c r="C41" s="274" t="s">
        <v>239</v>
      </c>
      <c r="D41" s="275" t="s">
        <v>240</v>
      </c>
      <c r="E41" s="277" t="s">
        <v>241</v>
      </c>
      <c r="F41" s="278" t="s">
        <v>219</v>
      </c>
      <c r="G41" s="675" t="s">
        <v>220</v>
      </c>
      <c r="H41" s="675"/>
    </row>
    <row r="42" spans="1:8" x14ac:dyDescent="0.25">
      <c r="A42" s="680" t="s">
        <v>242</v>
      </c>
      <c r="B42" s="681"/>
      <c r="C42" s="246">
        <v>60000</v>
      </c>
      <c r="D42" s="293">
        <v>0.85</v>
      </c>
      <c r="E42" s="246">
        <f>+((C42*D42)+C42)</f>
        <v>111000</v>
      </c>
      <c r="F42" s="280">
        <v>40</v>
      </c>
      <c r="G42" s="521">
        <f>+E42/F42</f>
        <v>2775</v>
      </c>
      <c r="H42" s="522"/>
    </row>
    <row r="43" spans="1:8" x14ac:dyDescent="0.25">
      <c r="A43" s="680" t="s">
        <v>308</v>
      </c>
      <c r="B43" s="681"/>
      <c r="C43" s="246">
        <f>35000*4</f>
        <v>140000</v>
      </c>
      <c r="D43" s="293">
        <v>0.85</v>
      </c>
      <c r="E43" s="246">
        <f>+((C43*D43)+C43)</f>
        <v>259000</v>
      </c>
      <c r="F43" s="280">
        <v>40</v>
      </c>
      <c r="G43" s="521">
        <f>+E43/F43</f>
        <v>6475</v>
      </c>
      <c r="H43" s="522"/>
    </row>
    <row r="44" spans="1:8" x14ac:dyDescent="0.25">
      <c r="A44" s="273"/>
      <c r="B44" s="273"/>
      <c r="C44" s="685" t="s">
        <v>225</v>
      </c>
      <c r="D44" s="685"/>
      <c r="E44" s="685"/>
      <c r="F44" s="685"/>
      <c r="G44" s="684">
        <f>SUM(G42:H43)</f>
        <v>9250</v>
      </c>
      <c r="H44" s="684"/>
    </row>
    <row r="47" spans="1:8" x14ac:dyDescent="0.25">
      <c r="A47" s="686" t="s">
        <v>244</v>
      </c>
      <c r="B47" s="686"/>
      <c r="C47" s="686"/>
      <c r="D47" s="686"/>
      <c r="E47" s="686"/>
      <c r="F47" s="686"/>
      <c r="G47" s="687">
        <f>+ROUND(G22+G31+G38+G44,0)</f>
        <v>238461</v>
      </c>
      <c r="H47" s="687"/>
    </row>
    <row r="48" spans="1:8" x14ac:dyDescent="0.25">
      <c r="G48" s="221">
        <f>+G47</f>
        <v>238461</v>
      </c>
    </row>
    <row r="50" spans="7:7" x14ac:dyDescent="0.25">
      <c r="G50" s="294"/>
    </row>
  </sheetData>
  <mergeCells count="71">
    <mergeCell ref="A47:F47"/>
    <mergeCell ref="G47:H47"/>
    <mergeCell ref="A42:B42"/>
    <mergeCell ref="G42:H42"/>
    <mergeCell ref="A43:B43"/>
    <mergeCell ref="G43:H43"/>
    <mergeCell ref="C44:F44"/>
    <mergeCell ref="G44:H44"/>
    <mergeCell ref="A41:B41"/>
    <mergeCell ref="G41:H41"/>
    <mergeCell ref="A35:B35"/>
    <mergeCell ref="E35:F35"/>
    <mergeCell ref="G35:H35"/>
    <mergeCell ref="A36:B36"/>
    <mergeCell ref="E36:F36"/>
    <mergeCell ref="G36:H36"/>
    <mergeCell ref="A37:B37"/>
    <mergeCell ref="E37:F37"/>
    <mergeCell ref="G37:H37"/>
    <mergeCell ref="C38:F38"/>
    <mergeCell ref="G38:H38"/>
    <mergeCell ref="C31:F31"/>
    <mergeCell ref="G31:H31"/>
    <mergeCell ref="A34:B34"/>
    <mergeCell ref="E34:F34"/>
    <mergeCell ref="G34:H34"/>
    <mergeCell ref="A28:B28"/>
    <mergeCell ref="E28:F28"/>
    <mergeCell ref="G28:H28"/>
    <mergeCell ref="A30:B30"/>
    <mergeCell ref="E30:F30"/>
    <mergeCell ref="G30:H30"/>
    <mergeCell ref="A29:B29"/>
    <mergeCell ref="E29:F29"/>
    <mergeCell ref="G29:H29"/>
    <mergeCell ref="A26:B26"/>
    <mergeCell ref="E26:F26"/>
    <mergeCell ref="G26:H26"/>
    <mergeCell ref="A27:B27"/>
    <mergeCell ref="E27:F27"/>
    <mergeCell ref="G27:H27"/>
    <mergeCell ref="A25:B25"/>
    <mergeCell ref="E25:F25"/>
    <mergeCell ref="G25:H25"/>
    <mergeCell ref="A21:B21"/>
    <mergeCell ref="C21:D21"/>
    <mergeCell ref="E21:F21"/>
    <mergeCell ref="G21:H21"/>
    <mergeCell ref="C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8:H8"/>
    <mergeCell ref="G9:H9"/>
    <mergeCell ref="A11:H13"/>
    <mergeCell ref="A15:A17"/>
    <mergeCell ref="B15:F17"/>
    <mergeCell ref="G15:G17"/>
    <mergeCell ref="H15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50"/>
  <sheetViews>
    <sheetView workbookViewId="0">
      <selection activeCell="G49" sqref="G49:H49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645"/>
      <c r="B3" s="646"/>
      <c r="C3" s="701" t="s">
        <v>209</v>
      </c>
      <c r="D3" s="702"/>
      <c r="E3" s="702"/>
      <c r="F3" s="703"/>
      <c r="G3" s="645"/>
      <c r="H3" s="646"/>
    </row>
    <row r="4" spans="1:8" x14ac:dyDescent="0.25">
      <c r="A4" s="647"/>
      <c r="B4" s="648"/>
      <c r="C4" s="704" t="s">
        <v>98</v>
      </c>
      <c r="D4" s="705"/>
      <c r="E4" s="705"/>
      <c r="F4" s="706"/>
      <c r="G4" s="647"/>
      <c r="H4" s="648"/>
    </row>
    <row r="5" spans="1:8" x14ac:dyDescent="0.25">
      <c r="A5" s="647"/>
      <c r="B5" s="648"/>
      <c r="C5" s="262"/>
      <c r="D5" s="263"/>
      <c r="E5" s="263"/>
      <c r="F5" s="264"/>
      <c r="G5" s="647"/>
      <c r="H5" s="648"/>
    </row>
    <row r="6" spans="1:8" x14ac:dyDescent="0.25">
      <c r="A6" s="647"/>
      <c r="B6" s="648"/>
      <c r="C6" s="704" t="s">
        <v>210</v>
      </c>
      <c r="D6" s="705"/>
      <c r="E6" s="705"/>
      <c r="F6" s="706"/>
      <c r="G6" s="647"/>
      <c r="H6" s="648"/>
    </row>
    <row r="7" spans="1:8" x14ac:dyDescent="0.25">
      <c r="A7" s="647"/>
      <c r="B7" s="648"/>
      <c r="C7" s="704" t="s">
        <v>211</v>
      </c>
      <c r="D7" s="705"/>
      <c r="E7" s="705"/>
      <c r="F7" s="706"/>
      <c r="G7" s="647"/>
      <c r="H7" s="648"/>
    </row>
    <row r="8" spans="1:8" ht="15.75" thickBot="1" x14ac:dyDescent="0.3">
      <c r="A8" s="649"/>
      <c r="B8" s="650"/>
      <c r="C8" s="265"/>
      <c r="D8" s="266"/>
      <c r="E8" s="266"/>
      <c r="F8" s="267"/>
      <c r="G8" s="649"/>
      <c r="H8" s="650"/>
    </row>
    <row r="10" spans="1:8" ht="15.75" thickBot="1" x14ac:dyDescent="0.3">
      <c r="A10" s="698" t="s">
        <v>212</v>
      </c>
      <c r="B10" s="698"/>
      <c r="C10" s="698"/>
      <c r="D10" s="698"/>
      <c r="E10" s="698"/>
      <c r="F10" s="698"/>
      <c r="G10" s="698"/>
      <c r="H10" s="698"/>
    </row>
    <row r="11" spans="1:8" ht="15.75" thickBot="1" x14ac:dyDescent="0.3">
      <c r="A11" s="268"/>
      <c r="B11" s="268"/>
      <c r="C11" s="268"/>
      <c r="D11" s="268"/>
      <c r="E11" s="268"/>
      <c r="F11" s="268"/>
      <c r="G11" s="658" t="s">
        <v>213</v>
      </c>
      <c r="H11" s="659"/>
    </row>
    <row r="12" spans="1:8" ht="15.75" thickBot="1" x14ac:dyDescent="0.3"/>
    <row r="13" spans="1:8" ht="56.25" customHeight="1" x14ac:dyDescent="0.25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5">
      <c r="A14" s="399"/>
      <c r="B14" s="400"/>
      <c r="C14" s="400"/>
      <c r="D14" s="400"/>
      <c r="E14" s="400"/>
      <c r="F14" s="400"/>
      <c r="G14" s="400"/>
      <c r="H14" s="401"/>
    </row>
    <row r="15" spans="1:8" ht="15.75" thickBot="1" x14ac:dyDescent="0.3">
      <c r="A15" s="402"/>
      <c r="B15" s="403"/>
      <c r="C15" s="403"/>
      <c r="D15" s="403"/>
      <c r="E15" s="403"/>
      <c r="F15" s="403"/>
      <c r="G15" s="403"/>
      <c r="H15" s="404"/>
    </row>
    <row r="16" spans="1:8" ht="15.75" thickBot="1" x14ac:dyDescent="0.3">
      <c r="A16" s="263"/>
    </row>
    <row r="17" spans="1:8" ht="21" customHeight="1" x14ac:dyDescent="0.25">
      <c r="A17" s="689" t="s">
        <v>524</v>
      </c>
      <c r="B17" s="663" t="s">
        <v>484</v>
      </c>
      <c r="C17" s="664"/>
      <c r="D17" s="664"/>
      <c r="E17" s="664"/>
      <c r="F17" s="665"/>
      <c r="G17" s="689" t="s">
        <v>216</v>
      </c>
      <c r="H17" s="707" t="s">
        <v>430</v>
      </c>
    </row>
    <row r="18" spans="1:8" ht="15.75" thickBot="1" x14ac:dyDescent="0.3">
      <c r="A18" s="690"/>
      <c r="B18" s="691"/>
      <c r="C18" s="692"/>
      <c r="D18" s="692"/>
      <c r="E18" s="692"/>
      <c r="F18" s="693"/>
      <c r="G18" s="690"/>
      <c r="H18" s="690"/>
    </row>
    <row r="19" spans="1:8" x14ac:dyDescent="0.25">
      <c r="A19" s="269" t="s">
        <v>217</v>
      </c>
    </row>
    <row r="20" spans="1:8" x14ac:dyDescent="0.25">
      <c r="A20" s="675" t="s">
        <v>1</v>
      </c>
      <c r="B20" s="675"/>
      <c r="C20" s="675" t="s">
        <v>218</v>
      </c>
      <c r="D20" s="675"/>
      <c r="E20" s="675" t="s">
        <v>219</v>
      </c>
      <c r="F20" s="675"/>
      <c r="G20" s="675" t="s">
        <v>220</v>
      </c>
      <c r="H20" s="675"/>
    </row>
    <row r="21" spans="1:8" ht="23.25" customHeight="1" x14ac:dyDescent="0.25">
      <c r="A21" s="694" t="s">
        <v>485</v>
      </c>
      <c r="B21" s="695"/>
      <c r="C21" s="684">
        <v>10000</v>
      </c>
      <c r="D21" s="684"/>
      <c r="E21" s="696">
        <v>8</v>
      </c>
      <c r="F21" s="696"/>
      <c r="G21" s="684">
        <f t="shared" ref="G21:G24" si="0">+C21/E21</f>
        <v>1250</v>
      </c>
      <c r="H21" s="684"/>
    </row>
    <row r="22" spans="1:8" ht="29.25" customHeight="1" x14ac:dyDescent="0.25">
      <c r="A22" s="694" t="s">
        <v>486</v>
      </c>
      <c r="B22" s="695"/>
      <c r="C22" s="678">
        <v>35000</v>
      </c>
      <c r="D22" s="678"/>
      <c r="E22" s="697">
        <v>8</v>
      </c>
      <c r="F22" s="697"/>
      <c r="G22" s="678">
        <f t="shared" si="0"/>
        <v>4375</v>
      </c>
      <c r="H22" s="678"/>
    </row>
    <row r="23" spans="1:8" x14ac:dyDescent="0.25">
      <c r="A23" s="694" t="s">
        <v>487</v>
      </c>
      <c r="B23" s="695"/>
      <c r="C23" s="684">
        <v>12000</v>
      </c>
      <c r="D23" s="684"/>
      <c r="E23" s="696">
        <v>8</v>
      </c>
      <c r="F23" s="696"/>
      <c r="G23" s="684">
        <f t="shared" si="0"/>
        <v>1500</v>
      </c>
      <c r="H23" s="684"/>
    </row>
    <row r="24" spans="1:8" ht="27.75" customHeight="1" x14ac:dyDescent="0.25">
      <c r="A24" s="694" t="s">
        <v>488</v>
      </c>
      <c r="B24" s="695"/>
      <c r="C24" s="678">
        <v>130000</v>
      </c>
      <c r="D24" s="678"/>
      <c r="E24" s="697">
        <v>10</v>
      </c>
      <c r="F24" s="697"/>
      <c r="G24" s="678">
        <f t="shared" si="0"/>
        <v>13000</v>
      </c>
      <c r="H24" s="678"/>
    </row>
    <row r="25" spans="1:8" x14ac:dyDescent="0.25">
      <c r="C25" s="685" t="s">
        <v>225</v>
      </c>
      <c r="D25" s="685"/>
      <c r="E25" s="685"/>
      <c r="F25" s="685"/>
      <c r="G25" s="684">
        <f>SUM(G21:H24)</f>
        <v>20125</v>
      </c>
      <c r="H25" s="684"/>
    </row>
    <row r="26" spans="1:8" x14ac:dyDescent="0.25">
      <c r="C26" s="270"/>
      <c r="D26" s="270"/>
      <c r="E26" s="270"/>
      <c r="F26" s="270"/>
      <c r="G26" s="271"/>
      <c r="H26" s="271"/>
    </row>
    <row r="27" spans="1:8" x14ac:dyDescent="0.25">
      <c r="A27" s="269" t="s">
        <v>226</v>
      </c>
    </row>
    <row r="28" spans="1:8" x14ac:dyDescent="0.25">
      <c r="A28" s="675" t="s">
        <v>1</v>
      </c>
      <c r="B28" s="675"/>
      <c r="C28" s="272" t="s">
        <v>227</v>
      </c>
      <c r="D28" s="272" t="s">
        <v>228</v>
      </c>
      <c r="E28" s="675" t="s">
        <v>3</v>
      </c>
      <c r="F28" s="675"/>
      <c r="G28" s="675" t="s">
        <v>220</v>
      </c>
      <c r="H28" s="675"/>
    </row>
    <row r="29" spans="1:8" ht="39" customHeight="1" x14ac:dyDescent="0.25">
      <c r="A29" s="694" t="s">
        <v>489</v>
      </c>
      <c r="B29" s="695"/>
      <c r="C29" s="247" t="s">
        <v>227</v>
      </c>
      <c r="D29" s="247">
        <v>240000</v>
      </c>
      <c r="E29" s="688">
        <v>1</v>
      </c>
      <c r="F29" s="688"/>
      <c r="G29" s="517">
        <f>+D29*E29</f>
        <v>240000</v>
      </c>
      <c r="H29" s="518"/>
    </row>
    <row r="30" spans="1:8" x14ac:dyDescent="0.25">
      <c r="A30" s="680" t="s">
        <v>527</v>
      </c>
      <c r="B30" s="681"/>
      <c r="C30" s="247" t="s">
        <v>227</v>
      </c>
      <c r="D30" s="247">
        <v>12000</v>
      </c>
      <c r="E30" s="688">
        <v>4</v>
      </c>
      <c r="F30" s="688"/>
      <c r="G30" s="517">
        <f>+D30*E30</f>
        <v>48000</v>
      </c>
      <c r="H30" s="518"/>
    </row>
    <row r="31" spans="1:8" x14ac:dyDescent="0.25">
      <c r="A31" s="680" t="s">
        <v>490</v>
      </c>
      <c r="B31" s="681"/>
      <c r="C31" s="247" t="s">
        <v>227</v>
      </c>
      <c r="D31" s="247">
        <v>7000</v>
      </c>
      <c r="E31" s="688">
        <v>4</v>
      </c>
      <c r="F31" s="688"/>
      <c r="G31" s="517">
        <f>+D31*E31</f>
        <v>28000</v>
      </c>
      <c r="H31" s="518"/>
    </row>
    <row r="32" spans="1:8" x14ac:dyDescent="0.25">
      <c r="A32" s="273"/>
      <c r="B32" s="273"/>
      <c r="C32" s="685" t="s">
        <v>225</v>
      </c>
      <c r="D32" s="685"/>
      <c r="E32" s="685"/>
      <c r="F32" s="685"/>
      <c r="G32" s="684">
        <f>SUM(G29:H31)</f>
        <v>316000</v>
      </c>
      <c r="H32" s="684"/>
    </row>
    <row r="34" spans="1:8" x14ac:dyDescent="0.25">
      <c r="A34" s="269" t="s">
        <v>256</v>
      </c>
    </row>
    <row r="35" spans="1:8" x14ac:dyDescent="0.25">
      <c r="A35" s="675" t="s">
        <v>233</v>
      </c>
      <c r="B35" s="675"/>
      <c r="C35" s="274" t="s">
        <v>234</v>
      </c>
      <c r="D35" s="275" t="s">
        <v>235</v>
      </c>
      <c r="E35" s="675" t="s">
        <v>236</v>
      </c>
      <c r="F35" s="675"/>
      <c r="G35" s="675" t="s">
        <v>220</v>
      </c>
      <c r="H35" s="675"/>
    </row>
    <row r="36" spans="1:8" ht="39.75" customHeight="1" x14ac:dyDescent="0.25">
      <c r="A36" s="694" t="str">
        <f>+A29</f>
        <v>Traviesa de concreto para trocha yárdica. Incluye hombros bipata</v>
      </c>
      <c r="B36" s="695"/>
      <c r="C36" s="276">
        <v>1</v>
      </c>
      <c r="D36" s="276">
        <v>950</v>
      </c>
      <c r="E36" s="678">
        <v>6</v>
      </c>
      <c r="F36" s="678"/>
      <c r="G36" s="678">
        <f>+C36*D36*E36</f>
        <v>5700</v>
      </c>
      <c r="H36" s="678"/>
    </row>
    <row r="37" spans="1:8" x14ac:dyDescent="0.25">
      <c r="A37" s="680" t="s">
        <v>496</v>
      </c>
      <c r="B37" s="681"/>
      <c r="C37" s="276">
        <v>1</v>
      </c>
      <c r="D37" s="276">
        <v>950</v>
      </c>
      <c r="E37" s="678">
        <v>0.5</v>
      </c>
      <c r="F37" s="678"/>
      <c r="G37" s="678">
        <f>+C37*D37*E37</f>
        <v>475</v>
      </c>
      <c r="H37" s="678"/>
    </row>
    <row r="38" spans="1:8" x14ac:dyDescent="0.25">
      <c r="A38" s="680" t="s">
        <v>490</v>
      </c>
      <c r="B38" s="681"/>
      <c r="C38" s="276">
        <v>1</v>
      </c>
      <c r="D38" s="276">
        <v>950</v>
      </c>
      <c r="E38" s="678">
        <v>0.5</v>
      </c>
      <c r="F38" s="678"/>
      <c r="G38" s="678">
        <f>+C38*D38*E38</f>
        <v>475</v>
      </c>
      <c r="H38" s="678"/>
    </row>
    <row r="39" spans="1:8" x14ac:dyDescent="0.25">
      <c r="A39" s="273"/>
      <c r="B39" s="273"/>
      <c r="C39" s="685" t="s">
        <v>225</v>
      </c>
      <c r="D39" s="685"/>
      <c r="E39" s="685"/>
      <c r="F39" s="685"/>
      <c r="G39" s="684">
        <f>+SUM(G36:H38)</f>
        <v>6650</v>
      </c>
      <c r="H39" s="684"/>
    </row>
    <row r="41" spans="1:8" x14ac:dyDescent="0.25">
      <c r="A41" s="269" t="s">
        <v>257</v>
      </c>
    </row>
    <row r="42" spans="1:8" x14ac:dyDescent="0.25">
      <c r="A42" s="675" t="s">
        <v>238</v>
      </c>
      <c r="B42" s="675"/>
      <c r="C42" s="274" t="s">
        <v>239</v>
      </c>
      <c r="D42" s="275" t="s">
        <v>240</v>
      </c>
      <c r="E42" s="277" t="s">
        <v>241</v>
      </c>
      <c r="F42" s="278" t="s">
        <v>219</v>
      </c>
      <c r="G42" s="675" t="s">
        <v>220</v>
      </c>
      <c r="H42" s="675"/>
    </row>
    <row r="43" spans="1:8" x14ac:dyDescent="0.25">
      <c r="A43" s="680" t="s">
        <v>242</v>
      </c>
      <c r="B43" s="681"/>
      <c r="C43" s="246">
        <v>60000</v>
      </c>
      <c r="D43" s="279">
        <v>0.85</v>
      </c>
      <c r="E43" s="246">
        <f>+((C43*D43)+C43)</f>
        <v>111000</v>
      </c>
      <c r="F43" s="280">
        <v>20</v>
      </c>
      <c r="G43" s="684">
        <f>+E43/F43</f>
        <v>5550</v>
      </c>
      <c r="H43" s="684"/>
    </row>
    <row r="44" spans="1:8" x14ac:dyDescent="0.25">
      <c r="A44" s="700" t="s">
        <v>308</v>
      </c>
      <c r="B44" s="700"/>
      <c r="C44" s="246">
        <f>35000*4</f>
        <v>140000</v>
      </c>
      <c r="D44" s="279">
        <v>0.85</v>
      </c>
      <c r="E44" s="246">
        <f>+((C44*D44)+C44)</f>
        <v>259000</v>
      </c>
      <c r="F44" s="280">
        <v>20</v>
      </c>
      <c r="G44" s="684">
        <f>+E44/F44</f>
        <v>12950</v>
      </c>
      <c r="H44" s="684"/>
    </row>
    <row r="45" spans="1:8" x14ac:dyDescent="0.25">
      <c r="A45" s="700"/>
      <c r="B45" s="700"/>
      <c r="C45" s="246"/>
      <c r="D45" s="281"/>
      <c r="E45" s="246"/>
      <c r="F45" s="281"/>
      <c r="G45" s="684"/>
      <c r="H45" s="684"/>
    </row>
    <row r="46" spans="1:8" x14ac:dyDescent="0.25">
      <c r="A46" s="273"/>
      <c r="B46" s="273"/>
      <c r="C46" s="685" t="s">
        <v>225</v>
      </c>
      <c r="D46" s="685"/>
      <c r="E46" s="685"/>
      <c r="F46" s="685"/>
      <c r="G46" s="684">
        <f>+G43+G44+G45</f>
        <v>18500</v>
      </c>
      <c r="H46" s="684"/>
    </row>
    <row r="49" spans="1:8" x14ac:dyDescent="0.25">
      <c r="A49" s="686" t="s">
        <v>244</v>
      </c>
      <c r="B49" s="686"/>
      <c r="C49" s="686"/>
      <c r="D49" s="686"/>
      <c r="E49" s="686"/>
      <c r="F49" s="686"/>
      <c r="G49" s="699">
        <f>ROUND(G25+G32+G39+G46,0)</f>
        <v>361275</v>
      </c>
      <c r="H49" s="699"/>
    </row>
    <row r="50" spans="1:8" x14ac:dyDescent="0.25">
      <c r="G50" s="282">
        <f>+G49</f>
        <v>361275</v>
      </c>
    </row>
  </sheetData>
  <mergeCells count="75">
    <mergeCell ref="C46:F46"/>
    <mergeCell ref="G46:H46"/>
    <mergeCell ref="A49:F49"/>
    <mergeCell ref="H17:H18"/>
    <mergeCell ref="C32:F32"/>
    <mergeCell ref="A36:B36"/>
    <mergeCell ref="E36:F36"/>
    <mergeCell ref="A38:B38"/>
    <mergeCell ref="E38:F38"/>
    <mergeCell ref="G38:H38"/>
    <mergeCell ref="C39:F39"/>
    <mergeCell ref="G39:H39"/>
    <mergeCell ref="A31:B31"/>
    <mergeCell ref="E31:F31"/>
    <mergeCell ref="G31:H31"/>
    <mergeCell ref="G32:H32"/>
    <mergeCell ref="A3:B8"/>
    <mergeCell ref="C3:F3"/>
    <mergeCell ref="G3:H8"/>
    <mergeCell ref="C6:F6"/>
    <mergeCell ref="C7:F7"/>
    <mergeCell ref="C4:F4"/>
    <mergeCell ref="A10:H10"/>
    <mergeCell ref="G11:H11"/>
    <mergeCell ref="A13:H15"/>
    <mergeCell ref="G49:H49"/>
    <mergeCell ref="A43:B43"/>
    <mergeCell ref="G43:H43"/>
    <mergeCell ref="G44:H44"/>
    <mergeCell ref="A44:B44"/>
    <mergeCell ref="A45:B45"/>
    <mergeCell ref="G45:H45"/>
    <mergeCell ref="A42:B42"/>
    <mergeCell ref="G42:H42"/>
    <mergeCell ref="A35:B35"/>
    <mergeCell ref="E35:F35"/>
    <mergeCell ref="G35:H35"/>
    <mergeCell ref="G36:H36"/>
    <mergeCell ref="A29:B29"/>
    <mergeCell ref="E29:F29"/>
    <mergeCell ref="G29:H29"/>
    <mergeCell ref="A23:B23"/>
    <mergeCell ref="C23:D23"/>
    <mergeCell ref="E23:F23"/>
    <mergeCell ref="G23:H23"/>
    <mergeCell ref="A24:B24"/>
    <mergeCell ref="C24:D24"/>
    <mergeCell ref="E24:F24"/>
    <mergeCell ref="G24:H24"/>
    <mergeCell ref="C25:F25"/>
    <mergeCell ref="G25:H25"/>
    <mergeCell ref="A28:B28"/>
    <mergeCell ref="E28:F28"/>
    <mergeCell ref="G28:H28"/>
    <mergeCell ref="A21:B21"/>
    <mergeCell ref="C21:D21"/>
    <mergeCell ref="E21:F21"/>
    <mergeCell ref="G21:H21"/>
    <mergeCell ref="A22:B22"/>
    <mergeCell ref="C22:D22"/>
    <mergeCell ref="E22:F22"/>
    <mergeCell ref="G22:H22"/>
    <mergeCell ref="A20:B20"/>
    <mergeCell ref="C20:D20"/>
    <mergeCell ref="E20:F20"/>
    <mergeCell ref="G20:H20"/>
    <mergeCell ref="A17:A18"/>
    <mergeCell ref="B17:F18"/>
    <mergeCell ref="G17:G18"/>
    <mergeCell ref="A37:B37"/>
    <mergeCell ref="E37:F37"/>
    <mergeCell ref="G37:H37"/>
    <mergeCell ref="A30:B30"/>
    <mergeCell ref="E30:F30"/>
    <mergeCell ref="G30:H3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4"/>
  <sheetViews>
    <sheetView workbookViewId="0">
      <selection activeCell="G43" sqref="G43:H43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645"/>
      <c r="B3" s="646"/>
      <c r="C3" s="701" t="s">
        <v>209</v>
      </c>
      <c r="D3" s="702"/>
      <c r="E3" s="702"/>
      <c r="F3" s="703"/>
      <c r="G3" s="645"/>
      <c r="H3" s="646"/>
    </row>
    <row r="4" spans="1:8" x14ac:dyDescent="0.25">
      <c r="A4" s="647"/>
      <c r="B4" s="648"/>
      <c r="C4" s="704" t="s">
        <v>98</v>
      </c>
      <c r="D4" s="705"/>
      <c r="E4" s="705"/>
      <c r="F4" s="706"/>
      <c r="G4" s="647"/>
      <c r="H4" s="648"/>
    </row>
    <row r="5" spans="1:8" x14ac:dyDescent="0.25">
      <c r="A5" s="647"/>
      <c r="B5" s="648"/>
      <c r="C5" s="262"/>
      <c r="D5" s="263"/>
      <c r="E5" s="263"/>
      <c r="F5" s="264"/>
      <c r="G5" s="647"/>
      <c r="H5" s="648"/>
    </row>
    <row r="6" spans="1:8" x14ac:dyDescent="0.25">
      <c r="A6" s="647"/>
      <c r="B6" s="648"/>
      <c r="C6" s="704" t="s">
        <v>210</v>
      </c>
      <c r="D6" s="705"/>
      <c r="E6" s="705"/>
      <c r="F6" s="706"/>
      <c r="G6" s="647"/>
      <c r="H6" s="648"/>
    </row>
    <row r="7" spans="1:8" x14ac:dyDescent="0.25">
      <c r="A7" s="647"/>
      <c r="B7" s="648"/>
      <c r="C7" s="704" t="s">
        <v>211</v>
      </c>
      <c r="D7" s="705"/>
      <c r="E7" s="705"/>
      <c r="F7" s="706"/>
      <c r="G7" s="647"/>
      <c r="H7" s="648"/>
    </row>
    <row r="8" spans="1:8" ht="15.75" thickBot="1" x14ac:dyDescent="0.3">
      <c r="A8" s="649"/>
      <c r="B8" s="650"/>
      <c r="C8" s="265"/>
      <c r="D8" s="266"/>
      <c r="E8" s="266"/>
      <c r="F8" s="267"/>
      <c r="G8" s="649"/>
      <c r="H8" s="650"/>
    </row>
    <row r="10" spans="1:8" ht="15.75" thickBot="1" x14ac:dyDescent="0.3">
      <c r="A10" s="698" t="s">
        <v>212</v>
      </c>
      <c r="B10" s="698"/>
      <c r="C10" s="698"/>
      <c r="D10" s="698"/>
      <c r="E10" s="698"/>
      <c r="F10" s="698"/>
      <c r="G10" s="698"/>
      <c r="H10" s="698"/>
    </row>
    <row r="11" spans="1:8" ht="15.75" thickBot="1" x14ac:dyDescent="0.3">
      <c r="A11" s="268"/>
      <c r="B11" s="268"/>
      <c r="C11" s="268"/>
      <c r="D11" s="268"/>
      <c r="E11" s="268"/>
      <c r="F11" s="268"/>
      <c r="G11" s="658" t="s">
        <v>502</v>
      </c>
      <c r="H11" s="659"/>
    </row>
    <row r="12" spans="1:8" ht="15.75" thickBot="1" x14ac:dyDescent="0.3"/>
    <row r="13" spans="1:8" ht="56.25" customHeight="1" x14ac:dyDescent="0.25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5">
      <c r="A14" s="399"/>
      <c r="B14" s="400"/>
      <c r="C14" s="400"/>
      <c r="D14" s="400"/>
      <c r="E14" s="400"/>
      <c r="F14" s="400"/>
      <c r="G14" s="400"/>
      <c r="H14" s="401"/>
    </row>
    <row r="15" spans="1:8" ht="15.75" thickBot="1" x14ac:dyDescent="0.3">
      <c r="A15" s="402"/>
      <c r="B15" s="403"/>
      <c r="C15" s="403"/>
      <c r="D15" s="403"/>
      <c r="E15" s="403"/>
      <c r="F15" s="403"/>
      <c r="G15" s="403"/>
      <c r="H15" s="404"/>
    </row>
    <row r="16" spans="1:8" ht="15.75" thickBot="1" x14ac:dyDescent="0.3">
      <c r="A16" s="263"/>
    </row>
    <row r="17" spans="1:8" ht="21" customHeight="1" x14ac:dyDescent="0.25">
      <c r="A17" s="689" t="s">
        <v>508</v>
      </c>
      <c r="B17" s="663" t="s">
        <v>503</v>
      </c>
      <c r="C17" s="664"/>
      <c r="D17" s="664"/>
      <c r="E17" s="664"/>
      <c r="F17" s="665"/>
      <c r="G17" s="689" t="s">
        <v>216</v>
      </c>
      <c r="H17" s="707" t="s">
        <v>116</v>
      </c>
    </row>
    <row r="18" spans="1:8" ht="15.75" thickBot="1" x14ac:dyDescent="0.3">
      <c r="A18" s="690"/>
      <c r="B18" s="691"/>
      <c r="C18" s="692"/>
      <c r="D18" s="692"/>
      <c r="E18" s="692"/>
      <c r="F18" s="693"/>
      <c r="G18" s="690"/>
      <c r="H18" s="690"/>
    </row>
    <row r="19" spans="1:8" x14ac:dyDescent="0.25">
      <c r="A19" s="269" t="s">
        <v>217</v>
      </c>
    </row>
    <row r="20" spans="1:8" x14ac:dyDescent="0.25">
      <c r="A20" s="675" t="s">
        <v>1</v>
      </c>
      <c r="B20" s="675"/>
      <c r="C20" s="675" t="s">
        <v>218</v>
      </c>
      <c r="D20" s="675"/>
      <c r="E20" s="675" t="s">
        <v>219</v>
      </c>
      <c r="F20" s="675"/>
      <c r="G20" s="675" t="s">
        <v>220</v>
      </c>
      <c r="H20" s="675"/>
    </row>
    <row r="21" spans="1:8" ht="46.5" customHeight="1" x14ac:dyDescent="0.25">
      <c r="A21" s="676" t="s">
        <v>504</v>
      </c>
      <c r="B21" s="677"/>
      <c r="C21" s="684">
        <v>150000</v>
      </c>
      <c r="D21" s="684"/>
      <c r="E21" s="696">
        <v>20</v>
      </c>
      <c r="F21" s="696"/>
      <c r="G21" s="684">
        <f t="shared" ref="G21:G22" si="0">+C21/E21</f>
        <v>7500</v>
      </c>
      <c r="H21" s="684"/>
    </row>
    <row r="22" spans="1:8" ht="29.25" customHeight="1" x14ac:dyDescent="0.25">
      <c r="A22" s="375" t="s">
        <v>505</v>
      </c>
      <c r="B22" s="376"/>
      <c r="C22" s="684">
        <v>80000</v>
      </c>
      <c r="D22" s="684"/>
      <c r="E22" s="696">
        <v>20</v>
      </c>
      <c r="F22" s="696"/>
      <c r="G22" s="684">
        <f t="shared" si="0"/>
        <v>4000</v>
      </c>
      <c r="H22" s="684"/>
    </row>
    <row r="23" spans="1:8" x14ac:dyDescent="0.25">
      <c r="C23" s="685" t="s">
        <v>225</v>
      </c>
      <c r="D23" s="685"/>
      <c r="E23" s="685"/>
      <c r="F23" s="685"/>
      <c r="G23" s="684">
        <f>SUM(G21:H22)</f>
        <v>11500</v>
      </c>
      <c r="H23" s="684"/>
    </row>
    <row r="24" spans="1:8" x14ac:dyDescent="0.25">
      <c r="C24" s="270"/>
      <c r="D24" s="270"/>
      <c r="E24" s="270"/>
      <c r="F24" s="270"/>
      <c r="G24" s="271"/>
      <c r="H24" s="271"/>
    </row>
    <row r="25" spans="1:8" x14ac:dyDescent="0.25">
      <c r="A25" s="269" t="s">
        <v>226</v>
      </c>
    </row>
    <row r="26" spans="1:8" x14ac:dyDescent="0.25">
      <c r="A26" s="675" t="s">
        <v>1</v>
      </c>
      <c r="B26" s="675"/>
      <c r="C26" s="272" t="s">
        <v>227</v>
      </c>
      <c r="D26" s="272" t="s">
        <v>228</v>
      </c>
      <c r="E26" s="675" t="s">
        <v>3</v>
      </c>
      <c r="F26" s="675"/>
      <c r="G26" s="675" t="s">
        <v>220</v>
      </c>
      <c r="H26" s="675"/>
    </row>
    <row r="27" spans="1:8" ht="24.75" customHeight="1" x14ac:dyDescent="0.25">
      <c r="A27" s="676" t="s">
        <v>506</v>
      </c>
      <c r="B27" s="677"/>
      <c r="C27" s="246" t="s">
        <v>116</v>
      </c>
      <c r="D27" s="295">
        <v>90000</v>
      </c>
      <c r="E27" s="688">
        <v>1.2</v>
      </c>
      <c r="F27" s="688"/>
      <c r="G27" s="517">
        <f>+D27*E27</f>
        <v>108000</v>
      </c>
      <c r="H27" s="518"/>
    </row>
    <row r="28" spans="1:8" x14ac:dyDescent="0.25">
      <c r="A28" s="273"/>
      <c r="B28" s="273"/>
      <c r="C28" s="685" t="s">
        <v>225</v>
      </c>
      <c r="D28" s="685"/>
      <c r="E28" s="685"/>
      <c r="F28" s="685"/>
      <c r="G28" s="684">
        <f>SUM(G27:H27)</f>
        <v>108000</v>
      </c>
      <c r="H28" s="684"/>
    </row>
    <row r="30" spans="1:8" x14ac:dyDescent="0.25">
      <c r="A30" s="269" t="s">
        <v>256</v>
      </c>
    </row>
    <row r="31" spans="1:8" x14ac:dyDescent="0.25">
      <c r="A31" s="675" t="s">
        <v>233</v>
      </c>
      <c r="B31" s="675"/>
      <c r="C31" s="274" t="s">
        <v>234</v>
      </c>
      <c r="D31" s="275" t="s">
        <v>235</v>
      </c>
      <c r="E31" s="675" t="s">
        <v>236</v>
      </c>
      <c r="F31" s="675"/>
      <c r="G31" s="675" t="s">
        <v>220</v>
      </c>
      <c r="H31" s="675"/>
    </row>
    <row r="32" spans="1:8" ht="19.5" customHeight="1" x14ac:dyDescent="0.25">
      <c r="A32" s="708" t="str">
        <f>+A27</f>
        <v>Gravilla con granulometría adecuada para balasto</v>
      </c>
      <c r="B32" s="709"/>
      <c r="C32" s="276">
        <v>1</v>
      </c>
      <c r="D32" s="248">
        <v>30</v>
      </c>
      <c r="E32" s="678">
        <v>1000</v>
      </c>
      <c r="F32" s="678"/>
      <c r="G32" s="678">
        <f>+C32*D32*E32</f>
        <v>30000</v>
      </c>
      <c r="H32" s="678"/>
    </row>
    <row r="33" spans="1:8" x14ac:dyDescent="0.25">
      <c r="A33" s="273"/>
      <c r="B33" s="273"/>
      <c r="C33" s="685" t="s">
        <v>225</v>
      </c>
      <c r="D33" s="685"/>
      <c r="E33" s="685"/>
      <c r="F33" s="685"/>
      <c r="G33" s="684">
        <f>+SUM(G32:H32)</f>
        <v>30000</v>
      </c>
      <c r="H33" s="684"/>
    </row>
    <row r="35" spans="1:8" x14ac:dyDescent="0.25">
      <c r="A35" s="269" t="s">
        <v>257</v>
      </c>
    </row>
    <row r="36" spans="1:8" x14ac:dyDescent="0.25">
      <c r="A36" s="675" t="s">
        <v>238</v>
      </c>
      <c r="B36" s="675"/>
      <c r="C36" s="274" t="s">
        <v>239</v>
      </c>
      <c r="D36" s="275" t="s">
        <v>240</v>
      </c>
      <c r="E36" s="277" t="s">
        <v>241</v>
      </c>
      <c r="F36" s="278" t="s">
        <v>219</v>
      </c>
      <c r="G36" s="675" t="s">
        <v>220</v>
      </c>
      <c r="H36" s="675"/>
    </row>
    <row r="37" spans="1:8" x14ac:dyDescent="0.25">
      <c r="A37" s="680" t="s">
        <v>242</v>
      </c>
      <c r="B37" s="681"/>
      <c r="C37" s="246">
        <v>60000</v>
      </c>
      <c r="D37" s="279">
        <v>0.85</v>
      </c>
      <c r="E37" s="246">
        <f>+((C37*D37)+C37)</f>
        <v>111000</v>
      </c>
      <c r="F37" s="280">
        <v>20</v>
      </c>
      <c r="G37" s="684">
        <f>+E37/F37</f>
        <v>5550</v>
      </c>
      <c r="H37" s="684"/>
    </row>
    <row r="38" spans="1:8" x14ac:dyDescent="0.25">
      <c r="A38" s="700" t="s">
        <v>308</v>
      </c>
      <c r="B38" s="700"/>
      <c r="C38" s="246">
        <f>35000*4</f>
        <v>140000</v>
      </c>
      <c r="D38" s="279">
        <v>0.85</v>
      </c>
      <c r="E38" s="246">
        <f>+((C38*D38)+C38)</f>
        <v>259000</v>
      </c>
      <c r="F38" s="280">
        <v>20</v>
      </c>
      <c r="G38" s="684">
        <f>+E38/F38</f>
        <v>12950</v>
      </c>
      <c r="H38" s="684"/>
    </row>
    <row r="39" spans="1:8" x14ac:dyDescent="0.25">
      <c r="A39" s="700"/>
      <c r="B39" s="700"/>
      <c r="C39" s="246"/>
      <c r="D39" s="281"/>
      <c r="E39" s="246"/>
      <c r="F39" s="281"/>
      <c r="G39" s="684"/>
      <c r="H39" s="684"/>
    </row>
    <row r="40" spans="1:8" x14ac:dyDescent="0.25">
      <c r="A40" s="273"/>
      <c r="B40" s="273"/>
      <c r="C40" s="685" t="s">
        <v>225</v>
      </c>
      <c r="D40" s="685"/>
      <c r="E40" s="685"/>
      <c r="F40" s="685"/>
      <c r="G40" s="684">
        <f>+G37+G38+G39</f>
        <v>18500</v>
      </c>
      <c r="H40" s="684"/>
    </row>
    <row r="43" spans="1:8" x14ac:dyDescent="0.25">
      <c r="A43" s="686" t="s">
        <v>244</v>
      </c>
      <c r="B43" s="686"/>
      <c r="C43" s="686"/>
      <c r="D43" s="686"/>
      <c r="E43" s="686"/>
      <c r="F43" s="686"/>
      <c r="G43" s="699">
        <f>ROUND(G23+G28+G33+G40,0)</f>
        <v>168000</v>
      </c>
      <c r="H43" s="699"/>
    </row>
    <row r="44" spans="1:8" x14ac:dyDescent="0.25">
      <c r="G44" s="282">
        <f>+G43</f>
        <v>168000</v>
      </c>
    </row>
  </sheetData>
  <mergeCells count="55">
    <mergeCell ref="A43:F43"/>
    <mergeCell ref="G43:H43"/>
    <mergeCell ref="A38:B38"/>
    <mergeCell ref="G38:H38"/>
    <mergeCell ref="A39:B39"/>
    <mergeCell ref="G39:H39"/>
    <mergeCell ref="C40:F40"/>
    <mergeCell ref="G40:H40"/>
    <mergeCell ref="C33:F33"/>
    <mergeCell ref="G33:H33"/>
    <mergeCell ref="A36:B36"/>
    <mergeCell ref="G36:H36"/>
    <mergeCell ref="A37:B37"/>
    <mergeCell ref="G37:H37"/>
    <mergeCell ref="A32:B32"/>
    <mergeCell ref="E32:F32"/>
    <mergeCell ref="G32:H32"/>
    <mergeCell ref="A26:B26"/>
    <mergeCell ref="E26:F26"/>
    <mergeCell ref="G26:H26"/>
    <mergeCell ref="A27:B27"/>
    <mergeCell ref="E27:F27"/>
    <mergeCell ref="G27:H27"/>
    <mergeCell ref="C28:F28"/>
    <mergeCell ref="G28:H28"/>
    <mergeCell ref="A31:B31"/>
    <mergeCell ref="E31:F31"/>
    <mergeCell ref="G31:H31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0:H10"/>
    <mergeCell ref="G11:H11"/>
    <mergeCell ref="A13:H15"/>
    <mergeCell ref="A17:A18"/>
    <mergeCell ref="B17:F18"/>
    <mergeCell ref="G17:G18"/>
    <mergeCell ref="H17:H18"/>
    <mergeCell ref="A3:B8"/>
    <mergeCell ref="C3:F3"/>
    <mergeCell ref="G3:H8"/>
    <mergeCell ref="C4:F4"/>
    <mergeCell ref="C6:F6"/>
    <mergeCell ref="C7:F7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3"/>
  <sheetViews>
    <sheetView workbookViewId="0">
      <selection activeCell="G42" sqref="G42:H42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645"/>
      <c r="B3" s="646"/>
      <c r="C3" s="701" t="s">
        <v>209</v>
      </c>
      <c r="D3" s="702"/>
      <c r="E3" s="702"/>
      <c r="F3" s="703"/>
      <c r="G3" s="645"/>
      <c r="H3" s="646"/>
    </row>
    <row r="4" spans="1:8" x14ac:dyDescent="0.25">
      <c r="A4" s="647"/>
      <c r="B4" s="648"/>
      <c r="C4" s="704" t="s">
        <v>98</v>
      </c>
      <c r="D4" s="705"/>
      <c r="E4" s="705"/>
      <c r="F4" s="706"/>
      <c r="G4" s="647"/>
      <c r="H4" s="648"/>
    </row>
    <row r="5" spans="1:8" x14ac:dyDescent="0.25">
      <c r="A5" s="647"/>
      <c r="B5" s="648"/>
      <c r="C5" s="262"/>
      <c r="D5" s="263"/>
      <c r="E5" s="263"/>
      <c r="F5" s="264"/>
      <c r="G5" s="647"/>
      <c r="H5" s="648"/>
    </row>
    <row r="6" spans="1:8" x14ac:dyDescent="0.25">
      <c r="A6" s="647"/>
      <c r="B6" s="648"/>
      <c r="C6" s="704" t="s">
        <v>210</v>
      </c>
      <c r="D6" s="705"/>
      <c r="E6" s="705"/>
      <c r="F6" s="706"/>
      <c r="G6" s="647"/>
      <c r="H6" s="648"/>
    </row>
    <row r="7" spans="1:8" x14ac:dyDescent="0.25">
      <c r="A7" s="647"/>
      <c r="B7" s="648"/>
      <c r="C7" s="704" t="s">
        <v>211</v>
      </c>
      <c r="D7" s="705"/>
      <c r="E7" s="705"/>
      <c r="F7" s="706"/>
      <c r="G7" s="647"/>
      <c r="H7" s="648"/>
    </row>
    <row r="8" spans="1:8" ht="15.75" thickBot="1" x14ac:dyDescent="0.3">
      <c r="A8" s="649"/>
      <c r="B8" s="650"/>
      <c r="C8" s="265"/>
      <c r="D8" s="266"/>
      <c r="E8" s="266"/>
      <c r="F8" s="267"/>
      <c r="G8" s="649"/>
      <c r="H8" s="650"/>
    </row>
    <row r="10" spans="1:8" ht="15.75" thickBot="1" x14ac:dyDescent="0.3">
      <c r="A10" s="698" t="s">
        <v>212</v>
      </c>
      <c r="B10" s="698"/>
      <c r="C10" s="698"/>
      <c r="D10" s="698"/>
      <c r="E10" s="698"/>
      <c r="F10" s="698"/>
      <c r="G10" s="698"/>
      <c r="H10" s="698"/>
    </row>
    <row r="11" spans="1:8" ht="15.75" thickBot="1" x14ac:dyDescent="0.3">
      <c r="A11" s="268"/>
      <c r="B11" s="268"/>
      <c r="C11" s="268"/>
      <c r="D11" s="268"/>
      <c r="E11" s="268"/>
      <c r="F11" s="268"/>
      <c r="G11" s="658" t="s">
        <v>502</v>
      </c>
      <c r="H11" s="659"/>
    </row>
    <row r="12" spans="1:8" ht="15.75" thickBot="1" x14ac:dyDescent="0.3"/>
    <row r="13" spans="1:8" ht="56.25" customHeight="1" x14ac:dyDescent="0.25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5">
      <c r="A14" s="399"/>
      <c r="B14" s="400"/>
      <c r="C14" s="400"/>
      <c r="D14" s="400"/>
      <c r="E14" s="400"/>
      <c r="F14" s="400"/>
      <c r="G14" s="400"/>
      <c r="H14" s="401"/>
    </row>
    <row r="15" spans="1:8" ht="15.75" thickBot="1" x14ac:dyDescent="0.3">
      <c r="A15" s="402"/>
      <c r="B15" s="403"/>
      <c r="C15" s="403"/>
      <c r="D15" s="403"/>
      <c r="E15" s="403"/>
      <c r="F15" s="403"/>
      <c r="G15" s="403"/>
      <c r="H15" s="404"/>
    </row>
    <row r="16" spans="1:8" ht="15.75" thickBot="1" x14ac:dyDescent="0.3">
      <c r="A16" s="263"/>
    </row>
    <row r="17" spans="1:8" ht="21" customHeight="1" x14ac:dyDescent="0.25">
      <c r="A17" s="689" t="s">
        <v>507</v>
      </c>
      <c r="B17" s="663" t="s">
        <v>510</v>
      </c>
      <c r="C17" s="664"/>
      <c r="D17" s="664"/>
      <c r="E17" s="664"/>
      <c r="F17" s="665"/>
      <c r="G17" s="689" t="s">
        <v>216</v>
      </c>
      <c r="H17" s="707" t="s">
        <v>430</v>
      </c>
    </row>
    <row r="18" spans="1:8" ht="15.75" thickBot="1" x14ac:dyDescent="0.3">
      <c r="A18" s="690"/>
      <c r="B18" s="691"/>
      <c r="C18" s="692"/>
      <c r="D18" s="692"/>
      <c r="E18" s="692"/>
      <c r="F18" s="693"/>
      <c r="G18" s="690"/>
      <c r="H18" s="690"/>
    </row>
    <row r="19" spans="1:8" x14ac:dyDescent="0.25">
      <c r="A19" s="269" t="s">
        <v>217</v>
      </c>
    </row>
    <row r="20" spans="1:8" x14ac:dyDescent="0.25">
      <c r="A20" s="675" t="s">
        <v>1</v>
      </c>
      <c r="B20" s="675"/>
      <c r="C20" s="675" t="s">
        <v>218</v>
      </c>
      <c r="D20" s="675"/>
      <c r="E20" s="675" t="s">
        <v>219</v>
      </c>
      <c r="F20" s="675"/>
      <c r="G20" s="675" t="s">
        <v>220</v>
      </c>
      <c r="H20" s="675"/>
    </row>
    <row r="21" spans="1:8" s="296" customFormat="1" ht="23.25" customHeight="1" x14ac:dyDescent="0.25">
      <c r="A21" s="711" t="s">
        <v>511</v>
      </c>
      <c r="B21" s="712"/>
      <c r="C21" s="713">
        <v>10000</v>
      </c>
      <c r="D21" s="713"/>
      <c r="E21" s="696">
        <v>30</v>
      </c>
      <c r="F21" s="696"/>
      <c r="G21" s="684">
        <f t="shared" ref="G21" si="0">+C21/E21</f>
        <v>333.33333333333331</v>
      </c>
      <c r="H21" s="684"/>
    </row>
    <row r="22" spans="1:8" x14ac:dyDescent="0.25">
      <c r="C22" s="685" t="s">
        <v>225</v>
      </c>
      <c r="D22" s="685"/>
      <c r="E22" s="685"/>
      <c r="F22" s="685"/>
      <c r="G22" s="684">
        <f>SUM(G21:H21)</f>
        <v>333.33333333333331</v>
      </c>
      <c r="H22" s="684"/>
    </row>
    <row r="23" spans="1:8" x14ac:dyDescent="0.25">
      <c r="C23" s="270"/>
      <c r="D23" s="270"/>
      <c r="E23" s="270"/>
      <c r="F23" s="270"/>
      <c r="G23" s="271"/>
      <c r="H23" s="271"/>
    </row>
    <row r="24" spans="1:8" x14ac:dyDescent="0.25">
      <c r="A24" s="269" t="s">
        <v>226</v>
      </c>
    </row>
    <row r="25" spans="1:8" x14ac:dyDescent="0.25">
      <c r="A25" s="675" t="s">
        <v>1</v>
      </c>
      <c r="B25" s="675"/>
      <c r="C25" s="272" t="s">
        <v>227</v>
      </c>
      <c r="D25" s="272" t="s">
        <v>228</v>
      </c>
      <c r="E25" s="675" t="s">
        <v>3</v>
      </c>
      <c r="F25" s="675"/>
      <c r="G25" s="675" t="s">
        <v>220</v>
      </c>
      <c r="H25" s="675"/>
    </row>
    <row r="26" spans="1:8" x14ac:dyDescent="0.25">
      <c r="A26" s="680" t="s">
        <v>512</v>
      </c>
      <c r="B26" s="681"/>
      <c r="C26" s="246" t="s">
        <v>227</v>
      </c>
      <c r="D26" s="246">
        <f>3000*1.19</f>
        <v>3570</v>
      </c>
      <c r="E26" s="710">
        <v>1</v>
      </c>
      <c r="F26" s="710"/>
      <c r="G26" s="521">
        <f>+D26*E26</f>
        <v>3570</v>
      </c>
      <c r="H26" s="522"/>
    </row>
    <row r="27" spans="1:8" ht="25.5" customHeight="1" x14ac:dyDescent="0.25">
      <c r="A27" s="519" t="s">
        <v>497</v>
      </c>
      <c r="B27" s="519"/>
      <c r="C27" s="246" t="s">
        <v>458</v>
      </c>
      <c r="D27" s="246"/>
      <c r="E27" s="520">
        <v>0.17</v>
      </c>
      <c r="F27" s="520"/>
      <c r="G27" s="521">
        <f>+E27*(G26)</f>
        <v>606.90000000000009</v>
      </c>
      <c r="H27" s="522"/>
    </row>
    <row r="28" spans="1:8" x14ac:dyDescent="0.25">
      <c r="A28" s="273"/>
      <c r="B28" s="273"/>
      <c r="C28" s="685" t="s">
        <v>225</v>
      </c>
      <c r="D28" s="685"/>
      <c r="E28" s="685"/>
      <c r="F28" s="685"/>
      <c r="G28" s="684">
        <f>SUM(G26:H27)</f>
        <v>4176.8999999999996</v>
      </c>
      <c r="H28" s="684"/>
    </row>
    <row r="30" spans="1:8" x14ac:dyDescent="0.25">
      <c r="A30" s="269" t="s">
        <v>256</v>
      </c>
    </row>
    <row r="31" spans="1:8" x14ac:dyDescent="0.25">
      <c r="A31" s="675" t="s">
        <v>233</v>
      </c>
      <c r="B31" s="675"/>
      <c r="C31" s="274" t="s">
        <v>234</v>
      </c>
      <c r="D31" s="275" t="s">
        <v>235</v>
      </c>
      <c r="E31" s="675" t="s">
        <v>236</v>
      </c>
      <c r="F31" s="675"/>
      <c r="G31" s="675" t="s">
        <v>220</v>
      </c>
      <c r="H31" s="675"/>
    </row>
    <row r="32" spans="1:8" x14ac:dyDescent="0.25">
      <c r="A32" s="680" t="s">
        <v>512</v>
      </c>
      <c r="B32" s="681"/>
      <c r="C32" s="281">
        <v>1</v>
      </c>
      <c r="D32" s="281">
        <v>350</v>
      </c>
      <c r="E32" s="684">
        <v>0.5</v>
      </c>
      <c r="F32" s="684"/>
      <c r="G32" s="684">
        <f>+C32*D32*E32</f>
        <v>175</v>
      </c>
      <c r="H32" s="684"/>
    </row>
    <row r="33" spans="1:8" x14ac:dyDescent="0.25">
      <c r="A33" s="273"/>
      <c r="B33" s="273"/>
      <c r="C33" s="685" t="s">
        <v>225</v>
      </c>
      <c r="D33" s="685"/>
      <c r="E33" s="685"/>
      <c r="F33" s="685"/>
      <c r="G33" s="684">
        <f>+SUM(G32:H32)</f>
        <v>175</v>
      </c>
      <c r="H33" s="684"/>
    </row>
    <row r="35" spans="1:8" x14ac:dyDescent="0.25">
      <c r="A35" s="269" t="s">
        <v>257</v>
      </c>
    </row>
    <row r="36" spans="1:8" x14ac:dyDescent="0.25">
      <c r="A36" s="675" t="s">
        <v>238</v>
      </c>
      <c r="B36" s="675"/>
      <c r="C36" s="274" t="s">
        <v>239</v>
      </c>
      <c r="D36" s="275" t="s">
        <v>240</v>
      </c>
      <c r="E36" s="277" t="s">
        <v>241</v>
      </c>
      <c r="F36" s="278" t="s">
        <v>219</v>
      </c>
      <c r="G36" s="675" t="s">
        <v>220</v>
      </c>
      <c r="H36" s="675"/>
    </row>
    <row r="37" spans="1:8" x14ac:dyDescent="0.25">
      <c r="A37" s="700" t="s">
        <v>258</v>
      </c>
      <c r="B37" s="700"/>
      <c r="C37" s="246">
        <v>70000</v>
      </c>
      <c r="D37" s="279">
        <v>0.85</v>
      </c>
      <c r="E37" s="246">
        <f>+((C37*D37)+C37)</f>
        <v>129500</v>
      </c>
      <c r="F37" s="280">
        <v>30</v>
      </c>
      <c r="G37" s="684">
        <f>+E37/F37</f>
        <v>4316.666666666667</v>
      </c>
      <c r="H37" s="684"/>
    </row>
    <row r="38" spans="1:8" x14ac:dyDescent="0.25">
      <c r="A38" s="700"/>
      <c r="B38" s="700"/>
      <c r="C38" s="246"/>
      <c r="D38" s="281"/>
      <c r="E38" s="246"/>
      <c r="F38" s="281"/>
      <c r="G38" s="684"/>
      <c r="H38" s="684"/>
    </row>
    <row r="39" spans="1:8" x14ac:dyDescent="0.25">
      <c r="A39" s="273"/>
      <c r="B39" s="273"/>
      <c r="C39" s="685" t="s">
        <v>225</v>
      </c>
      <c r="D39" s="685"/>
      <c r="E39" s="685"/>
      <c r="F39" s="685"/>
      <c r="G39" s="684">
        <f>+G37+G38</f>
        <v>4316.666666666667</v>
      </c>
      <c r="H39" s="684"/>
    </row>
    <row r="42" spans="1:8" x14ac:dyDescent="0.25">
      <c r="A42" s="686" t="s">
        <v>244</v>
      </c>
      <c r="B42" s="686"/>
      <c r="C42" s="686"/>
      <c r="D42" s="686"/>
      <c r="E42" s="686"/>
      <c r="F42" s="686"/>
      <c r="G42" s="699">
        <f>ROUND(G22+G28+G33+G39,0)</f>
        <v>9002</v>
      </c>
      <c r="H42" s="699"/>
    </row>
    <row r="43" spans="1:8" x14ac:dyDescent="0.25">
      <c r="G43" s="282">
        <f>+G42</f>
        <v>9002</v>
      </c>
    </row>
  </sheetData>
  <mergeCells count="52">
    <mergeCell ref="A42:F42"/>
    <mergeCell ref="G42:H42"/>
    <mergeCell ref="A37:B37"/>
    <mergeCell ref="G37:H37"/>
    <mergeCell ref="A38:B38"/>
    <mergeCell ref="G38:H38"/>
    <mergeCell ref="C39:F39"/>
    <mergeCell ref="G39:H39"/>
    <mergeCell ref="A36:B36"/>
    <mergeCell ref="G36:H36"/>
    <mergeCell ref="A27:B27"/>
    <mergeCell ref="E27:F27"/>
    <mergeCell ref="G27:H27"/>
    <mergeCell ref="C28:F28"/>
    <mergeCell ref="G28:H28"/>
    <mergeCell ref="A31:B31"/>
    <mergeCell ref="E31:F31"/>
    <mergeCell ref="G31:H31"/>
    <mergeCell ref="A32:B32"/>
    <mergeCell ref="E32:F32"/>
    <mergeCell ref="G32:H32"/>
    <mergeCell ref="C33:F33"/>
    <mergeCell ref="G33:H33"/>
    <mergeCell ref="A26:B26"/>
    <mergeCell ref="E26:F26"/>
    <mergeCell ref="G26:H26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10:H10"/>
    <mergeCell ref="G11:H11"/>
    <mergeCell ref="A13:H15"/>
    <mergeCell ref="A17:A18"/>
    <mergeCell ref="B17:F18"/>
    <mergeCell ref="G17:G18"/>
    <mergeCell ref="H17:H18"/>
    <mergeCell ref="A3:B8"/>
    <mergeCell ref="C3:F3"/>
    <mergeCell ref="G3:H8"/>
    <mergeCell ref="C4:F4"/>
    <mergeCell ref="C6:F6"/>
    <mergeCell ref="C7:F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4"/>
  <sheetViews>
    <sheetView workbookViewId="0">
      <selection activeCell="G43" sqref="G43:H43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645"/>
      <c r="B3" s="646"/>
      <c r="C3" s="701" t="s">
        <v>209</v>
      </c>
      <c r="D3" s="702"/>
      <c r="E3" s="702"/>
      <c r="F3" s="703"/>
      <c r="G3" s="645"/>
      <c r="H3" s="646"/>
    </row>
    <row r="4" spans="1:8" x14ac:dyDescent="0.25">
      <c r="A4" s="647"/>
      <c r="B4" s="648"/>
      <c r="C4" s="704" t="s">
        <v>98</v>
      </c>
      <c r="D4" s="705"/>
      <c r="E4" s="705"/>
      <c r="F4" s="706"/>
      <c r="G4" s="647"/>
      <c r="H4" s="648"/>
    </row>
    <row r="5" spans="1:8" x14ac:dyDescent="0.25">
      <c r="A5" s="647"/>
      <c r="B5" s="648"/>
      <c r="C5" s="262"/>
      <c r="D5" s="263"/>
      <c r="E5" s="263"/>
      <c r="F5" s="264"/>
      <c r="G5" s="647"/>
      <c r="H5" s="648"/>
    </row>
    <row r="6" spans="1:8" x14ac:dyDescent="0.25">
      <c r="A6" s="647"/>
      <c r="B6" s="648"/>
      <c r="C6" s="704" t="s">
        <v>210</v>
      </c>
      <c r="D6" s="705"/>
      <c r="E6" s="705"/>
      <c r="F6" s="706"/>
      <c r="G6" s="647"/>
      <c r="H6" s="648"/>
    </row>
    <row r="7" spans="1:8" x14ac:dyDescent="0.25">
      <c r="A7" s="647"/>
      <c r="B7" s="648"/>
      <c r="C7" s="704" t="s">
        <v>211</v>
      </c>
      <c r="D7" s="705"/>
      <c r="E7" s="705"/>
      <c r="F7" s="706"/>
      <c r="G7" s="647"/>
      <c r="H7" s="648"/>
    </row>
    <row r="8" spans="1:8" ht="15.75" thickBot="1" x14ac:dyDescent="0.3">
      <c r="A8" s="649"/>
      <c r="B8" s="650"/>
      <c r="C8" s="265"/>
      <c r="D8" s="266"/>
      <c r="E8" s="266"/>
      <c r="F8" s="267"/>
      <c r="G8" s="649"/>
      <c r="H8" s="650"/>
    </row>
    <row r="10" spans="1:8" ht="15.75" thickBot="1" x14ac:dyDescent="0.3">
      <c r="A10" s="698" t="s">
        <v>212</v>
      </c>
      <c r="B10" s="698"/>
      <c r="C10" s="698"/>
      <c r="D10" s="698"/>
      <c r="E10" s="698"/>
      <c r="F10" s="698"/>
      <c r="G10" s="698"/>
      <c r="H10" s="698"/>
    </row>
    <row r="11" spans="1:8" ht="15.75" thickBot="1" x14ac:dyDescent="0.3">
      <c r="A11" s="268"/>
      <c r="B11" s="268"/>
      <c r="C11" s="268"/>
      <c r="D11" s="268"/>
      <c r="E11" s="268"/>
      <c r="F11" s="268"/>
      <c r="G11" s="658" t="s">
        <v>502</v>
      </c>
      <c r="H11" s="659"/>
    </row>
    <row r="12" spans="1:8" ht="15.75" thickBot="1" x14ac:dyDescent="0.3"/>
    <row r="13" spans="1:8" ht="56.25" customHeight="1" x14ac:dyDescent="0.25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5">
      <c r="A14" s="399"/>
      <c r="B14" s="400"/>
      <c r="C14" s="400"/>
      <c r="D14" s="400"/>
      <c r="E14" s="400"/>
      <c r="F14" s="400"/>
      <c r="G14" s="400"/>
      <c r="H14" s="401"/>
    </row>
    <row r="15" spans="1:8" ht="15.75" thickBot="1" x14ac:dyDescent="0.3">
      <c r="A15" s="402"/>
      <c r="B15" s="403"/>
      <c r="C15" s="403"/>
      <c r="D15" s="403"/>
      <c r="E15" s="403"/>
      <c r="F15" s="403"/>
      <c r="G15" s="403"/>
      <c r="H15" s="404"/>
    </row>
    <row r="16" spans="1:8" ht="15.75" thickBot="1" x14ac:dyDescent="0.3">
      <c r="A16" s="263"/>
    </row>
    <row r="17" spans="1:8" ht="21" customHeight="1" x14ac:dyDescent="0.25">
      <c r="A17" s="689" t="s">
        <v>509</v>
      </c>
      <c r="B17" s="663" t="s">
        <v>514</v>
      </c>
      <c r="C17" s="664"/>
      <c r="D17" s="664"/>
      <c r="E17" s="664"/>
      <c r="F17" s="665"/>
      <c r="G17" s="689" t="s">
        <v>216</v>
      </c>
      <c r="H17" s="707" t="s">
        <v>430</v>
      </c>
    </row>
    <row r="18" spans="1:8" ht="15.75" thickBot="1" x14ac:dyDescent="0.3">
      <c r="A18" s="690"/>
      <c r="B18" s="691"/>
      <c r="C18" s="692"/>
      <c r="D18" s="692"/>
      <c r="E18" s="692"/>
      <c r="F18" s="693"/>
      <c r="G18" s="690"/>
      <c r="H18" s="690"/>
    </row>
    <row r="19" spans="1:8" x14ac:dyDescent="0.25">
      <c r="A19" s="269" t="s">
        <v>217</v>
      </c>
    </row>
    <row r="20" spans="1:8" x14ac:dyDescent="0.25">
      <c r="A20" s="675" t="s">
        <v>1</v>
      </c>
      <c r="B20" s="675"/>
      <c r="C20" s="675" t="s">
        <v>218</v>
      </c>
      <c r="D20" s="675"/>
      <c r="E20" s="675" t="s">
        <v>219</v>
      </c>
      <c r="F20" s="675"/>
      <c r="G20" s="675" t="s">
        <v>220</v>
      </c>
      <c r="H20" s="675"/>
    </row>
    <row r="21" spans="1:8" x14ac:dyDescent="0.25">
      <c r="A21" s="694" t="s">
        <v>487</v>
      </c>
      <c r="B21" s="695"/>
      <c r="C21" s="684">
        <v>12000</v>
      </c>
      <c r="D21" s="684"/>
      <c r="E21" s="696">
        <v>8</v>
      </c>
      <c r="F21" s="696"/>
      <c r="G21" s="684">
        <f t="shared" ref="G21" si="0">+C21/E21</f>
        <v>1500</v>
      </c>
      <c r="H21" s="684"/>
    </row>
    <row r="22" spans="1:8" s="296" customFormat="1" ht="23.25" customHeight="1" x14ac:dyDescent="0.25">
      <c r="A22" s="711" t="s">
        <v>224</v>
      </c>
      <c r="B22" s="712"/>
      <c r="C22" s="713"/>
      <c r="D22" s="713"/>
      <c r="E22" s="520">
        <v>0.1</v>
      </c>
      <c r="F22" s="520"/>
      <c r="G22" s="684">
        <f>+E22*G40</f>
        <v>431.66666666666674</v>
      </c>
      <c r="H22" s="684"/>
    </row>
    <row r="23" spans="1:8" x14ac:dyDescent="0.25">
      <c r="C23" s="685" t="s">
        <v>225</v>
      </c>
      <c r="D23" s="685"/>
      <c r="E23" s="685"/>
      <c r="F23" s="685"/>
      <c r="G23" s="684">
        <f>SUM(G21:H22)</f>
        <v>1931.6666666666667</v>
      </c>
      <c r="H23" s="684"/>
    </row>
    <row r="24" spans="1:8" x14ac:dyDescent="0.25">
      <c r="C24" s="270"/>
      <c r="D24" s="270"/>
      <c r="E24" s="270"/>
      <c r="F24" s="270"/>
      <c r="G24" s="271"/>
      <c r="H24" s="271"/>
    </row>
    <row r="25" spans="1:8" x14ac:dyDescent="0.25">
      <c r="A25" s="269" t="s">
        <v>226</v>
      </c>
    </row>
    <row r="26" spans="1:8" x14ac:dyDescent="0.25">
      <c r="A26" s="675" t="s">
        <v>1</v>
      </c>
      <c r="B26" s="675"/>
      <c r="C26" s="272" t="s">
        <v>227</v>
      </c>
      <c r="D26" s="272" t="s">
        <v>228</v>
      </c>
      <c r="E26" s="675" t="s">
        <v>3</v>
      </c>
      <c r="F26" s="675"/>
      <c r="G26" s="675" t="s">
        <v>220</v>
      </c>
      <c r="H26" s="675"/>
    </row>
    <row r="27" spans="1:8" ht="24" customHeight="1" x14ac:dyDescent="0.25">
      <c r="A27" s="694" t="s">
        <v>515</v>
      </c>
      <c r="B27" s="695"/>
      <c r="C27" s="246" t="s">
        <v>227</v>
      </c>
      <c r="D27" s="257">
        <v>120000</v>
      </c>
      <c r="E27" s="710">
        <v>2</v>
      </c>
      <c r="F27" s="710"/>
      <c r="G27" s="521">
        <f>+D27*E27</f>
        <v>240000</v>
      </c>
      <c r="H27" s="522"/>
    </row>
    <row r="28" spans="1:8" ht="25.5" customHeight="1" x14ac:dyDescent="0.25">
      <c r="A28" s="519" t="s">
        <v>497</v>
      </c>
      <c r="B28" s="519"/>
      <c r="C28" s="246" t="s">
        <v>458</v>
      </c>
      <c r="D28" s="246"/>
      <c r="E28" s="520">
        <v>0.17</v>
      </c>
      <c r="F28" s="520"/>
      <c r="G28" s="521">
        <f>+E28*(G27)</f>
        <v>40800</v>
      </c>
      <c r="H28" s="522"/>
    </row>
    <row r="29" spans="1:8" x14ac:dyDescent="0.25">
      <c r="A29" s="273"/>
      <c r="B29" s="273"/>
      <c r="C29" s="685" t="s">
        <v>225</v>
      </c>
      <c r="D29" s="685"/>
      <c r="E29" s="685"/>
      <c r="F29" s="685"/>
      <c r="G29" s="684">
        <f>SUM(G27:H28)</f>
        <v>280800</v>
      </c>
      <c r="H29" s="684"/>
    </row>
    <row r="31" spans="1:8" x14ac:dyDescent="0.25">
      <c r="A31" s="269" t="s">
        <v>256</v>
      </c>
    </row>
    <row r="32" spans="1:8" x14ac:dyDescent="0.25">
      <c r="A32" s="675" t="s">
        <v>233</v>
      </c>
      <c r="B32" s="675"/>
      <c r="C32" s="274" t="s">
        <v>234</v>
      </c>
      <c r="D32" s="275" t="s">
        <v>235</v>
      </c>
      <c r="E32" s="675" t="s">
        <v>236</v>
      </c>
      <c r="F32" s="675"/>
      <c r="G32" s="675" t="s">
        <v>220</v>
      </c>
      <c r="H32" s="675"/>
    </row>
    <row r="33" spans="1:8" ht="25.5" customHeight="1" x14ac:dyDescent="0.25">
      <c r="A33" s="694" t="str">
        <f>+A27</f>
        <v xml:space="preserve">Eclisas de 4 agujeros. Incluye pernos </v>
      </c>
      <c r="B33" s="695"/>
      <c r="C33" s="281">
        <v>1</v>
      </c>
      <c r="D33" s="281">
        <v>350</v>
      </c>
      <c r="E33" s="684">
        <v>0.5</v>
      </c>
      <c r="F33" s="684"/>
      <c r="G33" s="684">
        <f>+C33*D33*E33</f>
        <v>175</v>
      </c>
      <c r="H33" s="684"/>
    </row>
    <row r="34" spans="1:8" x14ac:dyDescent="0.25">
      <c r="A34" s="273"/>
      <c r="B34" s="273"/>
      <c r="C34" s="685" t="s">
        <v>225</v>
      </c>
      <c r="D34" s="685"/>
      <c r="E34" s="685"/>
      <c r="F34" s="685"/>
      <c r="G34" s="684">
        <f>+SUM(G33:H33)</f>
        <v>175</v>
      </c>
      <c r="H34" s="684"/>
    </row>
    <row r="36" spans="1:8" x14ac:dyDescent="0.25">
      <c r="A36" s="269" t="s">
        <v>257</v>
      </c>
    </row>
    <row r="37" spans="1:8" x14ac:dyDescent="0.25">
      <c r="A37" s="675" t="s">
        <v>238</v>
      </c>
      <c r="B37" s="675"/>
      <c r="C37" s="274" t="s">
        <v>239</v>
      </c>
      <c r="D37" s="275" t="s">
        <v>240</v>
      </c>
      <c r="E37" s="277" t="s">
        <v>241</v>
      </c>
      <c r="F37" s="278" t="s">
        <v>219</v>
      </c>
      <c r="G37" s="675" t="s">
        <v>220</v>
      </c>
      <c r="H37" s="675"/>
    </row>
    <row r="38" spans="1:8" x14ac:dyDescent="0.25">
      <c r="A38" s="700" t="s">
        <v>258</v>
      </c>
      <c r="B38" s="700"/>
      <c r="C38" s="246">
        <v>70000</v>
      </c>
      <c r="D38" s="279">
        <v>0.85</v>
      </c>
      <c r="E38" s="246">
        <f>+((C38*D38)+C38)</f>
        <v>129500</v>
      </c>
      <c r="F38" s="280">
        <v>30</v>
      </c>
      <c r="G38" s="684">
        <f>+E38/F38</f>
        <v>4316.666666666667</v>
      </c>
      <c r="H38" s="684"/>
    </row>
    <row r="39" spans="1:8" x14ac:dyDescent="0.25">
      <c r="A39" s="700"/>
      <c r="B39" s="700"/>
      <c r="C39" s="246"/>
      <c r="D39" s="281"/>
      <c r="E39" s="246"/>
      <c r="F39" s="281"/>
      <c r="G39" s="684"/>
      <c r="H39" s="684"/>
    </row>
    <row r="40" spans="1:8" x14ac:dyDescent="0.25">
      <c r="A40" s="273"/>
      <c r="B40" s="273"/>
      <c r="C40" s="685" t="s">
        <v>225</v>
      </c>
      <c r="D40" s="685"/>
      <c r="E40" s="685"/>
      <c r="F40" s="685"/>
      <c r="G40" s="684">
        <f>+G38+G39</f>
        <v>4316.666666666667</v>
      </c>
      <c r="H40" s="684"/>
    </row>
    <row r="43" spans="1:8" x14ac:dyDescent="0.25">
      <c r="A43" s="686" t="s">
        <v>244</v>
      </c>
      <c r="B43" s="686"/>
      <c r="C43" s="686"/>
      <c r="D43" s="686"/>
      <c r="E43" s="686"/>
      <c r="F43" s="686"/>
      <c r="G43" s="699">
        <f>ROUND(G23+G29+G34+G40,0)</f>
        <v>287223</v>
      </c>
      <c r="H43" s="699"/>
    </row>
    <row r="44" spans="1:8" x14ac:dyDescent="0.25">
      <c r="G44" s="282">
        <f>+G43</f>
        <v>287223</v>
      </c>
    </row>
  </sheetData>
  <mergeCells count="56">
    <mergeCell ref="A43:F43"/>
    <mergeCell ref="G43:H43"/>
    <mergeCell ref="A21:B21"/>
    <mergeCell ref="C21:D21"/>
    <mergeCell ref="E21:F21"/>
    <mergeCell ref="G21:H21"/>
    <mergeCell ref="A38:B38"/>
    <mergeCell ref="G38:H38"/>
    <mergeCell ref="A39:B39"/>
    <mergeCell ref="G39:H39"/>
    <mergeCell ref="C40:F40"/>
    <mergeCell ref="G40:H40"/>
    <mergeCell ref="A33:B33"/>
    <mergeCell ref="E33:F33"/>
    <mergeCell ref="G33:H33"/>
    <mergeCell ref="C34:F34"/>
    <mergeCell ref="G34:H34"/>
    <mergeCell ref="A37:B37"/>
    <mergeCell ref="G37:H37"/>
    <mergeCell ref="A28:B28"/>
    <mergeCell ref="E28:F28"/>
    <mergeCell ref="G28:H28"/>
    <mergeCell ref="C29:F29"/>
    <mergeCell ref="G29:H29"/>
    <mergeCell ref="A32:B32"/>
    <mergeCell ref="E32:F32"/>
    <mergeCell ref="G32:H32"/>
    <mergeCell ref="A27:B27"/>
    <mergeCell ref="E27:F27"/>
    <mergeCell ref="G27:H27"/>
    <mergeCell ref="A20:B20"/>
    <mergeCell ref="C20:D20"/>
    <mergeCell ref="E20:F20"/>
    <mergeCell ref="G20:H20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10:H10"/>
    <mergeCell ref="G11:H11"/>
    <mergeCell ref="A13:H15"/>
    <mergeCell ref="A17:A18"/>
    <mergeCell ref="B17:F18"/>
    <mergeCell ref="G17:G18"/>
    <mergeCell ref="H17:H18"/>
    <mergeCell ref="A3:B8"/>
    <mergeCell ref="C3:F3"/>
    <mergeCell ref="G3:H8"/>
    <mergeCell ref="C4:F4"/>
    <mergeCell ref="C6:F6"/>
    <mergeCell ref="C7:F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55"/>
  <sheetViews>
    <sheetView workbookViewId="0">
      <selection activeCell="G54" sqref="G54:H54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645"/>
      <c r="B3" s="646"/>
      <c r="C3" s="701" t="s">
        <v>209</v>
      </c>
      <c r="D3" s="702"/>
      <c r="E3" s="702"/>
      <c r="F3" s="703"/>
      <c r="G3" s="645"/>
      <c r="H3" s="646"/>
    </row>
    <row r="4" spans="1:8" x14ac:dyDescent="0.25">
      <c r="A4" s="647"/>
      <c r="B4" s="648"/>
      <c r="C4" s="704" t="s">
        <v>98</v>
      </c>
      <c r="D4" s="705"/>
      <c r="E4" s="705"/>
      <c r="F4" s="706"/>
      <c r="G4" s="647"/>
      <c r="H4" s="648"/>
    </row>
    <row r="5" spans="1:8" x14ac:dyDescent="0.25">
      <c r="A5" s="647"/>
      <c r="B5" s="648"/>
      <c r="C5" s="262"/>
      <c r="D5" s="263"/>
      <c r="E5" s="263"/>
      <c r="F5" s="264"/>
      <c r="G5" s="647"/>
      <c r="H5" s="648"/>
    </row>
    <row r="6" spans="1:8" x14ac:dyDescent="0.25">
      <c r="A6" s="647"/>
      <c r="B6" s="648"/>
      <c r="C6" s="704" t="s">
        <v>210</v>
      </c>
      <c r="D6" s="705"/>
      <c r="E6" s="705"/>
      <c r="F6" s="706"/>
      <c r="G6" s="647"/>
      <c r="H6" s="648"/>
    </row>
    <row r="7" spans="1:8" x14ac:dyDescent="0.25">
      <c r="A7" s="647"/>
      <c r="B7" s="648"/>
      <c r="C7" s="704" t="s">
        <v>211</v>
      </c>
      <c r="D7" s="705"/>
      <c r="E7" s="705"/>
      <c r="F7" s="706"/>
      <c r="G7" s="647"/>
      <c r="H7" s="648"/>
    </row>
    <row r="8" spans="1:8" ht="15.75" thickBot="1" x14ac:dyDescent="0.3">
      <c r="A8" s="649"/>
      <c r="B8" s="650"/>
      <c r="C8" s="265"/>
      <c r="D8" s="266"/>
      <c r="E8" s="266"/>
      <c r="F8" s="267"/>
      <c r="G8" s="649"/>
      <c r="H8" s="650"/>
    </row>
    <row r="10" spans="1:8" ht="15.75" thickBot="1" x14ac:dyDescent="0.3">
      <c r="A10" s="698" t="s">
        <v>212</v>
      </c>
      <c r="B10" s="698"/>
      <c r="C10" s="698"/>
      <c r="D10" s="698"/>
      <c r="E10" s="698"/>
      <c r="F10" s="698"/>
      <c r="G10" s="698"/>
      <c r="H10" s="698"/>
    </row>
    <row r="11" spans="1:8" ht="15.75" thickBot="1" x14ac:dyDescent="0.3">
      <c r="A11" s="268"/>
      <c r="B11" s="268"/>
      <c r="C11" s="268"/>
      <c r="D11" s="268"/>
      <c r="E11" s="268"/>
      <c r="F11" s="268"/>
      <c r="G11" s="658" t="s">
        <v>499</v>
      </c>
      <c r="H11" s="659"/>
    </row>
    <row r="12" spans="1:8" ht="15.75" thickBot="1" x14ac:dyDescent="0.3"/>
    <row r="13" spans="1:8" ht="56.25" customHeight="1" x14ac:dyDescent="0.25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5">
      <c r="A14" s="399"/>
      <c r="B14" s="400"/>
      <c r="C14" s="400"/>
      <c r="D14" s="400"/>
      <c r="E14" s="400"/>
      <c r="F14" s="400"/>
      <c r="G14" s="400"/>
      <c r="H14" s="401"/>
    </row>
    <row r="15" spans="1:8" ht="15.75" thickBot="1" x14ac:dyDescent="0.3">
      <c r="A15" s="402"/>
      <c r="B15" s="403"/>
      <c r="C15" s="403"/>
      <c r="D15" s="403"/>
      <c r="E15" s="403"/>
      <c r="F15" s="403"/>
      <c r="G15" s="403"/>
      <c r="H15" s="404"/>
    </row>
    <row r="16" spans="1:8" ht="15.75" thickBot="1" x14ac:dyDescent="0.3">
      <c r="A16" s="263"/>
    </row>
    <row r="17" spans="1:8" ht="21" customHeight="1" x14ac:dyDescent="0.25">
      <c r="A17" s="689" t="s">
        <v>513</v>
      </c>
      <c r="B17" s="663" t="s">
        <v>491</v>
      </c>
      <c r="C17" s="664"/>
      <c r="D17" s="664"/>
      <c r="E17" s="664"/>
      <c r="F17" s="665"/>
      <c r="G17" s="689" t="s">
        <v>216</v>
      </c>
      <c r="H17" s="707" t="s">
        <v>430</v>
      </c>
    </row>
    <row r="18" spans="1:8" ht="15.75" thickBot="1" x14ac:dyDescent="0.3">
      <c r="A18" s="690"/>
      <c r="B18" s="691"/>
      <c r="C18" s="692"/>
      <c r="D18" s="692"/>
      <c r="E18" s="692"/>
      <c r="F18" s="693"/>
      <c r="G18" s="690"/>
      <c r="H18" s="690"/>
    </row>
    <row r="19" spans="1:8" x14ac:dyDescent="0.25">
      <c r="A19" s="269" t="s">
        <v>217</v>
      </c>
    </row>
    <row r="20" spans="1:8" x14ac:dyDescent="0.25">
      <c r="A20" s="675" t="s">
        <v>1</v>
      </c>
      <c r="B20" s="675"/>
      <c r="C20" s="675" t="s">
        <v>218</v>
      </c>
      <c r="D20" s="675"/>
      <c r="E20" s="675" t="s">
        <v>219</v>
      </c>
      <c r="F20" s="675"/>
      <c r="G20" s="675" t="s">
        <v>220</v>
      </c>
      <c r="H20" s="675"/>
    </row>
    <row r="21" spans="1:8" ht="23.25" customHeight="1" x14ac:dyDescent="0.25">
      <c r="A21" s="694" t="s">
        <v>485</v>
      </c>
      <c r="B21" s="695"/>
      <c r="C21" s="684">
        <v>10000</v>
      </c>
      <c r="D21" s="684"/>
      <c r="E21" s="696">
        <v>8</v>
      </c>
      <c r="F21" s="696"/>
      <c r="G21" s="684">
        <f t="shared" ref="G21:G26" si="0">+C21/E21</f>
        <v>1250</v>
      </c>
      <c r="H21" s="684"/>
    </row>
    <row r="22" spans="1:8" ht="29.25" customHeight="1" x14ac:dyDescent="0.25">
      <c r="A22" s="694" t="s">
        <v>486</v>
      </c>
      <c r="B22" s="695"/>
      <c r="C22" s="684">
        <v>35000</v>
      </c>
      <c r="D22" s="684"/>
      <c r="E22" s="696">
        <v>8</v>
      </c>
      <c r="F22" s="696"/>
      <c r="G22" s="684">
        <f t="shared" si="0"/>
        <v>4375</v>
      </c>
      <c r="H22" s="684"/>
    </row>
    <row r="23" spans="1:8" x14ac:dyDescent="0.25">
      <c r="A23" s="694" t="s">
        <v>487</v>
      </c>
      <c r="B23" s="695"/>
      <c r="C23" s="684">
        <v>12000</v>
      </c>
      <c r="D23" s="684"/>
      <c r="E23" s="696">
        <v>8</v>
      </c>
      <c r="F23" s="696"/>
      <c r="G23" s="684">
        <f t="shared" si="0"/>
        <v>1500</v>
      </c>
      <c r="H23" s="684"/>
    </row>
    <row r="24" spans="1:8" ht="27.75" customHeight="1" x14ac:dyDescent="0.25">
      <c r="A24" s="694" t="s">
        <v>488</v>
      </c>
      <c r="B24" s="695"/>
      <c r="C24" s="684">
        <v>130000</v>
      </c>
      <c r="D24" s="684"/>
      <c r="E24" s="696">
        <v>8</v>
      </c>
      <c r="F24" s="696"/>
      <c r="G24" s="684">
        <f t="shared" si="0"/>
        <v>16250</v>
      </c>
      <c r="H24" s="684"/>
    </row>
    <row r="25" spans="1:8" x14ac:dyDescent="0.25">
      <c r="A25" s="694" t="s">
        <v>492</v>
      </c>
      <c r="B25" s="695"/>
      <c r="C25" s="684">
        <v>1500</v>
      </c>
      <c r="D25" s="684"/>
      <c r="E25" s="696">
        <v>8</v>
      </c>
      <c r="F25" s="696"/>
      <c r="G25" s="684">
        <f t="shared" si="0"/>
        <v>187.5</v>
      </c>
      <c r="H25" s="684"/>
    </row>
    <row r="26" spans="1:8" x14ac:dyDescent="0.25">
      <c r="A26" s="694" t="s">
        <v>493</v>
      </c>
      <c r="B26" s="695"/>
      <c r="C26" s="684">
        <v>1800</v>
      </c>
      <c r="D26" s="684"/>
      <c r="E26" s="696">
        <v>8</v>
      </c>
      <c r="F26" s="696"/>
      <c r="G26" s="684">
        <f t="shared" si="0"/>
        <v>225</v>
      </c>
      <c r="H26" s="684"/>
    </row>
    <row r="27" spans="1:8" x14ac:dyDescent="0.25">
      <c r="C27" s="685" t="s">
        <v>225</v>
      </c>
      <c r="D27" s="685"/>
      <c r="E27" s="685"/>
      <c r="F27" s="685"/>
      <c r="G27" s="684">
        <f>SUM(G21:H26)</f>
        <v>23787.5</v>
      </c>
      <c r="H27" s="684"/>
    </row>
    <row r="28" spans="1:8" x14ac:dyDescent="0.25">
      <c r="C28" s="270"/>
      <c r="D28" s="270"/>
      <c r="E28" s="270"/>
      <c r="F28" s="270"/>
      <c r="G28" s="271"/>
      <c r="H28" s="271"/>
    </row>
    <row r="29" spans="1:8" x14ac:dyDescent="0.25">
      <c r="A29" s="269" t="s">
        <v>226</v>
      </c>
    </row>
    <row r="30" spans="1:8" x14ac:dyDescent="0.25">
      <c r="A30" s="675" t="s">
        <v>1</v>
      </c>
      <c r="B30" s="675"/>
      <c r="C30" s="272" t="s">
        <v>227</v>
      </c>
      <c r="D30" s="272" t="s">
        <v>228</v>
      </c>
      <c r="E30" s="675" t="s">
        <v>3</v>
      </c>
      <c r="F30" s="675"/>
      <c r="G30" s="675" t="s">
        <v>220</v>
      </c>
      <c r="H30" s="675"/>
    </row>
    <row r="31" spans="1:8" ht="24.75" customHeight="1" x14ac:dyDescent="0.25">
      <c r="A31" s="694" t="s">
        <v>494</v>
      </c>
      <c r="B31" s="695"/>
      <c r="C31" s="246" t="s">
        <v>227</v>
      </c>
      <c r="D31" s="246">
        <v>270000</v>
      </c>
      <c r="E31" s="710">
        <v>1</v>
      </c>
      <c r="F31" s="710"/>
      <c r="G31" s="521">
        <f>+D31*E31</f>
        <v>270000</v>
      </c>
      <c r="H31" s="522"/>
    </row>
    <row r="32" spans="1:8" x14ac:dyDescent="0.25">
      <c r="A32" s="694" t="s">
        <v>495</v>
      </c>
      <c r="B32" s="695"/>
      <c r="C32" s="246" t="s">
        <v>227</v>
      </c>
      <c r="D32" s="246">
        <f>1.16*3000</f>
        <v>3479.9999999999995</v>
      </c>
      <c r="E32" s="710">
        <v>8</v>
      </c>
      <c r="F32" s="710"/>
      <c r="G32" s="521">
        <f>+D32*E32</f>
        <v>27839.999999999996</v>
      </c>
      <c r="H32" s="522"/>
    </row>
    <row r="33" spans="1:8" x14ac:dyDescent="0.25">
      <c r="A33" s="680" t="s">
        <v>496</v>
      </c>
      <c r="B33" s="681"/>
      <c r="C33" s="246" t="s">
        <v>227</v>
      </c>
      <c r="D33" s="246">
        <v>18000</v>
      </c>
      <c r="E33" s="710">
        <v>2</v>
      </c>
      <c r="F33" s="710"/>
      <c r="G33" s="521">
        <f>+D33*E33</f>
        <v>36000</v>
      </c>
      <c r="H33" s="522"/>
    </row>
    <row r="34" spans="1:8" x14ac:dyDescent="0.25">
      <c r="A34" s="680" t="s">
        <v>490</v>
      </c>
      <c r="B34" s="681"/>
      <c r="C34" s="246" t="s">
        <v>227</v>
      </c>
      <c r="D34" s="246">
        <v>7000</v>
      </c>
      <c r="E34" s="710">
        <v>4</v>
      </c>
      <c r="F34" s="710"/>
      <c r="G34" s="521">
        <f>+D34*E34</f>
        <v>28000</v>
      </c>
      <c r="H34" s="522"/>
    </row>
    <row r="35" spans="1:8" ht="25.5" customHeight="1" x14ac:dyDescent="0.25">
      <c r="A35" s="519" t="s">
        <v>497</v>
      </c>
      <c r="B35" s="519"/>
      <c r="C35" s="246" t="s">
        <v>458</v>
      </c>
      <c r="D35" s="246"/>
      <c r="E35" s="520">
        <v>0.17</v>
      </c>
      <c r="F35" s="520"/>
      <c r="G35" s="521">
        <f>+E35*(G34+G33+G31)</f>
        <v>56780.000000000007</v>
      </c>
      <c r="H35" s="522"/>
    </row>
    <row r="36" spans="1:8" x14ac:dyDescent="0.25">
      <c r="A36" s="273"/>
      <c r="B36" s="273"/>
      <c r="C36" s="685" t="s">
        <v>225</v>
      </c>
      <c r="D36" s="685"/>
      <c r="E36" s="685"/>
      <c r="F36" s="685"/>
      <c r="G36" s="684">
        <f>SUM(G31:H35)</f>
        <v>418620</v>
      </c>
      <c r="H36" s="684"/>
    </row>
    <row r="38" spans="1:8" x14ac:dyDescent="0.25">
      <c r="A38" s="269" t="s">
        <v>256</v>
      </c>
    </row>
    <row r="39" spans="1:8" x14ac:dyDescent="0.25">
      <c r="A39" s="675" t="s">
        <v>233</v>
      </c>
      <c r="B39" s="675"/>
      <c r="C39" s="274" t="s">
        <v>234</v>
      </c>
      <c r="D39" s="275" t="s">
        <v>235</v>
      </c>
      <c r="E39" s="675" t="s">
        <v>236</v>
      </c>
      <c r="F39" s="675"/>
      <c r="G39" s="675" t="s">
        <v>220</v>
      </c>
      <c r="H39" s="675"/>
    </row>
    <row r="40" spans="1:8" x14ac:dyDescent="0.25">
      <c r="A40" s="680" t="s">
        <v>498</v>
      </c>
      <c r="B40" s="681"/>
      <c r="C40" s="281">
        <v>1</v>
      </c>
      <c r="D40" s="258">
        <v>938</v>
      </c>
      <c r="E40" s="684">
        <v>6</v>
      </c>
      <c r="F40" s="684"/>
      <c r="G40" s="684">
        <f>+C40*D40*E40</f>
        <v>5628</v>
      </c>
      <c r="H40" s="684"/>
    </row>
    <row r="41" spans="1:8" x14ac:dyDescent="0.25">
      <c r="A41" s="680" t="s">
        <v>495</v>
      </c>
      <c r="B41" s="681"/>
      <c r="C41" s="281">
        <v>1</v>
      </c>
      <c r="D41" s="258">
        <v>938</v>
      </c>
      <c r="E41" s="684">
        <v>0.5</v>
      </c>
      <c r="F41" s="684"/>
      <c r="G41" s="684">
        <f>+C41*D41*E41</f>
        <v>469</v>
      </c>
      <c r="H41" s="684"/>
    </row>
    <row r="42" spans="1:8" x14ac:dyDescent="0.25">
      <c r="A42" s="680" t="s">
        <v>496</v>
      </c>
      <c r="B42" s="681"/>
      <c r="C42" s="281">
        <v>1</v>
      </c>
      <c r="D42" s="258">
        <v>938</v>
      </c>
      <c r="E42" s="684">
        <v>0.5</v>
      </c>
      <c r="F42" s="684"/>
      <c r="G42" s="684">
        <f>+C42*D42*E42</f>
        <v>469</v>
      </c>
      <c r="H42" s="684"/>
    </row>
    <row r="43" spans="1:8" x14ac:dyDescent="0.25">
      <c r="A43" s="680" t="s">
        <v>490</v>
      </c>
      <c r="B43" s="681"/>
      <c r="C43" s="281">
        <v>1</v>
      </c>
      <c r="D43" s="258">
        <v>938</v>
      </c>
      <c r="E43" s="684">
        <v>0.5</v>
      </c>
      <c r="F43" s="684"/>
      <c r="G43" s="684">
        <f>+C43*D43*E43</f>
        <v>469</v>
      </c>
      <c r="H43" s="684"/>
    </row>
    <row r="44" spans="1:8" x14ac:dyDescent="0.25">
      <c r="A44" s="273"/>
      <c r="B44" s="273"/>
      <c r="C44" s="685" t="s">
        <v>225</v>
      </c>
      <c r="D44" s="685"/>
      <c r="E44" s="685"/>
      <c r="F44" s="685"/>
      <c r="G44" s="684">
        <f>+SUM(G40:H43)</f>
        <v>7035</v>
      </c>
      <c r="H44" s="684"/>
    </row>
    <row r="46" spans="1:8" x14ac:dyDescent="0.25">
      <c r="A46" s="269" t="s">
        <v>257</v>
      </c>
    </row>
    <row r="47" spans="1:8" x14ac:dyDescent="0.25">
      <c r="A47" s="675" t="s">
        <v>238</v>
      </c>
      <c r="B47" s="675"/>
      <c r="C47" s="274" t="s">
        <v>239</v>
      </c>
      <c r="D47" s="275" t="s">
        <v>240</v>
      </c>
      <c r="E47" s="277" t="s">
        <v>241</v>
      </c>
      <c r="F47" s="278" t="s">
        <v>219</v>
      </c>
      <c r="G47" s="675" t="s">
        <v>220</v>
      </c>
      <c r="H47" s="675"/>
    </row>
    <row r="48" spans="1:8" x14ac:dyDescent="0.25">
      <c r="A48" s="680" t="s">
        <v>242</v>
      </c>
      <c r="B48" s="681"/>
      <c r="C48" s="246">
        <v>60000</v>
      </c>
      <c r="D48" s="279">
        <v>0.85</v>
      </c>
      <c r="E48" s="246">
        <f>+((C48*D48)+C48)</f>
        <v>111000</v>
      </c>
      <c r="F48" s="280">
        <v>10</v>
      </c>
      <c r="G48" s="684">
        <f>+E48/F48</f>
        <v>11100</v>
      </c>
      <c r="H48" s="684"/>
    </row>
    <row r="49" spans="1:8" x14ac:dyDescent="0.25">
      <c r="A49" s="700" t="s">
        <v>296</v>
      </c>
      <c r="B49" s="700"/>
      <c r="C49" s="246">
        <f>35000*6</f>
        <v>210000</v>
      </c>
      <c r="D49" s="279">
        <v>0.85</v>
      </c>
      <c r="E49" s="246">
        <f>+((C49*D49)+C49)</f>
        <v>388500</v>
      </c>
      <c r="F49" s="280">
        <v>10</v>
      </c>
      <c r="G49" s="684">
        <f>+E49/F49</f>
        <v>38850</v>
      </c>
      <c r="H49" s="684"/>
    </row>
    <row r="50" spans="1:8" x14ac:dyDescent="0.25">
      <c r="A50" s="700"/>
      <c r="B50" s="700"/>
      <c r="C50" s="246"/>
      <c r="D50" s="281"/>
      <c r="E50" s="246"/>
      <c r="F50" s="281"/>
      <c r="G50" s="684"/>
      <c r="H50" s="684"/>
    </row>
    <row r="51" spans="1:8" x14ac:dyDescent="0.25">
      <c r="A51" s="273"/>
      <c r="B51" s="273"/>
      <c r="C51" s="685" t="s">
        <v>225</v>
      </c>
      <c r="D51" s="685"/>
      <c r="E51" s="685"/>
      <c r="F51" s="685"/>
      <c r="G51" s="684">
        <f>+G48+G49+G50</f>
        <v>49950</v>
      </c>
      <c r="H51" s="684"/>
    </row>
    <row r="54" spans="1:8" x14ac:dyDescent="0.25">
      <c r="A54" s="686" t="s">
        <v>244</v>
      </c>
      <c r="B54" s="686"/>
      <c r="C54" s="686"/>
      <c r="D54" s="686"/>
      <c r="E54" s="686"/>
      <c r="F54" s="686"/>
      <c r="G54" s="699">
        <f>ROUND(G27+G36+G44+G51,0)</f>
        <v>499393</v>
      </c>
      <c r="H54" s="699"/>
    </row>
    <row r="55" spans="1:8" x14ac:dyDescent="0.25">
      <c r="G55" s="282">
        <f>+G54</f>
        <v>499393</v>
      </c>
    </row>
  </sheetData>
  <mergeCells count="92">
    <mergeCell ref="C51:F51"/>
    <mergeCell ref="G51:H51"/>
    <mergeCell ref="A54:F54"/>
    <mergeCell ref="G54:H54"/>
    <mergeCell ref="A48:B48"/>
    <mergeCell ref="G48:H48"/>
    <mergeCell ref="A49:B49"/>
    <mergeCell ref="G49:H49"/>
    <mergeCell ref="A50:B50"/>
    <mergeCell ref="G50:H50"/>
    <mergeCell ref="A47:B47"/>
    <mergeCell ref="G47:H47"/>
    <mergeCell ref="A41:B41"/>
    <mergeCell ref="E41:F41"/>
    <mergeCell ref="G41:H41"/>
    <mergeCell ref="A42:B42"/>
    <mergeCell ref="E42:F42"/>
    <mergeCell ref="G42:H42"/>
    <mergeCell ref="A43:B43"/>
    <mergeCell ref="E43:F43"/>
    <mergeCell ref="G43:H43"/>
    <mergeCell ref="C44:F44"/>
    <mergeCell ref="G44:H44"/>
    <mergeCell ref="A40:B40"/>
    <mergeCell ref="E40:F40"/>
    <mergeCell ref="G40:H40"/>
    <mergeCell ref="A34:B34"/>
    <mergeCell ref="E34:F34"/>
    <mergeCell ref="G34:H34"/>
    <mergeCell ref="A35:B35"/>
    <mergeCell ref="E35:F35"/>
    <mergeCell ref="G35:H35"/>
    <mergeCell ref="C36:F36"/>
    <mergeCell ref="G36:H36"/>
    <mergeCell ref="A39:B39"/>
    <mergeCell ref="E39:F39"/>
    <mergeCell ref="G39:H39"/>
    <mergeCell ref="A32:B32"/>
    <mergeCell ref="E32:F32"/>
    <mergeCell ref="G32:H32"/>
    <mergeCell ref="A33:B33"/>
    <mergeCell ref="E33:F33"/>
    <mergeCell ref="G33:H33"/>
    <mergeCell ref="A30:B30"/>
    <mergeCell ref="E30:F30"/>
    <mergeCell ref="G30:H30"/>
    <mergeCell ref="A31:B31"/>
    <mergeCell ref="E31:F31"/>
    <mergeCell ref="G31:H31"/>
    <mergeCell ref="A26:B26"/>
    <mergeCell ref="C26:D26"/>
    <mergeCell ref="E26:F26"/>
    <mergeCell ref="G26:H26"/>
    <mergeCell ref="C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0:H10"/>
    <mergeCell ref="G11:H11"/>
    <mergeCell ref="A13:H15"/>
    <mergeCell ref="A17:A18"/>
    <mergeCell ref="B17:F18"/>
    <mergeCell ref="G17:G18"/>
    <mergeCell ref="H17:H18"/>
    <mergeCell ref="A3:B8"/>
    <mergeCell ref="C3:F3"/>
    <mergeCell ref="G3:H8"/>
    <mergeCell ref="C4:F4"/>
    <mergeCell ref="C6:F6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2"/>
  <sheetViews>
    <sheetView workbookViewId="0">
      <selection activeCell="G41" sqref="G41:H41"/>
    </sheetView>
  </sheetViews>
  <sheetFormatPr baseColWidth="10" defaultRowHeight="12.75" x14ac:dyDescent="0.2"/>
  <cols>
    <col min="1" max="2" width="9.42578125" style="74" customWidth="1"/>
    <col min="3" max="3" width="10.7109375" style="74" customWidth="1"/>
    <col min="4" max="4" width="12.140625" style="74" customWidth="1"/>
    <col min="5" max="6" width="11.42578125" style="74"/>
    <col min="7" max="7" width="11.28515625" style="74" customWidth="1"/>
    <col min="8" max="8" width="9.42578125" style="74" customWidth="1"/>
    <col min="9" max="256" width="11.42578125" style="74"/>
    <col min="257" max="258" width="9.42578125" style="74" customWidth="1"/>
    <col min="259" max="259" width="10.7109375" style="74" customWidth="1"/>
    <col min="260" max="260" width="12.140625" style="74" customWidth="1"/>
    <col min="261" max="262" width="11.42578125" style="74"/>
    <col min="263" max="264" width="9.42578125" style="74" customWidth="1"/>
    <col min="265" max="512" width="11.42578125" style="74"/>
    <col min="513" max="514" width="9.42578125" style="74" customWidth="1"/>
    <col min="515" max="515" width="10.7109375" style="74" customWidth="1"/>
    <col min="516" max="516" width="12.140625" style="74" customWidth="1"/>
    <col min="517" max="518" width="11.42578125" style="74"/>
    <col min="519" max="520" width="9.42578125" style="74" customWidth="1"/>
    <col min="521" max="768" width="11.42578125" style="74"/>
    <col min="769" max="770" width="9.42578125" style="74" customWidth="1"/>
    <col min="771" max="771" width="10.7109375" style="74" customWidth="1"/>
    <col min="772" max="772" width="12.140625" style="74" customWidth="1"/>
    <col min="773" max="774" width="11.42578125" style="74"/>
    <col min="775" max="776" width="9.42578125" style="74" customWidth="1"/>
    <col min="777" max="1024" width="11.42578125" style="74"/>
    <col min="1025" max="1026" width="9.42578125" style="74" customWidth="1"/>
    <col min="1027" max="1027" width="10.7109375" style="74" customWidth="1"/>
    <col min="1028" max="1028" width="12.140625" style="74" customWidth="1"/>
    <col min="1029" max="1030" width="11.42578125" style="74"/>
    <col min="1031" max="1032" width="9.42578125" style="74" customWidth="1"/>
    <col min="1033" max="1280" width="11.42578125" style="74"/>
    <col min="1281" max="1282" width="9.42578125" style="74" customWidth="1"/>
    <col min="1283" max="1283" width="10.7109375" style="74" customWidth="1"/>
    <col min="1284" max="1284" width="12.140625" style="74" customWidth="1"/>
    <col min="1285" max="1286" width="11.42578125" style="74"/>
    <col min="1287" max="1288" width="9.42578125" style="74" customWidth="1"/>
    <col min="1289" max="1536" width="11.42578125" style="74"/>
    <col min="1537" max="1538" width="9.42578125" style="74" customWidth="1"/>
    <col min="1539" max="1539" width="10.7109375" style="74" customWidth="1"/>
    <col min="1540" max="1540" width="12.140625" style="74" customWidth="1"/>
    <col min="1541" max="1542" width="11.42578125" style="74"/>
    <col min="1543" max="1544" width="9.42578125" style="74" customWidth="1"/>
    <col min="1545" max="1792" width="11.42578125" style="74"/>
    <col min="1793" max="1794" width="9.42578125" style="74" customWidth="1"/>
    <col min="1795" max="1795" width="10.7109375" style="74" customWidth="1"/>
    <col min="1796" max="1796" width="12.140625" style="74" customWidth="1"/>
    <col min="1797" max="1798" width="11.42578125" style="74"/>
    <col min="1799" max="1800" width="9.42578125" style="74" customWidth="1"/>
    <col min="1801" max="2048" width="11.42578125" style="74"/>
    <col min="2049" max="2050" width="9.42578125" style="74" customWidth="1"/>
    <col min="2051" max="2051" width="10.7109375" style="74" customWidth="1"/>
    <col min="2052" max="2052" width="12.140625" style="74" customWidth="1"/>
    <col min="2053" max="2054" width="11.42578125" style="74"/>
    <col min="2055" max="2056" width="9.42578125" style="74" customWidth="1"/>
    <col min="2057" max="2304" width="11.42578125" style="74"/>
    <col min="2305" max="2306" width="9.42578125" style="74" customWidth="1"/>
    <col min="2307" max="2307" width="10.7109375" style="74" customWidth="1"/>
    <col min="2308" max="2308" width="12.140625" style="74" customWidth="1"/>
    <col min="2309" max="2310" width="11.42578125" style="74"/>
    <col min="2311" max="2312" width="9.42578125" style="74" customWidth="1"/>
    <col min="2313" max="2560" width="11.42578125" style="74"/>
    <col min="2561" max="2562" width="9.42578125" style="74" customWidth="1"/>
    <col min="2563" max="2563" width="10.7109375" style="74" customWidth="1"/>
    <col min="2564" max="2564" width="12.140625" style="74" customWidth="1"/>
    <col min="2565" max="2566" width="11.42578125" style="74"/>
    <col min="2567" max="2568" width="9.42578125" style="74" customWidth="1"/>
    <col min="2569" max="2816" width="11.42578125" style="74"/>
    <col min="2817" max="2818" width="9.42578125" style="74" customWidth="1"/>
    <col min="2819" max="2819" width="10.7109375" style="74" customWidth="1"/>
    <col min="2820" max="2820" width="12.140625" style="74" customWidth="1"/>
    <col min="2821" max="2822" width="11.42578125" style="74"/>
    <col min="2823" max="2824" width="9.42578125" style="74" customWidth="1"/>
    <col min="2825" max="3072" width="11.42578125" style="74"/>
    <col min="3073" max="3074" width="9.42578125" style="74" customWidth="1"/>
    <col min="3075" max="3075" width="10.7109375" style="74" customWidth="1"/>
    <col min="3076" max="3076" width="12.140625" style="74" customWidth="1"/>
    <col min="3077" max="3078" width="11.42578125" style="74"/>
    <col min="3079" max="3080" width="9.42578125" style="74" customWidth="1"/>
    <col min="3081" max="3328" width="11.42578125" style="74"/>
    <col min="3329" max="3330" width="9.42578125" style="74" customWidth="1"/>
    <col min="3331" max="3331" width="10.7109375" style="74" customWidth="1"/>
    <col min="3332" max="3332" width="12.140625" style="74" customWidth="1"/>
    <col min="3333" max="3334" width="11.42578125" style="74"/>
    <col min="3335" max="3336" width="9.42578125" style="74" customWidth="1"/>
    <col min="3337" max="3584" width="11.42578125" style="74"/>
    <col min="3585" max="3586" width="9.42578125" style="74" customWidth="1"/>
    <col min="3587" max="3587" width="10.7109375" style="74" customWidth="1"/>
    <col min="3588" max="3588" width="12.140625" style="74" customWidth="1"/>
    <col min="3589" max="3590" width="11.42578125" style="74"/>
    <col min="3591" max="3592" width="9.42578125" style="74" customWidth="1"/>
    <col min="3593" max="3840" width="11.42578125" style="74"/>
    <col min="3841" max="3842" width="9.42578125" style="74" customWidth="1"/>
    <col min="3843" max="3843" width="10.7109375" style="74" customWidth="1"/>
    <col min="3844" max="3844" width="12.140625" style="74" customWidth="1"/>
    <col min="3845" max="3846" width="11.42578125" style="74"/>
    <col min="3847" max="3848" width="9.42578125" style="74" customWidth="1"/>
    <col min="3849" max="4096" width="11.42578125" style="74"/>
    <col min="4097" max="4098" width="9.42578125" style="74" customWidth="1"/>
    <col min="4099" max="4099" width="10.7109375" style="74" customWidth="1"/>
    <col min="4100" max="4100" width="12.140625" style="74" customWidth="1"/>
    <col min="4101" max="4102" width="11.42578125" style="74"/>
    <col min="4103" max="4104" width="9.42578125" style="74" customWidth="1"/>
    <col min="4105" max="4352" width="11.42578125" style="74"/>
    <col min="4353" max="4354" width="9.42578125" style="74" customWidth="1"/>
    <col min="4355" max="4355" width="10.7109375" style="74" customWidth="1"/>
    <col min="4356" max="4356" width="12.140625" style="74" customWidth="1"/>
    <col min="4357" max="4358" width="11.42578125" style="74"/>
    <col min="4359" max="4360" width="9.42578125" style="74" customWidth="1"/>
    <col min="4361" max="4608" width="11.42578125" style="74"/>
    <col min="4609" max="4610" width="9.42578125" style="74" customWidth="1"/>
    <col min="4611" max="4611" width="10.7109375" style="74" customWidth="1"/>
    <col min="4612" max="4612" width="12.140625" style="74" customWidth="1"/>
    <col min="4613" max="4614" width="11.42578125" style="74"/>
    <col min="4615" max="4616" width="9.42578125" style="74" customWidth="1"/>
    <col min="4617" max="4864" width="11.42578125" style="74"/>
    <col min="4865" max="4866" width="9.42578125" style="74" customWidth="1"/>
    <col min="4867" max="4867" width="10.7109375" style="74" customWidth="1"/>
    <col min="4868" max="4868" width="12.140625" style="74" customWidth="1"/>
    <col min="4869" max="4870" width="11.42578125" style="74"/>
    <col min="4871" max="4872" width="9.42578125" style="74" customWidth="1"/>
    <col min="4873" max="5120" width="11.42578125" style="74"/>
    <col min="5121" max="5122" width="9.42578125" style="74" customWidth="1"/>
    <col min="5123" max="5123" width="10.7109375" style="74" customWidth="1"/>
    <col min="5124" max="5124" width="12.140625" style="74" customWidth="1"/>
    <col min="5125" max="5126" width="11.42578125" style="74"/>
    <col min="5127" max="5128" width="9.42578125" style="74" customWidth="1"/>
    <col min="5129" max="5376" width="11.42578125" style="74"/>
    <col min="5377" max="5378" width="9.42578125" style="74" customWidth="1"/>
    <col min="5379" max="5379" width="10.7109375" style="74" customWidth="1"/>
    <col min="5380" max="5380" width="12.140625" style="74" customWidth="1"/>
    <col min="5381" max="5382" width="11.42578125" style="74"/>
    <col min="5383" max="5384" width="9.42578125" style="74" customWidth="1"/>
    <col min="5385" max="5632" width="11.42578125" style="74"/>
    <col min="5633" max="5634" width="9.42578125" style="74" customWidth="1"/>
    <col min="5635" max="5635" width="10.7109375" style="74" customWidth="1"/>
    <col min="5636" max="5636" width="12.140625" style="74" customWidth="1"/>
    <col min="5637" max="5638" width="11.42578125" style="74"/>
    <col min="5639" max="5640" width="9.42578125" style="74" customWidth="1"/>
    <col min="5641" max="5888" width="11.42578125" style="74"/>
    <col min="5889" max="5890" width="9.42578125" style="74" customWidth="1"/>
    <col min="5891" max="5891" width="10.7109375" style="74" customWidth="1"/>
    <col min="5892" max="5892" width="12.140625" style="74" customWidth="1"/>
    <col min="5893" max="5894" width="11.42578125" style="74"/>
    <col min="5895" max="5896" width="9.42578125" style="74" customWidth="1"/>
    <col min="5897" max="6144" width="11.42578125" style="74"/>
    <col min="6145" max="6146" width="9.42578125" style="74" customWidth="1"/>
    <col min="6147" max="6147" width="10.7109375" style="74" customWidth="1"/>
    <col min="6148" max="6148" width="12.140625" style="74" customWidth="1"/>
    <col min="6149" max="6150" width="11.42578125" style="74"/>
    <col min="6151" max="6152" width="9.42578125" style="74" customWidth="1"/>
    <col min="6153" max="6400" width="11.42578125" style="74"/>
    <col min="6401" max="6402" width="9.42578125" style="74" customWidth="1"/>
    <col min="6403" max="6403" width="10.7109375" style="74" customWidth="1"/>
    <col min="6404" max="6404" width="12.140625" style="74" customWidth="1"/>
    <col min="6405" max="6406" width="11.42578125" style="74"/>
    <col min="6407" max="6408" width="9.42578125" style="74" customWidth="1"/>
    <col min="6409" max="6656" width="11.42578125" style="74"/>
    <col min="6657" max="6658" width="9.42578125" style="74" customWidth="1"/>
    <col min="6659" max="6659" width="10.7109375" style="74" customWidth="1"/>
    <col min="6660" max="6660" width="12.140625" style="74" customWidth="1"/>
    <col min="6661" max="6662" width="11.42578125" style="74"/>
    <col min="6663" max="6664" width="9.42578125" style="74" customWidth="1"/>
    <col min="6665" max="6912" width="11.42578125" style="74"/>
    <col min="6913" max="6914" width="9.42578125" style="74" customWidth="1"/>
    <col min="6915" max="6915" width="10.7109375" style="74" customWidth="1"/>
    <col min="6916" max="6916" width="12.140625" style="74" customWidth="1"/>
    <col min="6917" max="6918" width="11.42578125" style="74"/>
    <col min="6919" max="6920" width="9.42578125" style="74" customWidth="1"/>
    <col min="6921" max="7168" width="11.42578125" style="74"/>
    <col min="7169" max="7170" width="9.42578125" style="74" customWidth="1"/>
    <col min="7171" max="7171" width="10.7109375" style="74" customWidth="1"/>
    <col min="7172" max="7172" width="12.140625" style="74" customWidth="1"/>
    <col min="7173" max="7174" width="11.42578125" style="74"/>
    <col min="7175" max="7176" width="9.42578125" style="74" customWidth="1"/>
    <col min="7177" max="7424" width="11.42578125" style="74"/>
    <col min="7425" max="7426" width="9.42578125" style="74" customWidth="1"/>
    <col min="7427" max="7427" width="10.7109375" style="74" customWidth="1"/>
    <col min="7428" max="7428" width="12.140625" style="74" customWidth="1"/>
    <col min="7429" max="7430" width="11.42578125" style="74"/>
    <col min="7431" max="7432" width="9.42578125" style="74" customWidth="1"/>
    <col min="7433" max="7680" width="11.42578125" style="74"/>
    <col min="7681" max="7682" width="9.42578125" style="74" customWidth="1"/>
    <col min="7683" max="7683" width="10.7109375" style="74" customWidth="1"/>
    <col min="7684" max="7684" width="12.140625" style="74" customWidth="1"/>
    <col min="7685" max="7686" width="11.42578125" style="74"/>
    <col min="7687" max="7688" width="9.42578125" style="74" customWidth="1"/>
    <col min="7689" max="7936" width="11.42578125" style="74"/>
    <col min="7937" max="7938" width="9.42578125" style="74" customWidth="1"/>
    <col min="7939" max="7939" width="10.7109375" style="74" customWidth="1"/>
    <col min="7940" max="7940" width="12.140625" style="74" customWidth="1"/>
    <col min="7941" max="7942" width="11.42578125" style="74"/>
    <col min="7943" max="7944" width="9.42578125" style="74" customWidth="1"/>
    <col min="7945" max="8192" width="11.42578125" style="74"/>
    <col min="8193" max="8194" width="9.42578125" style="74" customWidth="1"/>
    <col min="8195" max="8195" width="10.7109375" style="74" customWidth="1"/>
    <col min="8196" max="8196" width="12.140625" style="74" customWidth="1"/>
    <col min="8197" max="8198" width="11.42578125" style="74"/>
    <col min="8199" max="8200" width="9.42578125" style="74" customWidth="1"/>
    <col min="8201" max="8448" width="11.42578125" style="74"/>
    <col min="8449" max="8450" width="9.42578125" style="74" customWidth="1"/>
    <col min="8451" max="8451" width="10.7109375" style="74" customWidth="1"/>
    <col min="8452" max="8452" width="12.140625" style="74" customWidth="1"/>
    <col min="8453" max="8454" width="11.42578125" style="74"/>
    <col min="8455" max="8456" width="9.42578125" style="74" customWidth="1"/>
    <col min="8457" max="8704" width="11.42578125" style="74"/>
    <col min="8705" max="8706" width="9.42578125" style="74" customWidth="1"/>
    <col min="8707" max="8707" width="10.7109375" style="74" customWidth="1"/>
    <col min="8708" max="8708" width="12.140625" style="74" customWidth="1"/>
    <col min="8709" max="8710" width="11.42578125" style="74"/>
    <col min="8711" max="8712" width="9.42578125" style="74" customWidth="1"/>
    <col min="8713" max="8960" width="11.42578125" style="74"/>
    <col min="8961" max="8962" width="9.42578125" style="74" customWidth="1"/>
    <col min="8963" max="8963" width="10.7109375" style="74" customWidth="1"/>
    <col min="8964" max="8964" width="12.140625" style="74" customWidth="1"/>
    <col min="8965" max="8966" width="11.42578125" style="74"/>
    <col min="8967" max="8968" width="9.42578125" style="74" customWidth="1"/>
    <col min="8969" max="9216" width="11.42578125" style="74"/>
    <col min="9217" max="9218" width="9.42578125" style="74" customWidth="1"/>
    <col min="9219" max="9219" width="10.7109375" style="74" customWidth="1"/>
    <col min="9220" max="9220" width="12.140625" style="74" customWidth="1"/>
    <col min="9221" max="9222" width="11.42578125" style="74"/>
    <col min="9223" max="9224" width="9.42578125" style="74" customWidth="1"/>
    <col min="9225" max="9472" width="11.42578125" style="74"/>
    <col min="9473" max="9474" width="9.42578125" style="74" customWidth="1"/>
    <col min="9475" max="9475" width="10.7109375" style="74" customWidth="1"/>
    <col min="9476" max="9476" width="12.140625" style="74" customWidth="1"/>
    <col min="9477" max="9478" width="11.42578125" style="74"/>
    <col min="9479" max="9480" width="9.42578125" style="74" customWidth="1"/>
    <col min="9481" max="9728" width="11.42578125" style="74"/>
    <col min="9729" max="9730" width="9.42578125" style="74" customWidth="1"/>
    <col min="9731" max="9731" width="10.7109375" style="74" customWidth="1"/>
    <col min="9732" max="9732" width="12.140625" style="74" customWidth="1"/>
    <col min="9733" max="9734" width="11.42578125" style="74"/>
    <col min="9735" max="9736" width="9.42578125" style="74" customWidth="1"/>
    <col min="9737" max="9984" width="11.42578125" style="74"/>
    <col min="9985" max="9986" width="9.42578125" style="74" customWidth="1"/>
    <col min="9987" max="9987" width="10.7109375" style="74" customWidth="1"/>
    <col min="9988" max="9988" width="12.140625" style="74" customWidth="1"/>
    <col min="9989" max="9990" width="11.42578125" style="74"/>
    <col min="9991" max="9992" width="9.42578125" style="74" customWidth="1"/>
    <col min="9993" max="10240" width="11.42578125" style="74"/>
    <col min="10241" max="10242" width="9.42578125" style="74" customWidth="1"/>
    <col min="10243" max="10243" width="10.7109375" style="74" customWidth="1"/>
    <col min="10244" max="10244" width="12.140625" style="74" customWidth="1"/>
    <col min="10245" max="10246" width="11.42578125" style="74"/>
    <col min="10247" max="10248" width="9.42578125" style="74" customWidth="1"/>
    <col min="10249" max="10496" width="11.42578125" style="74"/>
    <col min="10497" max="10498" width="9.42578125" style="74" customWidth="1"/>
    <col min="10499" max="10499" width="10.7109375" style="74" customWidth="1"/>
    <col min="10500" max="10500" width="12.140625" style="74" customWidth="1"/>
    <col min="10501" max="10502" width="11.42578125" style="74"/>
    <col min="10503" max="10504" width="9.42578125" style="74" customWidth="1"/>
    <col min="10505" max="10752" width="11.42578125" style="74"/>
    <col min="10753" max="10754" width="9.42578125" style="74" customWidth="1"/>
    <col min="10755" max="10755" width="10.7109375" style="74" customWidth="1"/>
    <col min="10756" max="10756" width="12.140625" style="74" customWidth="1"/>
    <col min="10757" max="10758" width="11.42578125" style="74"/>
    <col min="10759" max="10760" width="9.42578125" style="74" customWidth="1"/>
    <col min="10761" max="11008" width="11.42578125" style="74"/>
    <col min="11009" max="11010" width="9.42578125" style="74" customWidth="1"/>
    <col min="11011" max="11011" width="10.7109375" style="74" customWidth="1"/>
    <col min="11012" max="11012" width="12.140625" style="74" customWidth="1"/>
    <col min="11013" max="11014" width="11.42578125" style="74"/>
    <col min="11015" max="11016" width="9.42578125" style="74" customWidth="1"/>
    <col min="11017" max="11264" width="11.42578125" style="74"/>
    <col min="11265" max="11266" width="9.42578125" style="74" customWidth="1"/>
    <col min="11267" max="11267" width="10.7109375" style="74" customWidth="1"/>
    <col min="11268" max="11268" width="12.140625" style="74" customWidth="1"/>
    <col min="11269" max="11270" width="11.42578125" style="74"/>
    <col min="11271" max="11272" width="9.42578125" style="74" customWidth="1"/>
    <col min="11273" max="11520" width="11.42578125" style="74"/>
    <col min="11521" max="11522" width="9.42578125" style="74" customWidth="1"/>
    <col min="11523" max="11523" width="10.7109375" style="74" customWidth="1"/>
    <col min="11524" max="11524" width="12.140625" style="74" customWidth="1"/>
    <col min="11525" max="11526" width="11.42578125" style="74"/>
    <col min="11527" max="11528" width="9.42578125" style="74" customWidth="1"/>
    <col min="11529" max="11776" width="11.42578125" style="74"/>
    <col min="11777" max="11778" width="9.42578125" style="74" customWidth="1"/>
    <col min="11779" max="11779" width="10.7109375" style="74" customWidth="1"/>
    <col min="11780" max="11780" width="12.140625" style="74" customWidth="1"/>
    <col min="11781" max="11782" width="11.42578125" style="74"/>
    <col min="11783" max="11784" width="9.42578125" style="74" customWidth="1"/>
    <col min="11785" max="12032" width="11.42578125" style="74"/>
    <col min="12033" max="12034" width="9.42578125" style="74" customWidth="1"/>
    <col min="12035" max="12035" width="10.7109375" style="74" customWidth="1"/>
    <col min="12036" max="12036" width="12.140625" style="74" customWidth="1"/>
    <col min="12037" max="12038" width="11.42578125" style="74"/>
    <col min="12039" max="12040" width="9.42578125" style="74" customWidth="1"/>
    <col min="12041" max="12288" width="11.42578125" style="74"/>
    <col min="12289" max="12290" width="9.42578125" style="74" customWidth="1"/>
    <col min="12291" max="12291" width="10.7109375" style="74" customWidth="1"/>
    <col min="12292" max="12292" width="12.140625" style="74" customWidth="1"/>
    <col min="12293" max="12294" width="11.42578125" style="74"/>
    <col min="12295" max="12296" width="9.42578125" style="74" customWidth="1"/>
    <col min="12297" max="12544" width="11.42578125" style="74"/>
    <col min="12545" max="12546" width="9.42578125" style="74" customWidth="1"/>
    <col min="12547" max="12547" width="10.7109375" style="74" customWidth="1"/>
    <col min="12548" max="12548" width="12.140625" style="74" customWidth="1"/>
    <col min="12549" max="12550" width="11.42578125" style="74"/>
    <col min="12551" max="12552" width="9.42578125" style="74" customWidth="1"/>
    <col min="12553" max="12800" width="11.42578125" style="74"/>
    <col min="12801" max="12802" width="9.42578125" style="74" customWidth="1"/>
    <col min="12803" max="12803" width="10.7109375" style="74" customWidth="1"/>
    <col min="12804" max="12804" width="12.140625" style="74" customWidth="1"/>
    <col min="12805" max="12806" width="11.42578125" style="74"/>
    <col min="12807" max="12808" width="9.42578125" style="74" customWidth="1"/>
    <col min="12809" max="13056" width="11.42578125" style="74"/>
    <col min="13057" max="13058" width="9.42578125" style="74" customWidth="1"/>
    <col min="13059" max="13059" width="10.7109375" style="74" customWidth="1"/>
    <col min="13060" max="13060" width="12.140625" style="74" customWidth="1"/>
    <col min="13061" max="13062" width="11.42578125" style="74"/>
    <col min="13063" max="13064" width="9.42578125" style="74" customWidth="1"/>
    <col min="13065" max="13312" width="11.42578125" style="74"/>
    <col min="13313" max="13314" width="9.42578125" style="74" customWidth="1"/>
    <col min="13315" max="13315" width="10.7109375" style="74" customWidth="1"/>
    <col min="13316" max="13316" width="12.140625" style="74" customWidth="1"/>
    <col min="13317" max="13318" width="11.42578125" style="74"/>
    <col min="13319" max="13320" width="9.42578125" style="74" customWidth="1"/>
    <col min="13321" max="13568" width="11.42578125" style="74"/>
    <col min="13569" max="13570" width="9.42578125" style="74" customWidth="1"/>
    <col min="13571" max="13571" width="10.7109375" style="74" customWidth="1"/>
    <col min="13572" max="13572" width="12.140625" style="74" customWidth="1"/>
    <col min="13573" max="13574" width="11.42578125" style="74"/>
    <col min="13575" max="13576" width="9.42578125" style="74" customWidth="1"/>
    <col min="13577" max="13824" width="11.42578125" style="74"/>
    <col min="13825" max="13826" width="9.42578125" style="74" customWidth="1"/>
    <col min="13827" max="13827" width="10.7109375" style="74" customWidth="1"/>
    <col min="13828" max="13828" width="12.140625" style="74" customWidth="1"/>
    <col min="13829" max="13830" width="11.42578125" style="74"/>
    <col min="13831" max="13832" width="9.42578125" style="74" customWidth="1"/>
    <col min="13833" max="14080" width="11.42578125" style="74"/>
    <col min="14081" max="14082" width="9.42578125" style="74" customWidth="1"/>
    <col min="14083" max="14083" width="10.7109375" style="74" customWidth="1"/>
    <col min="14084" max="14084" width="12.140625" style="74" customWidth="1"/>
    <col min="14085" max="14086" width="11.42578125" style="74"/>
    <col min="14087" max="14088" width="9.42578125" style="74" customWidth="1"/>
    <col min="14089" max="14336" width="11.42578125" style="74"/>
    <col min="14337" max="14338" width="9.42578125" style="74" customWidth="1"/>
    <col min="14339" max="14339" width="10.7109375" style="74" customWidth="1"/>
    <col min="14340" max="14340" width="12.140625" style="74" customWidth="1"/>
    <col min="14341" max="14342" width="11.42578125" style="74"/>
    <col min="14343" max="14344" width="9.42578125" style="74" customWidth="1"/>
    <col min="14345" max="14592" width="11.42578125" style="74"/>
    <col min="14593" max="14594" width="9.42578125" style="74" customWidth="1"/>
    <col min="14595" max="14595" width="10.7109375" style="74" customWidth="1"/>
    <col min="14596" max="14596" width="12.140625" style="74" customWidth="1"/>
    <col min="14597" max="14598" width="11.42578125" style="74"/>
    <col min="14599" max="14600" width="9.42578125" style="74" customWidth="1"/>
    <col min="14601" max="14848" width="11.42578125" style="74"/>
    <col min="14849" max="14850" width="9.42578125" style="74" customWidth="1"/>
    <col min="14851" max="14851" width="10.7109375" style="74" customWidth="1"/>
    <col min="14852" max="14852" width="12.140625" style="74" customWidth="1"/>
    <col min="14853" max="14854" width="11.42578125" style="74"/>
    <col min="14855" max="14856" width="9.42578125" style="74" customWidth="1"/>
    <col min="14857" max="15104" width="11.42578125" style="74"/>
    <col min="15105" max="15106" width="9.42578125" style="74" customWidth="1"/>
    <col min="15107" max="15107" width="10.7109375" style="74" customWidth="1"/>
    <col min="15108" max="15108" width="12.140625" style="74" customWidth="1"/>
    <col min="15109" max="15110" width="11.42578125" style="74"/>
    <col min="15111" max="15112" width="9.42578125" style="74" customWidth="1"/>
    <col min="15113" max="15360" width="11.42578125" style="74"/>
    <col min="15361" max="15362" width="9.42578125" style="74" customWidth="1"/>
    <col min="15363" max="15363" width="10.7109375" style="74" customWidth="1"/>
    <col min="15364" max="15364" width="12.140625" style="74" customWidth="1"/>
    <col min="15365" max="15366" width="11.42578125" style="74"/>
    <col min="15367" max="15368" width="9.42578125" style="74" customWidth="1"/>
    <col min="15369" max="15616" width="11.42578125" style="74"/>
    <col min="15617" max="15618" width="9.42578125" style="74" customWidth="1"/>
    <col min="15619" max="15619" width="10.7109375" style="74" customWidth="1"/>
    <col min="15620" max="15620" width="12.140625" style="74" customWidth="1"/>
    <col min="15621" max="15622" width="11.42578125" style="74"/>
    <col min="15623" max="15624" width="9.42578125" style="74" customWidth="1"/>
    <col min="15625" max="15872" width="11.42578125" style="74"/>
    <col min="15873" max="15874" width="9.42578125" style="74" customWidth="1"/>
    <col min="15875" max="15875" width="10.7109375" style="74" customWidth="1"/>
    <col min="15876" max="15876" width="12.140625" style="74" customWidth="1"/>
    <col min="15877" max="15878" width="11.42578125" style="74"/>
    <col min="15879" max="15880" width="9.42578125" style="74" customWidth="1"/>
    <col min="15881" max="16128" width="11.42578125" style="74"/>
    <col min="16129" max="16130" width="9.42578125" style="74" customWidth="1"/>
    <col min="16131" max="16131" width="10.7109375" style="74" customWidth="1"/>
    <col min="16132" max="16132" width="12.140625" style="74" customWidth="1"/>
    <col min="16133" max="16134" width="11.42578125" style="74"/>
    <col min="16135" max="16136" width="9.42578125" style="74" customWidth="1"/>
    <col min="16137" max="16384" width="11.42578125" style="74"/>
  </cols>
  <sheetData>
    <row r="1" spans="1:8" ht="18" x14ac:dyDescent="0.2">
      <c r="A1" s="415"/>
      <c r="B1" s="416"/>
      <c r="C1" s="421" t="s">
        <v>209</v>
      </c>
      <c r="D1" s="422"/>
      <c r="E1" s="422"/>
      <c r="F1" s="423"/>
      <c r="G1" s="415"/>
      <c r="H1" s="416"/>
    </row>
    <row r="2" spans="1:8" x14ac:dyDescent="0.2">
      <c r="A2" s="417"/>
      <c r="B2" s="418"/>
      <c r="C2" s="424" t="s">
        <v>98</v>
      </c>
      <c r="D2" s="425"/>
      <c r="E2" s="425"/>
      <c r="F2" s="426"/>
      <c r="G2" s="417"/>
      <c r="H2" s="418"/>
    </row>
    <row r="3" spans="1:8" x14ac:dyDescent="0.2">
      <c r="A3" s="417"/>
      <c r="B3" s="418"/>
      <c r="C3" s="75"/>
      <c r="D3" s="76"/>
      <c r="E3" s="76"/>
      <c r="F3" s="77"/>
      <c r="G3" s="417"/>
      <c r="H3" s="418"/>
    </row>
    <row r="4" spans="1:8" x14ac:dyDescent="0.2">
      <c r="A4" s="417"/>
      <c r="B4" s="418"/>
      <c r="C4" s="424" t="s">
        <v>210</v>
      </c>
      <c r="D4" s="425"/>
      <c r="E4" s="425"/>
      <c r="F4" s="426"/>
      <c r="G4" s="417"/>
      <c r="H4" s="418"/>
    </row>
    <row r="5" spans="1:8" x14ac:dyDescent="0.2">
      <c r="A5" s="417"/>
      <c r="B5" s="418"/>
      <c r="C5" s="424" t="s">
        <v>211</v>
      </c>
      <c r="D5" s="425"/>
      <c r="E5" s="425"/>
      <c r="F5" s="426"/>
      <c r="G5" s="417"/>
      <c r="H5" s="418"/>
    </row>
    <row r="6" spans="1:8" ht="13.5" thickBot="1" x14ac:dyDescent="0.25">
      <c r="A6" s="419"/>
      <c r="B6" s="420"/>
      <c r="C6" s="78"/>
      <c r="D6" s="79"/>
      <c r="E6" s="79"/>
      <c r="F6" s="80"/>
      <c r="G6" s="419"/>
      <c r="H6" s="420"/>
    </row>
    <row r="8" spans="1:8" ht="13.5" thickBot="1" x14ac:dyDescent="0.25">
      <c r="A8" s="393" t="s">
        <v>212</v>
      </c>
      <c r="B8" s="393"/>
      <c r="C8" s="393"/>
      <c r="D8" s="393"/>
      <c r="E8" s="393"/>
      <c r="F8" s="393"/>
      <c r="G8" s="393"/>
      <c r="H8" s="393"/>
    </row>
    <row r="9" spans="1:8" ht="13.5" thickBot="1" x14ac:dyDescent="0.25">
      <c r="A9" s="97"/>
      <c r="B9" s="97"/>
      <c r="C9" s="97"/>
      <c r="D9" s="97"/>
      <c r="E9" s="97"/>
      <c r="F9" s="97"/>
      <c r="G9" s="394" t="s">
        <v>213</v>
      </c>
      <c r="H9" s="395"/>
    </row>
    <row r="10" spans="1:8" ht="13.5" thickBot="1" x14ac:dyDescent="0.25"/>
    <row r="11" spans="1:8" ht="12.75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60.7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82"/>
    </row>
    <row r="15" spans="1:8" x14ac:dyDescent="0.2">
      <c r="A15" s="405" t="s">
        <v>245</v>
      </c>
      <c r="B15" s="407" t="s">
        <v>246</v>
      </c>
      <c r="C15" s="408"/>
      <c r="D15" s="408"/>
      <c r="E15" s="408"/>
      <c r="F15" s="409"/>
      <c r="G15" s="405" t="s">
        <v>216</v>
      </c>
      <c r="H15" s="413" t="s">
        <v>116</v>
      </c>
    </row>
    <row r="16" spans="1:8" ht="13.5" thickBot="1" x14ac:dyDescent="0.25">
      <c r="A16" s="406"/>
      <c r="B16" s="410"/>
      <c r="C16" s="411"/>
      <c r="D16" s="411"/>
      <c r="E16" s="411"/>
      <c r="F16" s="412"/>
      <c r="G16" s="406"/>
      <c r="H16" s="414"/>
    </row>
    <row r="17" spans="1:10" x14ac:dyDescent="0.2">
      <c r="A17" s="83" t="s">
        <v>217</v>
      </c>
      <c r="B17" s="84"/>
      <c r="C17" s="84"/>
      <c r="D17" s="84"/>
      <c r="E17" s="84"/>
      <c r="F17" s="84"/>
      <c r="G17" s="84"/>
      <c r="H17" s="84"/>
    </row>
    <row r="18" spans="1:10" x14ac:dyDescent="0.2">
      <c r="A18" s="374" t="s">
        <v>1</v>
      </c>
      <c r="B18" s="374"/>
      <c r="C18" s="374" t="s">
        <v>218</v>
      </c>
      <c r="D18" s="374"/>
      <c r="E18" s="374" t="s">
        <v>219</v>
      </c>
      <c r="F18" s="374"/>
      <c r="G18" s="374" t="s">
        <v>220</v>
      </c>
      <c r="H18" s="374"/>
    </row>
    <row r="19" spans="1:10" ht="48" customHeight="1" x14ac:dyDescent="0.2">
      <c r="A19" s="380" t="s">
        <v>247</v>
      </c>
      <c r="B19" s="381"/>
      <c r="C19" s="378">
        <v>150000</v>
      </c>
      <c r="D19" s="379"/>
      <c r="E19" s="429">
        <v>20</v>
      </c>
      <c r="F19" s="430"/>
      <c r="G19" s="378">
        <f>+C19/E19</f>
        <v>7500</v>
      </c>
      <c r="H19" s="379"/>
      <c r="J19" s="98"/>
    </row>
    <row r="20" spans="1:10" x14ac:dyDescent="0.2">
      <c r="A20" s="375" t="s">
        <v>224</v>
      </c>
      <c r="B20" s="376"/>
      <c r="C20" s="385"/>
      <c r="D20" s="385"/>
      <c r="E20" s="384">
        <v>0.1</v>
      </c>
      <c r="F20" s="385"/>
      <c r="G20" s="370">
        <f>+G38*E20</f>
        <v>26.979166666666671</v>
      </c>
      <c r="H20" s="370"/>
    </row>
    <row r="21" spans="1:10" x14ac:dyDescent="0.2">
      <c r="A21" s="84"/>
      <c r="B21" s="84"/>
      <c r="C21" s="371" t="s">
        <v>225</v>
      </c>
      <c r="D21" s="371"/>
      <c r="E21" s="371"/>
      <c r="F21" s="371"/>
      <c r="G21" s="370">
        <f>+G19+G20</f>
        <v>7526.979166666667</v>
      </c>
      <c r="H21" s="370"/>
    </row>
    <row r="22" spans="1:10" x14ac:dyDescent="0.2">
      <c r="C22" s="85"/>
      <c r="D22" s="85"/>
      <c r="E22" s="85"/>
      <c r="F22" s="85"/>
      <c r="G22" s="86"/>
      <c r="H22" s="86"/>
    </row>
    <row r="23" spans="1:10" x14ac:dyDescent="0.2">
      <c r="A23" s="83" t="s">
        <v>226</v>
      </c>
      <c r="B23" s="84"/>
      <c r="C23" s="84"/>
      <c r="D23" s="84"/>
      <c r="E23" s="84"/>
      <c r="F23" s="84"/>
      <c r="G23" s="84"/>
      <c r="H23" s="84"/>
    </row>
    <row r="24" spans="1:10" x14ac:dyDescent="0.2">
      <c r="A24" s="374" t="s">
        <v>1</v>
      </c>
      <c r="B24" s="374"/>
      <c r="C24" s="87" t="s">
        <v>227</v>
      </c>
      <c r="D24" s="87" t="s">
        <v>228</v>
      </c>
      <c r="E24" s="374" t="s">
        <v>3</v>
      </c>
      <c r="F24" s="374"/>
      <c r="G24" s="374" t="s">
        <v>220</v>
      </c>
      <c r="H24" s="374"/>
    </row>
    <row r="25" spans="1:10" x14ac:dyDescent="0.2">
      <c r="A25" s="375"/>
      <c r="B25" s="376"/>
      <c r="C25" s="89"/>
      <c r="D25" s="88"/>
      <c r="E25" s="382"/>
      <c r="F25" s="383"/>
      <c r="G25" s="378"/>
      <c r="H25" s="379"/>
    </row>
    <row r="26" spans="1:10" x14ac:dyDescent="0.2">
      <c r="A26" s="369"/>
      <c r="B26" s="369"/>
      <c r="C26" s="89"/>
      <c r="D26" s="88"/>
      <c r="E26" s="382"/>
      <c r="F26" s="383"/>
      <c r="G26" s="378"/>
      <c r="H26" s="379"/>
    </row>
    <row r="27" spans="1:10" x14ac:dyDescent="0.2">
      <c r="A27" s="90"/>
      <c r="B27" s="90"/>
      <c r="C27" s="371" t="s">
        <v>225</v>
      </c>
      <c r="D27" s="371"/>
      <c r="E27" s="371"/>
      <c r="F27" s="371"/>
      <c r="G27" s="370">
        <f>SUM(G25:H26)</f>
        <v>0</v>
      </c>
      <c r="H27" s="370"/>
    </row>
    <row r="29" spans="1:10" x14ac:dyDescent="0.2">
      <c r="A29" s="83" t="s">
        <v>232</v>
      </c>
      <c r="B29" s="84"/>
      <c r="C29" s="84"/>
      <c r="D29" s="84"/>
      <c r="E29" s="84"/>
      <c r="F29" s="84"/>
      <c r="G29" s="84"/>
      <c r="H29" s="84"/>
    </row>
    <row r="30" spans="1:10" x14ac:dyDescent="0.2">
      <c r="A30" s="374" t="s">
        <v>233</v>
      </c>
      <c r="B30" s="374"/>
      <c r="C30" s="87" t="s">
        <v>234</v>
      </c>
      <c r="D30" s="92" t="s">
        <v>235</v>
      </c>
      <c r="E30" s="374" t="s">
        <v>236</v>
      </c>
      <c r="F30" s="374"/>
      <c r="G30" s="374" t="s">
        <v>220</v>
      </c>
      <c r="H30" s="374"/>
    </row>
    <row r="31" spans="1:10" ht="21" customHeight="1" x14ac:dyDescent="0.2">
      <c r="A31" s="427" t="s">
        <v>248</v>
      </c>
      <c r="B31" s="428"/>
      <c r="C31" s="96">
        <v>1</v>
      </c>
      <c r="D31" s="96">
        <v>10</v>
      </c>
      <c r="E31" s="370">
        <v>1000</v>
      </c>
      <c r="F31" s="370"/>
      <c r="G31" s="370">
        <f>+(E31*D31)*C31</f>
        <v>10000</v>
      </c>
      <c r="H31" s="370"/>
    </row>
    <row r="32" spans="1:10" x14ac:dyDescent="0.2">
      <c r="A32" s="90"/>
      <c r="B32" s="90"/>
      <c r="C32" s="371" t="s">
        <v>225</v>
      </c>
      <c r="D32" s="371"/>
      <c r="E32" s="371"/>
      <c r="F32" s="371"/>
      <c r="G32" s="370">
        <f>SUM(G31:H31)</f>
        <v>10000</v>
      </c>
      <c r="H32" s="370"/>
    </row>
    <row r="34" spans="1:8" x14ac:dyDescent="0.2">
      <c r="A34" s="83" t="s">
        <v>237</v>
      </c>
      <c r="B34" s="84"/>
      <c r="C34" s="84"/>
      <c r="D34" s="84"/>
      <c r="E34" s="84"/>
      <c r="F34" s="84"/>
      <c r="G34" s="84"/>
      <c r="H34" s="84"/>
    </row>
    <row r="35" spans="1:8" x14ac:dyDescent="0.2">
      <c r="A35" s="374" t="s">
        <v>238</v>
      </c>
      <c r="B35" s="374"/>
      <c r="C35" s="87" t="s">
        <v>239</v>
      </c>
      <c r="D35" s="92" t="s">
        <v>240</v>
      </c>
      <c r="E35" s="93" t="s">
        <v>241</v>
      </c>
      <c r="F35" s="94" t="s">
        <v>219</v>
      </c>
      <c r="G35" s="374" t="s">
        <v>220</v>
      </c>
      <c r="H35" s="374"/>
    </row>
    <row r="36" spans="1:8" x14ac:dyDescent="0.2">
      <c r="A36" s="369" t="s">
        <v>249</v>
      </c>
      <c r="B36" s="369"/>
      <c r="C36" s="88">
        <v>35000</v>
      </c>
      <c r="D36" s="99">
        <v>0.85</v>
      </c>
      <c r="E36" s="88">
        <f>+C36*(1+D36)</f>
        <v>64750</v>
      </c>
      <c r="F36" s="100">
        <v>240</v>
      </c>
      <c r="G36" s="370">
        <f>+E36/F36</f>
        <v>269.79166666666669</v>
      </c>
      <c r="H36" s="370"/>
    </row>
    <row r="37" spans="1:8" x14ac:dyDescent="0.2">
      <c r="A37" s="369"/>
      <c r="B37" s="369"/>
      <c r="C37" s="88"/>
      <c r="D37" s="89"/>
      <c r="E37" s="88"/>
      <c r="F37" s="89"/>
      <c r="G37" s="370"/>
      <c r="H37" s="370"/>
    </row>
    <row r="38" spans="1:8" x14ac:dyDescent="0.2">
      <c r="A38" s="90"/>
      <c r="B38" s="90"/>
      <c r="C38" s="371" t="s">
        <v>225</v>
      </c>
      <c r="D38" s="371"/>
      <c r="E38" s="371"/>
      <c r="F38" s="371"/>
      <c r="G38" s="370">
        <f>+G36+G37</f>
        <v>269.79166666666669</v>
      </c>
      <c r="H38" s="370"/>
    </row>
    <row r="41" spans="1:8" x14ac:dyDescent="0.2">
      <c r="A41" s="372" t="s">
        <v>244</v>
      </c>
      <c r="B41" s="372"/>
      <c r="C41" s="372"/>
      <c r="D41" s="372"/>
      <c r="E41" s="372"/>
      <c r="F41" s="372"/>
      <c r="G41" s="373">
        <f>+ROUND(G21+G27+G32+G38,0)</f>
        <v>17797</v>
      </c>
      <c r="H41" s="373"/>
    </row>
    <row r="42" spans="1:8" x14ac:dyDescent="0.2">
      <c r="G42" s="186">
        <f>+G41</f>
        <v>17797</v>
      </c>
    </row>
  </sheetData>
  <mergeCells count="56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C21:F21"/>
    <mergeCell ref="G21:H21"/>
    <mergeCell ref="A24:B24"/>
    <mergeCell ref="E24:F24"/>
    <mergeCell ref="G24:H24"/>
    <mergeCell ref="A25:B25"/>
    <mergeCell ref="E25:F25"/>
    <mergeCell ref="G25:H25"/>
    <mergeCell ref="A35:B35"/>
    <mergeCell ref="G35:H35"/>
    <mergeCell ref="A26:B26"/>
    <mergeCell ref="E26:F26"/>
    <mergeCell ref="G26:H26"/>
    <mergeCell ref="C27:F27"/>
    <mergeCell ref="G27:H27"/>
    <mergeCell ref="A30:B30"/>
    <mergeCell ref="E30:F30"/>
    <mergeCell ref="G30:H30"/>
    <mergeCell ref="A31:B31"/>
    <mergeCell ref="E31:F31"/>
    <mergeCell ref="G31:H31"/>
    <mergeCell ref="C32:F32"/>
    <mergeCell ref="G32:H32"/>
    <mergeCell ref="A41:F41"/>
    <mergeCell ref="G41:H41"/>
    <mergeCell ref="A36:B36"/>
    <mergeCell ref="G36:H36"/>
    <mergeCell ref="A37:B37"/>
    <mergeCell ref="G37:H37"/>
    <mergeCell ref="C38:F38"/>
    <mergeCell ref="G38:H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5"/>
  <sheetViews>
    <sheetView workbookViewId="0">
      <selection activeCell="G44" sqref="G44:H44"/>
    </sheetView>
  </sheetViews>
  <sheetFormatPr baseColWidth="10" defaultRowHeight="15" x14ac:dyDescent="0.25"/>
  <sheetData>
    <row r="1" spans="1:8" s="191" customFormat="1" ht="18" x14ac:dyDescent="0.2">
      <c r="A1" s="466"/>
      <c r="B1" s="467"/>
      <c r="C1" s="472" t="s">
        <v>209</v>
      </c>
      <c r="D1" s="473"/>
      <c r="E1" s="473"/>
      <c r="F1" s="474"/>
      <c r="G1" s="466"/>
      <c r="H1" s="467"/>
    </row>
    <row r="2" spans="1:8" s="191" customFormat="1" ht="12.75" x14ac:dyDescent="0.2">
      <c r="A2" s="468"/>
      <c r="B2" s="469"/>
      <c r="C2" s="475" t="s">
        <v>98</v>
      </c>
      <c r="D2" s="476"/>
      <c r="E2" s="476"/>
      <c r="F2" s="477"/>
      <c r="G2" s="468"/>
      <c r="H2" s="469"/>
    </row>
    <row r="3" spans="1:8" s="191" customFormat="1" ht="12.75" x14ac:dyDescent="0.2">
      <c r="A3" s="468"/>
      <c r="B3" s="469"/>
      <c r="C3" s="192"/>
      <c r="D3" s="193"/>
      <c r="E3" s="193"/>
      <c r="F3" s="194"/>
      <c r="G3" s="468"/>
      <c r="H3" s="469"/>
    </row>
    <row r="4" spans="1:8" s="191" customFormat="1" ht="12.75" x14ac:dyDescent="0.2">
      <c r="A4" s="468"/>
      <c r="B4" s="469"/>
      <c r="C4" s="475" t="s">
        <v>210</v>
      </c>
      <c r="D4" s="476"/>
      <c r="E4" s="476"/>
      <c r="F4" s="477"/>
      <c r="G4" s="468"/>
      <c r="H4" s="469"/>
    </row>
    <row r="5" spans="1:8" s="191" customFormat="1" ht="12.75" x14ac:dyDescent="0.2">
      <c r="A5" s="468"/>
      <c r="B5" s="469"/>
      <c r="C5" s="475" t="s">
        <v>211</v>
      </c>
      <c r="D5" s="476"/>
      <c r="E5" s="476"/>
      <c r="F5" s="477"/>
      <c r="G5" s="468"/>
      <c r="H5" s="469"/>
    </row>
    <row r="6" spans="1:8" s="191" customFormat="1" ht="13.5" thickBot="1" x14ac:dyDescent="0.25">
      <c r="A6" s="470"/>
      <c r="B6" s="471"/>
      <c r="C6" s="195"/>
      <c r="D6" s="196"/>
      <c r="E6" s="196"/>
      <c r="F6" s="197"/>
      <c r="G6" s="470"/>
      <c r="H6" s="471"/>
    </row>
    <row r="7" spans="1:8" s="191" customFormat="1" ht="12.75" x14ac:dyDescent="0.2"/>
    <row r="8" spans="1:8" s="191" customFormat="1" ht="13.5" thickBot="1" x14ac:dyDescent="0.25">
      <c r="A8" s="455" t="s">
        <v>212</v>
      </c>
      <c r="B8" s="455"/>
      <c r="C8" s="455"/>
      <c r="D8" s="455"/>
      <c r="E8" s="455"/>
      <c r="F8" s="455"/>
      <c r="G8" s="455"/>
      <c r="H8" s="455"/>
    </row>
    <row r="9" spans="1:8" s="191" customFormat="1" ht="13.5" thickBot="1" x14ac:dyDescent="0.25">
      <c r="A9" s="198"/>
      <c r="B9" s="198"/>
      <c r="C9" s="198"/>
      <c r="D9" s="198"/>
      <c r="E9" s="198"/>
      <c r="F9" s="198"/>
      <c r="G9" s="394" t="s">
        <v>213</v>
      </c>
      <c r="H9" s="395"/>
    </row>
    <row r="10" spans="1:8" s="191" customFormat="1" ht="13.5" thickBot="1" x14ac:dyDescent="0.25">
      <c r="E10" s="199"/>
    </row>
    <row r="11" spans="1:8" s="191" customFormat="1" ht="54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s="191" customFormat="1" ht="12.75" customHeight="1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s="191" customFormat="1" ht="13.5" customHeight="1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s="191" customFormat="1" ht="13.5" thickBot="1" x14ac:dyDescent="0.25">
      <c r="A14" s="200"/>
    </row>
    <row r="15" spans="1:8" s="191" customFormat="1" ht="12.75" customHeight="1" x14ac:dyDescent="0.2">
      <c r="A15" s="456" t="s">
        <v>428</v>
      </c>
      <c r="B15" s="458" t="s">
        <v>429</v>
      </c>
      <c r="C15" s="459"/>
      <c r="D15" s="459"/>
      <c r="E15" s="459"/>
      <c r="F15" s="460"/>
      <c r="G15" s="456" t="s">
        <v>430</v>
      </c>
      <c r="H15" s="464" t="s">
        <v>116</v>
      </c>
    </row>
    <row r="16" spans="1:8" s="191" customFormat="1" ht="24.75" customHeight="1" thickBot="1" x14ac:dyDescent="0.25">
      <c r="A16" s="457"/>
      <c r="B16" s="461"/>
      <c r="C16" s="462"/>
      <c r="D16" s="462"/>
      <c r="E16" s="462"/>
      <c r="F16" s="463"/>
      <c r="G16" s="457"/>
      <c r="H16" s="465"/>
    </row>
    <row r="17" spans="1:8" s="191" customFormat="1" ht="13.5" x14ac:dyDescent="0.2">
      <c r="A17" s="201" t="s">
        <v>217</v>
      </c>
      <c r="B17" s="202"/>
      <c r="C17" s="202"/>
      <c r="D17" s="202"/>
      <c r="E17" s="202"/>
      <c r="F17" s="202"/>
      <c r="G17" s="202"/>
      <c r="H17" s="202"/>
    </row>
    <row r="18" spans="1:8" s="191" customFormat="1" ht="12.75" x14ac:dyDescent="0.2">
      <c r="A18" s="436" t="s">
        <v>1</v>
      </c>
      <c r="B18" s="436"/>
      <c r="C18" s="436" t="s">
        <v>218</v>
      </c>
      <c r="D18" s="436"/>
      <c r="E18" s="436" t="s">
        <v>219</v>
      </c>
      <c r="F18" s="436"/>
      <c r="G18" s="436" t="s">
        <v>220</v>
      </c>
      <c r="H18" s="436"/>
    </row>
    <row r="19" spans="1:8" s="191" customFormat="1" ht="12.75" x14ac:dyDescent="0.2">
      <c r="A19" s="453" t="s">
        <v>431</v>
      </c>
      <c r="B19" s="454"/>
      <c r="C19" s="441">
        <v>90000</v>
      </c>
      <c r="D19" s="441"/>
      <c r="E19" s="449">
        <v>10</v>
      </c>
      <c r="F19" s="449"/>
      <c r="G19" s="432">
        <f>+C19/E19</f>
        <v>9000</v>
      </c>
      <c r="H19" s="432"/>
    </row>
    <row r="20" spans="1:8" s="191" customFormat="1" ht="12.75" x14ac:dyDescent="0.2">
      <c r="A20" s="439" t="s">
        <v>432</v>
      </c>
      <c r="B20" s="440"/>
      <c r="C20" s="441">
        <f>+[14]Equipos!B10</f>
        <v>30000</v>
      </c>
      <c r="D20" s="441"/>
      <c r="E20" s="449">
        <v>10</v>
      </c>
      <c r="F20" s="449"/>
      <c r="G20" s="432">
        <f>+C20/E20</f>
        <v>3000</v>
      </c>
      <c r="H20" s="432"/>
    </row>
    <row r="21" spans="1:8" s="191" customFormat="1" ht="12.75" x14ac:dyDescent="0.2">
      <c r="A21" s="450" t="s">
        <v>435</v>
      </c>
      <c r="B21" s="451"/>
      <c r="C21" s="452">
        <v>130000</v>
      </c>
      <c r="D21" s="452"/>
      <c r="E21" s="377">
        <v>50</v>
      </c>
      <c r="F21" s="377"/>
      <c r="G21" s="432">
        <f>+C21/E21</f>
        <v>2600</v>
      </c>
      <c r="H21" s="432"/>
    </row>
    <row r="22" spans="1:8" s="191" customFormat="1" ht="12.75" x14ac:dyDescent="0.2">
      <c r="A22" s="439" t="s">
        <v>224</v>
      </c>
      <c r="B22" s="440"/>
      <c r="C22" s="441"/>
      <c r="D22" s="441"/>
      <c r="E22" s="447">
        <v>0.1</v>
      </c>
      <c r="F22" s="447"/>
      <c r="G22" s="432">
        <f>ROUND(E22*G41,0)</f>
        <v>2004</v>
      </c>
      <c r="H22" s="432"/>
    </row>
    <row r="23" spans="1:8" s="191" customFormat="1" ht="12.75" x14ac:dyDescent="0.2">
      <c r="A23" s="202"/>
      <c r="B23" s="202"/>
      <c r="C23" s="433" t="s">
        <v>225</v>
      </c>
      <c r="D23" s="433"/>
      <c r="E23" s="433"/>
      <c r="F23" s="433"/>
      <c r="G23" s="448">
        <f>SUM(G19:G22)</f>
        <v>16604</v>
      </c>
      <c r="H23" s="448"/>
    </row>
    <row r="24" spans="1:8" s="191" customFormat="1" ht="13.5" x14ac:dyDescent="0.25">
      <c r="C24" s="203"/>
      <c r="D24" s="203"/>
      <c r="E24" s="203"/>
      <c r="F24" s="203"/>
      <c r="G24" s="204"/>
      <c r="H24" s="204"/>
    </row>
    <row r="25" spans="1:8" s="191" customFormat="1" ht="13.5" x14ac:dyDescent="0.2">
      <c r="A25" s="201" t="s">
        <v>226</v>
      </c>
      <c r="B25" s="202"/>
      <c r="C25" s="202"/>
      <c r="D25" s="202"/>
      <c r="E25" s="202"/>
      <c r="F25" s="202"/>
      <c r="G25" s="202"/>
      <c r="H25" s="202"/>
    </row>
    <row r="26" spans="1:8" s="191" customFormat="1" ht="12.75" x14ac:dyDescent="0.2">
      <c r="A26" s="436" t="s">
        <v>1</v>
      </c>
      <c r="B26" s="436"/>
      <c r="C26" s="205" t="s">
        <v>227</v>
      </c>
      <c r="D26" s="205" t="s">
        <v>228</v>
      </c>
      <c r="E26" s="436" t="s">
        <v>3</v>
      </c>
      <c r="F26" s="436"/>
      <c r="G26" s="436" t="s">
        <v>220</v>
      </c>
      <c r="H26" s="436"/>
    </row>
    <row r="27" spans="1:8" s="191" customFormat="1" ht="12.75" x14ac:dyDescent="0.2">
      <c r="A27" s="439" t="s">
        <v>433</v>
      </c>
      <c r="B27" s="440"/>
      <c r="C27" s="206" t="s">
        <v>116</v>
      </c>
      <c r="D27" s="207">
        <v>12000</v>
      </c>
      <c r="E27" s="443">
        <v>1.1000000000000001</v>
      </c>
      <c r="F27" s="444"/>
      <c r="G27" s="445">
        <f>+D27*E27</f>
        <v>13200.000000000002</v>
      </c>
      <c r="H27" s="446"/>
    </row>
    <row r="28" spans="1:8" s="191" customFormat="1" ht="12.75" x14ac:dyDescent="0.2">
      <c r="A28" s="442" t="s">
        <v>254</v>
      </c>
      <c r="B28" s="442"/>
      <c r="C28" s="206" t="s">
        <v>255</v>
      </c>
      <c r="D28" s="207">
        <v>40</v>
      </c>
      <c r="E28" s="443">
        <v>35</v>
      </c>
      <c r="F28" s="444"/>
      <c r="G28" s="445">
        <f>+D28*E28</f>
        <v>1400</v>
      </c>
      <c r="H28" s="446"/>
    </row>
    <row r="29" spans="1:8" s="191" customFormat="1" ht="12.75" x14ac:dyDescent="0.2">
      <c r="A29" s="208"/>
      <c r="B29" s="208"/>
      <c r="C29" s="433" t="s">
        <v>225</v>
      </c>
      <c r="D29" s="433"/>
      <c r="E29" s="433"/>
      <c r="F29" s="433"/>
      <c r="G29" s="432">
        <f>SUM(G27:G28)</f>
        <v>14600.000000000002</v>
      </c>
      <c r="H29" s="432"/>
    </row>
    <row r="30" spans="1:8" s="191" customFormat="1" ht="12.75" x14ac:dyDescent="0.2"/>
    <row r="31" spans="1:8" s="191" customFormat="1" ht="13.5" x14ac:dyDescent="0.2">
      <c r="A31" s="201" t="s">
        <v>232</v>
      </c>
      <c r="B31" s="202"/>
      <c r="C31" s="202"/>
      <c r="D31" s="202"/>
      <c r="E31" s="202"/>
      <c r="F31" s="202"/>
      <c r="G31" s="202"/>
      <c r="H31" s="202"/>
    </row>
    <row r="32" spans="1:8" s="191" customFormat="1" ht="12.75" x14ac:dyDescent="0.2">
      <c r="A32" s="436" t="s">
        <v>233</v>
      </c>
      <c r="B32" s="436"/>
      <c r="C32" s="205" t="s">
        <v>234</v>
      </c>
      <c r="D32" s="209" t="s">
        <v>235</v>
      </c>
      <c r="E32" s="436" t="s">
        <v>236</v>
      </c>
      <c r="F32" s="436"/>
      <c r="G32" s="436" t="s">
        <v>220</v>
      </c>
      <c r="H32" s="436"/>
    </row>
    <row r="33" spans="1:12" s="191" customFormat="1" ht="13.5" x14ac:dyDescent="0.25">
      <c r="A33" s="439" t="s">
        <v>434</v>
      </c>
      <c r="B33" s="440"/>
      <c r="C33" s="210">
        <f>+E27</f>
        <v>1.1000000000000001</v>
      </c>
      <c r="D33" s="211">
        <v>30</v>
      </c>
      <c r="E33" s="441">
        <v>1000</v>
      </c>
      <c r="F33" s="441"/>
      <c r="G33" s="432">
        <f>+(E33*D33)*C33</f>
        <v>33000</v>
      </c>
      <c r="H33" s="432"/>
    </row>
    <row r="34" spans="1:12" s="191" customFormat="1" ht="12.75" x14ac:dyDescent="0.2">
      <c r="A34" s="442"/>
      <c r="B34" s="442"/>
      <c r="C34" s="206"/>
      <c r="D34" s="206"/>
      <c r="E34" s="441"/>
      <c r="F34" s="441"/>
      <c r="G34" s="432"/>
      <c r="H34" s="432"/>
    </row>
    <row r="35" spans="1:12" s="191" customFormat="1" ht="12.75" x14ac:dyDescent="0.2">
      <c r="A35" s="208"/>
      <c r="B35" s="208"/>
      <c r="C35" s="433" t="s">
        <v>225</v>
      </c>
      <c r="D35" s="433"/>
      <c r="E35" s="433"/>
      <c r="F35" s="433"/>
      <c r="G35" s="432">
        <f>SUM(G33:G34)</f>
        <v>33000</v>
      </c>
      <c r="H35" s="432"/>
    </row>
    <row r="36" spans="1:12" s="191" customFormat="1" ht="12.75" x14ac:dyDescent="0.2"/>
    <row r="37" spans="1:12" s="191" customFormat="1" ht="13.5" x14ac:dyDescent="0.2">
      <c r="A37" s="201" t="s">
        <v>237</v>
      </c>
      <c r="B37" s="202"/>
      <c r="C37" s="202"/>
      <c r="D37" s="202"/>
      <c r="E37" s="202"/>
      <c r="F37" s="202"/>
      <c r="G37" s="202"/>
      <c r="H37" s="202"/>
    </row>
    <row r="38" spans="1:12" s="191" customFormat="1" ht="12.75" x14ac:dyDescent="0.2">
      <c r="A38" s="436" t="s">
        <v>238</v>
      </c>
      <c r="B38" s="436"/>
      <c r="C38" s="205" t="s">
        <v>239</v>
      </c>
      <c r="D38" s="209" t="s">
        <v>240</v>
      </c>
      <c r="E38" s="212" t="s">
        <v>241</v>
      </c>
      <c r="F38" s="213" t="s">
        <v>219</v>
      </c>
      <c r="G38" s="436" t="s">
        <v>220</v>
      </c>
      <c r="H38" s="436"/>
      <c r="J38" s="214"/>
      <c r="K38" s="214"/>
      <c r="L38" s="215"/>
    </row>
    <row r="39" spans="1:12" s="191" customFormat="1" ht="12.75" x14ac:dyDescent="0.2">
      <c r="A39" s="437" t="s">
        <v>242</v>
      </c>
      <c r="B39" s="438"/>
      <c r="C39" s="207">
        <v>60000</v>
      </c>
      <c r="D39" s="216">
        <v>0.85</v>
      </c>
      <c r="E39" s="207">
        <f>+C39*(1+D39)</f>
        <v>111000</v>
      </c>
      <c r="F39" s="217">
        <v>12</v>
      </c>
      <c r="G39" s="432">
        <f>E39/F39</f>
        <v>9250</v>
      </c>
      <c r="H39" s="432"/>
      <c r="J39" s="214"/>
      <c r="K39" s="214"/>
      <c r="L39" s="218"/>
    </row>
    <row r="40" spans="1:12" s="191" customFormat="1" ht="12.75" x14ac:dyDescent="0.2">
      <c r="A40" s="431" t="s">
        <v>258</v>
      </c>
      <c r="B40" s="431"/>
      <c r="C40" s="207">
        <f>35000*2</f>
        <v>70000</v>
      </c>
      <c r="D40" s="216">
        <v>0.85</v>
      </c>
      <c r="E40" s="207">
        <f>+C40*(1+D40)</f>
        <v>129500</v>
      </c>
      <c r="F40" s="219">
        <f>F39</f>
        <v>12</v>
      </c>
      <c r="G40" s="432">
        <f>E40/F40</f>
        <v>10791.666666666666</v>
      </c>
      <c r="H40" s="432"/>
      <c r="J40" s="214"/>
      <c r="K40" s="214"/>
      <c r="L40" s="218"/>
    </row>
    <row r="41" spans="1:12" s="191" customFormat="1" ht="12.75" x14ac:dyDescent="0.2">
      <c r="A41" s="208"/>
      <c r="B41" s="208"/>
      <c r="C41" s="433" t="s">
        <v>225</v>
      </c>
      <c r="D41" s="433"/>
      <c r="E41" s="433"/>
      <c r="F41" s="433"/>
      <c r="G41" s="432">
        <f>ROUND(G39+G40,0)</f>
        <v>20042</v>
      </c>
      <c r="H41" s="432"/>
    </row>
    <row r="42" spans="1:12" s="191" customFormat="1" ht="12.75" x14ac:dyDescent="0.2">
      <c r="G42" s="220"/>
      <c r="H42" s="220"/>
    </row>
    <row r="43" spans="1:12" s="191" customFormat="1" ht="12.75" x14ac:dyDescent="0.2">
      <c r="G43" s="220"/>
      <c r="H43" s="220"/>
    </row>
    <row r="44" spans="1:12" s="191" customFormat="1" ht="12.75" x14ac:dyDescent="0.2">
      <c r="A44" s="434" t="s">
        <v>244</v>
      </c>
      <c r="B44" s="434"/>
      <c r="C44" s="434"/>
      <c r="D44" s="434"/>
      <c r="E44" s="434"/>
      <c r="F44" s="434"/>
      <c r="G44" s="435">
        <f>+ROUND(G23+G29+G35+G41,0)</f>
        <v>84246</v>
      </c>
      <c r="H44" s="435"/>
    </row>
    <row r="45" spans="1:12" x14ac:dyDescent="0.25">
      <c r="G45" s="221">
        <f>+G44</f>
        <v>84246</v>
      </c>
    </row>
  </sheetData>
  <mergeCells count="67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32:B32"/>
    <mergeCell ref="E32:F32"/>
    <mergeCell ref="G32:H32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C29:F29"/>
    <mergeCell ref="G29:H29"/>
    <mergeCell ref="A33:B33"/>
    <mergeCell ref="E33:F33"/>
    <mergeCell ref="G33:H33"/>
    <mergeCell ref="A34:B34"/>
    <mergeCell ref="E34:F34"/>
    <mergeCell ref="G34:H34"/>
    <mergeCell ref="C35:F35"/>
    <mergeCell ref="G35:H35"/>
    <mergeCell ref="A38:B38"/>
    <mergeCell ref="G38:H38"/>
    <mergeCell ref="A39:B39"/>
    <mergeCell ref="G39:H39"/>
    <mergeCell ref="A40:B40"/>
    <mergeCell ref="G40:H40"/>
    <mergeCell ref="C41:F41"/>
    <mergeCell ref="G41:H41"/>
    <mergeCell ref="A44:F44"/>
    <mergeCell ref="G44:H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7"/>
  <sheetViews>
    <sheetView topLeftCell="A16" zoomScaleNormal="100" workbookViewId="0">
      <selection activeCell="G46" sqref="G46:H46"/>
    </sheetView>
  </sheetViews>
  <sheetFormatPr baseColWidth="10" defaultRowHeight="12.75" x14ac:dyDescent="0.2"/>
  <cols>
    <col min="1" max="2" width="9.28515625" style="101" customWidth="1"/>
    <col min="3" max="3" width="11.42578125" style="101"/>
    <col min="4" max="4" width="11.42578125" style="101" customWidth="1"/>
    <col min="5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59" width="11.42578125" style="101"/>
    <col min="260" max="260" width="11.425781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1.42578125" style="101"/>
    <col min="516" max="516" width="11.425781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1.42578125" style="101"/>
    <col min="772" max="772" width="11.425781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1.42578125" style="101"/>
    <col min="1028" max="1028" width="11.425781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1.42578125" style="101"/>
    <col min="1284" max="1284" width="11.425781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1.42578125" style="101"/>
    <col min="1540" max="1540" width="11.425781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1.42578125" style="101"/>
    <col min="1796" max="1796" width="11.425781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1.42578125" style="101"/>
    <col min="2052" max="2052" width="11.425781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1.42578125" style="101"/>
    <col min="2308" max="2308" width="11.425781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1.42578125" style="101"/>
    <col min="2564" max="2564" width="11.425781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1.42578125" style="101"/>
    <col min="2820" max="2820" width="11.425781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1.42578125" style="101"/>
    <col min="3076" max="3076" width="11.425781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1.42578125" style="101"/>
    <col min="3332" max="3332" width="11.425781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1.42578125" style="101"/>
    <col min="3588" max="3588" width="11.425781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1.42578125" style="101"/>
    <col min="3844" max="3844" width="11.425781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1.42578125" style="101"/>
    <col min="4100" max="4100" width="11.425781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1.42578125" style="101"/>
    <col min="4356" max="4356" width="11.425781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1.42578125" style="101"/>
    <col min="4612" max="4612" width="11.425781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1.42578125" style="101"/>
    <col min="4868" max="4868" width="11.425781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1.42578125" style="101"/>
    <col min="5124" max="5124" width="11.425781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1.42578125" style="101"/>
    <col min="5380" max="5380" width="11.425781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1.42578125" style="101"/>
    <col min="5636" max="5636" width="11.425781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1.42578125" style="101"/>
    <col min="5892" max="5892" width="11.425781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1.42578125" style="101"/>
    <col min="6148" max="6148" width="11.425781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1.42578125" style="101"/>
    <col min="6404" max="6404" width="11.425781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1.42578125" style="101"/>
    <col min="6660" max="6660" width="11.425781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1.42578125" style="101"/>
    <col min="6916" max="6916" width="11.425781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1.42578125" style="101"/>
    <col min="7172" max="7172" width="11.425781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1.42578125" style="101"/>
    <col min="7428" max="7428" width="11.425781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1.42578125" style="101"/>
    <col min="7684" max="7684" width="11.425781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1.42578125" style="101"/>
    <col min="7940" max="7940" width="11.425781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1.42578125" style="101"/>
    <col min="8196" max="8196" width="11.425781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1.42578125" style="101"/>
    <col min="8452" max="8452" width="11.425781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1.42578125" style="101"/>
    <col min="8708" max="8708" width="11.425781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1.42578125" style="101"/>
    <col min="8964" max="8964" width="11.425781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1.42578125" style="101"/>
    <col min="9220" max="9220" width="11.425781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1.42578125" style="101"/>
    <col min="9476" max="9476" width="11.425781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1.42578125" style="101"/>
    <col min="9732" max="9732" width="11.425781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1.42578125" style="101"/>
    <col min="9988" max="9988" width="11.425781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1.42578125" style="101"/>
    <col min="10244" max="10244" width="11.425781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1.42578125" style="101"/>
    <col min="10500" max="10500" width="11.425781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1.42578125" style="101"/>
    <col min="10756" max="10756" width="11.425781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1.42578125" style="101"/>
    <col min="11012" max="11012" width="11.425781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1.42578125" style="101"/>
    <col min="11268" max="11268" width="11.425781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1.42578125" style="101"/>
    <col min="11524" max="11524" width="11.425781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1.42578125" style="101"/>
    <col min="11780" max="11780" width="11.425781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1.42578125" style="101"/>
    <col min="12036" max="12036" width="11.425781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1.42578125" style="101"/>
    <col min="12292" max="12292" width="11.425781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1.42578125" style="101"/>
    <col min="12548" max="12548" width="11.425781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1.42578125" style="101"/>
    <col min="12804" max="12804" width="11.425781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1.42578125" style="101"/>
    <col min="13060" max="13060" width="11.425781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1.42578125" style="101"/>
    <col min="13316" max="13316" width="11.425781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1.42578125" style="101"/>
    <col min="13572" max="13572" width="11.425781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1.42578125" style="101"/>
    <col min="13828" max="13828" width="11.425781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1.42578125" style="101"/>
    <col min="14084" max="14084" width="11.425781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1.42578125" style="101"/>
    <col min="14340" max="14340" width="11.425781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1.42578125" style="101"/>
    <col min="14596" max="14596" width="11.425781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1.42578125" style="101"/>
    <col min="14852" max="14852" width="11.425781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1.42578125" style="101"/>
    <col min="15108" max="15108" width="11.425781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1.42578125" style="101"/>
    <col min="15364" max="15364" width="11.425781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1.42578125" style="101"/>
    <col min="15620" max="15620" width="11.425781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1.42578125" style="101"/>
    <col min="15876" max="15876" width="11.425781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1.42578125" style="101"/>
    <col min="16132" max="16132" width="11.425781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8.2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8" ht="12.75" customHeight="1" x14ac:dyDescent="0.2">
      <c r="A17" s="491" t="s">
        <v>259</v>
      </c>
      <c r="B17" s="458" t="s">
        <v>439</v>
      </c>
      <c r="C17" s="459"/>
      <c r="D17" s="459"/>
      <c r="E17" s="459"/>
      <c r="F17" s="460"/>
      <c r="G17" s="491" t="s">
        <v>216</v>
      </c>
      <c r="H17" s="493" t="s">
        <v>116</v>
      </c>
    </row>
    <row r="18" spans="1:8" ht="39" customHeight="1" thickBot="1" x14ac:dyDescent="0.25">
      <c r="A18" s="492"/>
      <c r="B18" s="461"/>
      <c r="C18" s="462"/>
      <c r="D18" s="462"/>
      <c r="E18" s="462"/>
      <c r="F18" s="463"/>
      <c r="G18" s="492"/>
      <c r="H18" s="492"/>
    </row>
    <row r="19" spans="1:8" x14ac:dyDescent="0.2">
      <c r="A19" s="109" t="s">
        <v>217</v>
      </c>
    </row>
    <row r="20" spans="1:8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8" x14ac:dyDescent="0.2">
      <c r="A21" s="453" t="s">
        <v>438</v>
      </c>
      <c r="B21" s="454"/>
      <c r="C21" s="441">
        <v>90000</v>
      </c>
      <c r="D21" s="441"/>
      <c r="E21" s="449">
        <v>10</v>
      </c>
      <c r="F21" s="449"/>
      <c r="G21" s="432">
        <f>+C21/E21</f>
        <v>9000</v>
      </c>
      <c r="H21" s="432"/>
    </row>
    <row r="22" spans="1:8" x14ac:dyDescent="0.2">
      <c r="A22" s="439" t="s">
        <v>437</v>
      </c>
      <c r="B22" s="440"/>
      <c r="C22" s="441">
        <v>30000</v>
      </c>
      <c r="D22" s="441"/>
      <c r="E22" s="449">
        <v>10</v>
      </c>
      <c r="F22" s="449"/>
      <c r="G22" s="432">
        <v>6000</v>
      </c>
      <c r="H22" s="432"/>
    </row>
    <row r="23" spans="1:8" x14ac:dyDescent="0.2">
      <c r="A23" s="487" t="s">
        <v>251</v>
      </c>
      <c r="B23" s="488"/>
      <c r="C23" s="452">
        <v>130000</v>
      </c>
      <c r="D23" s="452"/>
      <c r="E23" s="377">
        <v>40</v>
      </c>
      <c r="F23" s="377"/>
      <c r="G23" s="452">
        <f>+C23/E23</f>
        <v>3250</v>
      </c>
      <c r="H23" s="452"/>
    </row>
    <row r="24" spans="1:8" x14ac:dyDescent="0.2">
      <c r="A24" s="487" t="s">
        <v>252</v>
      </c>
      <c r="B24" s="488"/>
      <c r="C24" s="452"/>
      <c r="D24" s="452"/>
      <c r="E24" s="489">
        <v>0.1</v>
      </c>
      <c r="F24" s="489"/>
      <c r="G24" s="452">
        <f>+E24*G43</f>
        <v>2004.1666666666665</v>
      </c>
      <c r="H24" s="452"/>
    </row>
    <row r="25" spans="1:8" x14ac:dyDescent="0.2">
      <c r="C25" s="478" t="s">
        <v>225</v>
      </c>
      <c r="D25" s="478"/>
      <c r="E25" s="478"/>
      <c r="F25" s="478"/>
      <c r="G25" s="452">
        <f>SUM(G21:G24)</f>
        <v>20254.166666666668</v>
      </c>
      <c r="H25" s="452"/>
    </row>
    <row r="26" spans="1:8" x14ac:dyDescent="0.2">
      <c r="C26" s="110"/>
      <c r="D26" s="110"/>
      <c r="E26" s="110"/>
      <c r="F26" s="110"/>
      <c r="G26" s="111"/>
      <c r="H26" s="111"/>
    </row>
    <row r="27" spans="1:8" x14ac:dyDescent="0.2">
      <c r="A27" s="109" t="s">
        <v>226</v>
      </c>
    </row>
    <row r="28" spans="1:8" x14ac:dyDescent="0.2">
      <c r="A28" s="480" t="s">
        <v>1</v>
      </c>
      <c r="B28" s="480"/>
      <c r="C28" s="112" t="s">
        <v>227</v>
      </c>
      <c r="D28" s="112" t="s">
        <v>228</v>
      </c>
      <c r="E28" s="480" t="s">
        <v>3</v>
      </c>
      <c r="F28" s="480"/>
      <c r="G28" s="480" t="s">
        <v>220</v>
      </c>
      <c r="H28" s="480"/>
    </row>
    <row r="29" spans="1:8" ht="12.75" customHeight="1" x14ac:dyDescent="0.2">
      <c r="A29" s="386" t="s">
        <v>260</v>
      </c>
      <c r="B29" s="387"/>
      <c r="C29" s="113" t="s">
        <v>116</v>
      </c>
      <c r="D29" s="114">
        <v>30000</v>
      </c>
      <c r="E29" s="483">
        <v>1.3</v>
      </c>
      <c r="F29" s="484"/>
      <c r="G29" s="485">
        <f>+D29*E29</f>
        <v>39000</v>
      </c>
      <c r="H29" s="486"/>
    </row>
    <row r="30" spans="1:8" x14ac:dyDescent="0.2">
      <c r="A30" s="482" t="s">
        <v>254</v>
      </c>
      <c r="B30" s="482"/>
      <c r="C30" s="113" t="s">
        <v>255</v>
      </c>
      <c r="D30" s="114">
        <v>40</v>
      </c>
      <c r="E30" s="483">
        <v>35</v>
      </c>
      <c r="F30" s="484"/>
      <c r="G30" s="485">
        <f>+D30*E30</f>
        <v>1400</v>
      </c>
      <c r="H30" s="486"/>
    </row>
    <row r="31" spans="1:8" x14ac:dyDescent="0.2">
      <c r="A31" s="115"/>
      <c r="B31" s="115"/>
      <c r="C31" s="478" t="s">
        <v>225</v>
      </c>
      <c r="D31" s="478"/>
      <c r="E31" s="478"/>
      <c r="F31" s="478"/>
      <c r="G31" s="452">
        <f>SUM(G29:G30)</f>
        <v>40400</v>
      </c>
      <c r="H31" s="452"/>
    </row>
    <row r="33" spans="1:8" x14ac:dyDescent="0.2">
      <c r="A33" s="109" t="s">
        <v>256</v>
      </c>
    </row>
    <row r="34" spans="1:8" x14ac:dyDescent="0.2">
      <c r="A34" s="480" t="s">
        <v>233</v>
      </c>
      <c r="B34" s="480"/>
      <c r="C34" s="112" t="s">
        <v>234</v>
      </c>
      <c r="D34" s="116" t="s">
        <v>235</v>
      </c>
      <c r="E34" s="480" t="s">
        <v>236</v>
      </c>
      <c r="F34" s="480"/>
      <c r="G34" s="480" t="s">
        <v>220</v>
      </c>
      <c r="H34" s="480"/>
    </row>
    <row r="35" spans="1:8" x14ac:dyDescent="0.2">
      <c r="A35" s="386" t="s">
        <v>260</v>
      </c>
      <c r="B35" s="387"/>
      <c r="C35" s="117">
        <v>1.25</v>
      </c>
      <c r="D35" s="117">
        <v>30</v>
      </c>
      <c r="E35" s="452">
        <v>1000</v>
      </c>
      <c r="F35" s="452"/>
      <c r="G35" s="452">
        <f>+(E35*D35)*C35</f>
        <v>37500</v>
      </c>
      <c r="H35" s="452"/>
    </row>
    <row r="36" spans="1:8" x14ac:dyDescent="0.2">
      <c r="A36" s="482"/>
      <c r="B36" s="482"/>
      <c r="C36" s="118"/>
      <c r="D36" s="118"/>
      <c r="E36" s="452"/>
      <c r="F36" s="452"/>
      <c r="G36" s="452"/>
      <c r="H36" s="452"/>
    </row>
    <row r="37" spans="1:8" x14ac:dyDescent="0.2">
      <c r="A37" s="115"/>
      <c r="B37" s="115"/>
      <c r="C37" s="478" t="s">
        <v>225</v>
      </c>
      <c r="D37" s="478"/>
      <c r="E37" s="478"/>
      <c r="F37" s="478"/>
      <c r="G37" s="452">
        <f>SUM(G35:G36)</f>
        <v>37500</v>
      </c>
      <c r="H37" s="452"/>
    </row>
    <row r="39" spans="1:8" x14ac:dyDescent="0.2">
      <c r="A39" s="109" t="s">
        <v>257</v>
      </c>
    </row>
    <row r="40" spans="1:8" x14ac:dyDescent="0.2">
      <c r="A40" s="480" t="s">
        <v>238</v>
      </c>
      <c r="B40" s="480"/>
      <c r="C40" s="112" t="s">
        <v>239</v>
      </c>
      <c r="D40" s="116" t="s">
        <v>240</v>
      </c>
      <c r="E40" s="119" t="s">
        <v>241</v>
      </c>
      <c r="F40" s="120" t="s">
        <v>219</v>
      </c>
      <c r="G40" s="480" t="s">
        <v>220</v>
      </c>
      <c r="H40" s="480"/>
    </row>
    <row r="41" spans="1:8" x14ac:dyDescent="0.2">
      <c r="A41" s="437" t="s">
        <v>242</v>
      </c>
      <c r="B41" s="438"/>
      <c r="C41" s="207">
        <v>60000</v>
      </c>
      <c r="D41" s="216">
        <v>0.85</v>
      </c>
      <c r="E41" s="207">
        <f>+C41*(1+D41)</f>
        <v>111000</v>
      </c>
      <c r="F41" s="217">
        <v>12</v>
      </c>
      <c r="G41" s="481">
        <f>E41/F41</f>
        <v>9250</v>
      </c>
      <c r="H41" s="481"/>
    </row>
    <row r="42" spans="1:8" x14ac:dyDescent="0.2">
      <c r="A42" s="431" t="s">
        <v>258</v>
      </c>
      <c r="B42" s="431"/>
      <c r="C42" s="207">
        <v>70000</v>
      </c>
      <c r="D42" s="216">
        <v>0.85</v>
      </c>
      <c r="E42" s="207">
        <f>+C42*(1+D42)</f>
        <v>129500</v>
      </c>
      <c r="F42" s="219">
        <f>+F41</f>
        <v>12</v>
      </c>
      <c r="G42" s="481">
        <f>E42/F42</f>
        <v>10791.666666666666</v>
      </c>
      <c r="H42" s="481"/>
    </row>
    <row r="43" spans="1:8" x14ac:dyDescent="0.2">
      <c r="A43" s="115"/>
      <c r="B43" s="115"/>
      <c r="C43" s="478" t="s">
        <v>225</v>
      </c>
      <c r="D43" s="478"/>
      <c r="E43" s="478"/>
      <c r="F43" s="478"/>
      <c r="G43" s="452">
        <f>+G41+G42</f>
        <v>20041.666666666664</v>
      </c>
      <c r="H43" s="452"/>
    </row>
    <row r="46" spans="1:8" x14ac:dyDescent="0.2">
      <c r="A46" s="479" t="s">
        <v>244</v>
      </c>
      <c r="B46" s="479"/>
      <c r="C46" s="479"/>
      <c r="D46" s="479"/>
      <c r="E46" s="479"/>
      <c r="F46" s="479"/>
      <c r="G46" s="435">
        <f>+ROUND(G25+G31+G37+G43,0)</f>
        <v>118196</v>
      </c>
      <c r="H46" s="435"/>
    </row>
    <row r="47" spans="1:8" x14ac:dyDescent="0.2">
      <c r="G47" s="188">
        <f>+G46</f>
        <v>118196</v>
      </c>
    </row>
  </sheetData>
  <mergeCells count="67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C25:F25"/>
    <mergeCell ref="G25:H25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C31:F31"/>
    <mergeCell ref="G31:H31"/>
    <mergeCell ref="A35:B35"/>
    <mergeCell ref="E35:F35"/>
    <mergeCell ref="G35:H35"/>
    <mergeCell ref="A36:B36"/>
    <mergeCell ref="E36:F36"/>
    <mergeCell ref="G36:H36"/>
    <mergeCell ref="C43:F43"/>
    <mergeCell ref="G43:H43"/>
    <mergeCell ref="A46:F46"/>
    <mergeCell ref="G46:H46"/>
    <mergeCell ref="C37:F37"/>
    <mergeCell ref="G37:H37"/>
    <mergeCell ref="A40:B40"/>
    <mergeCell ref="G40:H40"/>
    <mergeCell ref="A42:B42"/>
    <mergeCell ref="G42:H42"/>
    <mergeCell ref="A41:B41"/>
    <mergeCell ref="G41:H4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46"/>
  <sheetViews>
    <sheetView zoomScaleNormal="100" workbookViewId="0">
      <selection activeCell="G45" sqref="G45:H45"/>
    </sheetView>
  </sheetViews>
  <sheetFormatPr baseColWidth="10" defaultRowHeight="12.75" x14ac:dyDescent="0.2"/>
  <cols>
    <col min="1" max="2" width="9.28515625" style="101" customWidth="1"/>
    <col min="3" max="3" width="11.42578125" style="101"/>
    <col min="4" max="4" width="11.42578125" style="101" customWidth="1"/>
    <col min="5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59" width="11.42578125" style="101"/>
    <col min="260" max="260" width="11.425781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1.42578125" style="101"/>
    <col min="516" max="516" width="11.425781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1.42578125" style="101"/>
    <col min="772" max="772" width="11.425781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1.42578125" style="101"/>
    <col min="1028" max="1028" width="11.425781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1.42578125" style="101"/>
    <col min="1284" max="1284" width="11.425781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1.42578125" style="101"/>
    <col min="1540" max="1540" width="11.425781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1.42578125" style="101"/>
    <col min="1796" max="1796" width="11.425781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1.42578125" style="101"/>
    <col min="2052" max="2052" width="11.425781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1.42578125" style="101"/>
    <col min="2308" max="2308" width="11.425781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1.42578125" style="101"/>
    <col min="2564" max="2564" width="11.425781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1.42578125" style="101"/>
    <col min="2820" max="2820" width="11.425781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1.42578125" style="101"/>
    <col min="3076" max="3076" width="11.425781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1.42578125" style="101"/>
    <col min="3332" max="3332" width="11.425781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1.42578125" style="101"/>
    <col min="3588" max="3588" width="11.425781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1.42578125" style="101"/>
    <col min="3844" max="3844" width="11.425781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1.42578125" style="101"/>
    <col min="4100" max="4100" width="11.425781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1.42578125" style="101"/>
    <col min="4356" max="4356" width="11.425781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1.42578125" style="101"/>
    <col min="4612" max="4612" width="11.425781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1.42578125" style="101"/>
    <col min="4868" max="4868" width="11.425781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1.42578125" style="101"/>
    <col min="5124" max="5124" width="11.425781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1.42578125" style="101"/>
    <col min="5380" max="5380" width="11.425781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1.42578125" style="101"/>
    <col min="5636" max="5636" width="11.425781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1.42578125" style="101"/>
    <col min="5892" max="5892" width="11.425781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1.42578125" style="101"/>
    <col min="6148" max="6148" width="11.425781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1.42578125" style="101"/>
    <col min="6404" max="6404" width="11.425781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1.42578125" style="101"/>
    <col min="6660" max="6660" width="11.425781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1.42578125" style="101"/>
    <col min="6916" max="6916" width="11.425781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1.42578125" style="101"/>
    <col min="7172" max="7172" width="11.425781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1.42578125" style="101"/>
    <col min="7428" max="7428" width="11.425781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1.42578125" style="101"/>
    <col min="7684" max="7684" width="11.425781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1.42578125" style="101"/>
    <col min="7940" max="7940" width="11.425781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1.42578125" style="101"/>
    <col min="8196" max="8196" width="11.425781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1.42578125" style="101"/>
    <col min="8452" max="8452" width="11.425781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1.42578125" style="101"/>
    <col min="8708" max="8708" width="11.425781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1.42578125" style="101"/>
    <col min="8964" max="8964" width="11.425781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1.42578125" style="101"/>
    <col min="9220" max="9220" width="11.425781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1.42578125" style="101"/>
    <col min="9476" max="9476" width="11.425781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1.42578125" style="101"/>
    <col min="9732" max="9732" width="11.425781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1.42578125" style="101"/>
    <col min="9988" max="9988" width="11.425781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1.42578125" style="101"/>
    <col min="10244" max="10244" width="11.425781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1.42578125" style="101"/>
    <col min="10500" max="10500" width="11.425781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1.42578125" style="101"/>
    <col min="10756" max="10756" width="11.425781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1.42578125" style="101"/>
    <col min="11012" max="11012" width="11.425781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1.42578125" style="101"/>
    <col min="11268" max="11268" width="11.425781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1.42578125" style="101"/>
    <col min="11524" max="11524" width="11.425781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1.42578125" style="101"/>
    <col min="11780" max="11780" width="11.425781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1.42578125" style="101"/>
    <col min="12036" max="12036" width="11.425781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1.42578125" style="101"/>
    <col min="12292" max="12292" width="11.425781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1.42578125" style="101"/>
    <col min="12548" max="12548" width="11.425781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1.42578125" style="101"/>
    <col min="12804" max="12804" width="11.425781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1.42578125" style="101"/>
    <col min="13060" max="13060" width="11.425781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1.42578125" style="101"/>
    <col min="13316" max="13316" width="11.425781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1.42578125" style="101"/>
    <col min="13572" max="13572" width="11.425781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1.42578125" style="101"/>
    <col min="13828" max="13828" width="11.425781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1.42578125" style="101"/>
    <col min="14084" max="14084" width="11.425781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1.42578125" style="101"/>
    <col min="14340" max="14340" width="11.425781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1.42578125" style="101"/>
    <col min="14596" max="14596" width="11.425781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1.42578125" style="101"/>
    <col min="14852" max="14852" width="11.425781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1.42578125" style="101"/>
    <col min="15108" max="15108" width="11.425781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1.42578125" style="101"/>
    <col min="15364" max="15364" width="11.425781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1.42578125" style="101"/>
    <col min="15620" max="15620" width="11.425781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1.42578125" style="101"/>
    <col min="15876" max="15876" width="11.425781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1.42578125" style="101"/>
    <col min="16132" max="16132" width="11.425781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210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6.7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8" x14ac:dyDescent="0.2">
      <c r="A17" s="491" t="s">
        <v>261</v>
      </c>
      <c r="B17" s="508" t="s">
        <v>262</v>
      </c>
      <c r="C17" s="509"/>
      <c r="D17" s="509"/>
      <c r="E17" s="509"/>
      <c r="F17" s="510"/>
      <c r="G17" s="491" t="s">
        <v>216</v>
      </c>
      <c r="H17" s="493" t="s">
        <v>116</v>
      </c>
    </row>
    <row r="18" spans="1:8" ht="25.5" customHeight="1" thickBot="1" x14ac:dyDescent="0.25">
      <c r="A18" s="492"/>
      <c r="B18" s="511"/>
      <c r="C18" s="512"/>
      <c r="D18" s="512"/>
      <c r="E18" s="512"/>
      <c r="F18" s="513"/>
      <c r="G18" s="492"/>
      <c r="H18" s="492"/>
    </row>
    <row r="19" spans="1:8" x14ac:dyDescent="0.2">
      <c r="A19" s="109" t="s">
        <v>217</v>
      </c>
    </row>
    <row r="20" spans="1:8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8" ht="39" customHeight="1" x14ac:dyDescent="0.2">
      <c r="A21" s="453" t="s">
        <v>431</v>
      </c>
      <c r="B21" s="454"/>
      <c r="C21" s="441">
        <v>90000</v>
      </c>
      <c r="D21" s="441"/>
      <c r="E21" s="449">
        <v>10</v>
      </c>
      <c r="F21" s="449"/>
      <c r="G21" s="432">
        <f>+C21/E21</f>
        <v>9000</v>
      </c>
      <c r="H21" s="432"/>
    </row>
    <row r="22" spans="1:8" x14ac:dyDescent="0.2">
      <c r="A22" s="439" t="s">
        <v>432</v>
      </c>
      <c r="B22" s="440"/>
      <c r="C22" s="441">
        <v>30000</v>
      </c>
      <c r="D22" s="441"/>
      <c r="E22" s="449">
        <v>10</v>
      </c>
      <c r="F22" s="449"/>
      <c r="G22" s="432">
        <v>6000</v>
      </c>
      <c r="H22" s="432"/>
    </row>
    <row r="23" spans="1:8" x14ac:dyDescent="0.2">
      <c r="A23" s="487" t="s">
        <v>252</v>
      </c>
      <c r="B23" s="488"/>
      <c r="C23" s="452"/>
      <c r="D23" s="452"/>
      <c r="E23" s="489">
        <v>0.1</v>
      </c>
      <c r="F23" s="489"/>
      <c r="G23" s="432">
        <f>+E23*G42</f>
        <v>2504.1666666666665</v>
      </c>
      <c r="H23" s="432"/>
    </row>
    <row r="24" spans="1:8" x14ac:dyDescent="0.2">
      <c r="C24" s="478" t="s">
        <v>225</v>
      </c>
      <c r="D24" s="478"/>
      <c r="E24" s="478"/>
      <c r="F24" s="478"/>
      <c r="G24" s="452">
        <f>SUM(G21:G23)</f>
        <v>17504.166666666668</v>
      </c>
      <c r="H24" s="452"/>
    </row>
    <row r="25" spans="1:8" x14ac:dyDescent="0.2">
      <c r="C25" s="110"/>
      <c r="D25" s="110"/>
      <c r="E25" s="110"/>
      <c r="F25" s="110"/>
      <c r="G25" s="111"/>
      <c r="H25" s="111"/>
    </row>
    <row r="26" spans="1:8" x14ac:dyDescent="0.2">
      <c r="A26" s="109" t="s">
        <v>226</v>
      </c>
    </row>
    <row r="27" spans="1:8" x14ac:dyDescent="0.2">
      <c r="A27" s="480" t="s">
        <v>1</v>
      </c>
      <c r="B27" s="480"/>
      <c r="C27" s="112" t="s">
        <v>227</v>
      </c>
      <c r="D27" s="112" t="s">
        <v>228</v>
      </c>
      <c r="E27" s="480" t="s">
        <v>3</v>
      </c>
      <c r="F27" s="480"/>
      <c r="G27" s="480" t="s">
        <v>220</v>
      </c>
      <c r="H27" s="480"/>
    </row>
    <row r="28" spans="1:8" ht="25.5" customHeight="1" x14ac:dyDescent="0.2">
      <c r="A28" s="386" t="s">
        <v>263</v>
      </c>
      <c r="B28" s="387"/>
      <c r="C28" s="124" t="s">
        <v>116</v>
      </c>
      <c r="D28" s="140">
        <v>70000</v>
      </c>
      <c r="E28" s="506">
        <v>1</v>
      </c>
      <c r="F28" s="507"/>
      <c r="G28" s="485">
        <f>+D28*E28</f>
        <v>70000</v>
      </c>
      <c r="H28" s="486"/>
    </row>
    <row r="29" spans="1:8" x14ac:dyDescent="0.2">
      <c r="A29" s="482"/>
      <c r="B29" s="482"/>
      <c r="C29" s="113"/>
      <c r="D29" s="114"/>
      <c r="E29" s="483"/>
      <c r="F29" s="484"/>
      <c r="G29" s="485"/>
      <c r="H29" s="486"/>
    </row>
    <row r="30" spans="1:8" x14ac:dyDescent="0.2">
      <c r="A30" s="115"/>
      <c r="B30" s="115"/>
      <c r="C30" s="478" t="s">
        <v>225</v>
      </c>
      <c r="D30" s="478"/>
      <c r="E30" s="478"/>
      <c r="F30" s="478"/>
      <c r="G30" s="452">
        <f>SUM(G28:G29)</f>
        <v>70000</v>
      </c>
      <c r="H30" s="452"/>
    </row>
    <row r="32" spans="1:8" x14ac:dyDescent="0.2">
      <c r="A32" s="109" t="s">
        <v>256</v>
      </c>
    </row>
    <row r="33" spans="1:8" x14ac:dyDescent="0.2">
      <c r="A33" s="480" t="s">
        <v>233</v>
      </c>
      <c r="B33" s="480"/>
      <c r="C33" s="112" t="s">
        <v>234</v>
      </c>
      <c r="D33" s="116" t="s">
        <v>235</v>
      </c>
      <c r="E33" s="480" t="s">
        <v>236</v>
      </c>
      <c r="F33" s="480"/>
      <c r="G33" s="480" t="s">
        <v>220</v>
      </c>
      <c r="H33" s="480"/>
    </row>
    <row r="34" spans="1:8" x14ac:dyDescent="0.2">
      <c r="A34" s="487" t="str">
        <f>+A28</f>
        <v>Material granular para Sub-balasto</v>
      </c>
      <c r="B34" s="488"/>
      <c r="C34" s="124">
        <v>1</v>
      </c>
      <c r="D34" s="124">
        <v>30</v>
      </c>
      <c r="E34" s="452">
        <v>1000</v>
      </c>
      <c r="F34" s="452"/>
      <c r="G34" s="452">
        <f>+(E34*D34)*C34</f>
        <v>30000</v>
      </c>
      <c r="H34" s="452"/>
    </row>
    <row r="35" spans="1:8" x14ac:dyDescent="0.2">
      <c r="A35" s="482"/>
      <c r="B35" s="482"/>
      <c r="C35" s="118"/>
      <c r="D35" s="118"/>
      <c r="E35" s="452"/>
      <c r="F35" s="452"/>
      <c r="G35" s="452"/>
      <c r="H35" s="452"/>
    </row>
    <row r="36" spans="1:8" x14ac:dyDescent="0.2">
      <c r="A36" s="115"/>
      <c r="B36" s="115"/>
      <c r="C36" s="478" t="s">
        <v>225</v>
      </c>
      <c r="D36" s="478"/>
      <c r="E36" s="478"/>
      <c r="F36" s="478"/>
      <c r="G36" s="452">
        <f>SUM(G34:H35)</f>
        <v>30000</v>
      </c>
      <c r="H36" s="452"/>
    </row>
    <row r="38" spans="1:8" x14ac:dyDescent="0.2">
      <c r="A38" s="109" t="s">
        <v>257</v>
      </c>
    </row>
    <row r="39" spans="1:8" x14ac:dyDescent="0.2">
      <c r="A39" s="480" t="s">
        <v>238</v>
      </c>
      <c r="B39" s="480"/>
      <c r="C39" s="112" t="s">
        <v>239</v>
      </c>
      <c r="D39" s="116" t="s">
        <v>240</v>
      </c>
      <c r="E39" s="119" t="s">
        <v>241</v>
      </c>
      <c r="F39" s="120" t="s">
        <v>219</v>
      </c>
      <c r="G39" s="480" t="s">
        <v>220</v>
      </c>
      <c r="H39" s="480"/>
    </row>
    <row r="40" spans="1:8" x14ac:dyDescent="0.2">
      <c r="A40" s="437" t="s">
        <v>242</v>
      </c>
      <c r="B40" s="438"/>
      <c r="C40" s="207">
        <v>60000</v>
      </c>
      <c r="D40" s="216">
        <v>0.85</v>
      </c>
      <c r="E40" s="207">
        <f>+C40*(1+D40)</f>
        <v>111000</v>
      </c>
      <c r="F40" s="223">
        <v>12</v>
      </c>
      <c r="G40" s="432">
        <f>+(C40+E40)/F40</f>
        <v>14250</v>
      </c>
      <c r="H40" s="432"/>
    </row>
    <row r="41" spans="1:8" x14ac:dyDescent="0.2">
      <c r="A41" s="431" t="s">
        <v>258</v>
      </c>
      <c r="B41" s="431"/>
      <c r="C41" s="207">
        <v>70000</v>
      </c>
      <c r="D41" s="216">
        <v>0.85</v>
      </c>
      <c r="E41" s="207">
        <f>+C41*(1+D41)</f>
        <v>129500</v>
      </c>
      <c r="F41" s="224">
        <f>+F40</f>
        <v>12</v>
      </c>
      <c r="G41" s="432">
        <f>E41/F41</f>
        <v>10791.666666666666</v>
      </c>
      <c r="H41" s="432"/>
    </row>
    <row r="42" spans="1:8" x14ac:dyDescent="0.2">
      <c r="A42" s="115"/>
      <c r="B42" s="115"/>
      <c r="C42" s="478" t="s">
        <v>225</v>
      </c>
      <c r="D42" s="478"/>
      <c r="E42" s="478"/>
      <c r="F42" s="478"/>
      <c r="G42" s="452">
        <f>+G40+G41</f>
        <v>25041.666666666664</v>
      </c>
      <c r="H42" s="452"/>
    </row>
    <row r="45" spans="1:8" x14ac:dyDescent="0.2">
      <c r="A45" s="479" t="s">
        <v>244</v>
      </c>
      <c r="B45" s="479"/>
      <c r="C45" s="479"/>
      <c r="D45" s="479"/>
      <c r="E45" s="479"/>
      <c r="F45" s="479"/>
      <c r="G45" s="435">
        <f>+ROUND(G24+G30+G36+G42,0)</f>
        <v>142546</v>
      </c>
      <c r="H45" s="435"/>
    </row>
    <row r="46" spans="1:8" x14ac:dyDescent="0.2">
      <c r="G46" s="188">
        <f>+G45</f>
        <v>142546</v>
      </c>
    </row>
  </sheetData>
  <mergeCells count="63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33:B33"/>
    <mergeCell ref="E33:F33"/>
    <mergeCell ref="G33:H33"/>
    <mergeCell ref="C24:F24"/>
    <mergeCell ref="G24:H24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C30:F30"/>
    <mergeCell ref="G30:H30"/>
    <mergeCell ref="A34:B34"/>
    <mergeCell ref="E34:F34"/>
    <mergeCell ref="G34:H34"/>
    <mergeCell ref="A35:B35"/>
    <mergeCell ref="E35:F35"/>
    <mergeCell ref="G35:H35"/>
    <mergeCell ref="C36:F36"/>
    <mergeCell ref="G36:H36"/>
    <mergeCell ref="A39:B39"/>
    <mergeCell ref="G39:H39"/>
    <mergeCell ref="A40:B40"/>
    <mergeCell ref="G40:H40"/>
    <mergeCell ref="A41:B41"/>
    <mergeCell ref="G41:H41"/>
    <mergeCell ref="C42:F42"/>
    <mergeCell ref="G42:H42"/>
    <mergeCell ref="A45:F45"/>
    <mergeCell ref="G45:H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O51"/>
  <sheetViews>
    <sheetView zoomScaleNormal="100" workbookViewId="0">
      <selection activeCell="G50" sqref="G50:H50"/>
    </sheetView>
  </sheetViews>
  <sheetFormatPr baseColWidth="10" defaultRowHeight="12.75" x14ac:dyDescent="0.2"/>
  <cols>
    <col min="1" max="2" width="9.28515625" style="101" customWidth="1"/>
    <col min="3" max="6" width="11.42578125" style="101"/>
    <col min="7" max="8" width="9.28515625" style="101" customWidth="1"/>
    <col min="9" max="256" width="11.42578125" style="101"/>
    <col min="257" max="258" width="9.28515625" style="101" customWidth="1"/>
    <col min="259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4" width="11.42578125" style="101"/>
    <col min="16135" max="16136" width="9.28515625" style="101" customWidth="1"/>
    <col min="16137" max="16384" width="11.42578125" style="101"/>
  </cols>
  <sheetData>
    <row r="2" spans="1:8" ht="13.5" thickBot="1" x14ac:dyDescent="0.25"/>
    <row r="3" spans="1:8" ht="18" x14ac:dyDescent="0.25">
      <c r="A3" s="494"/>
      <c r="B3" s="495"/>
      <c r="C3" s="500" t="s">
        <v>209</v>
      </c>
      <c r="D3" s="501"/>
      <c r="E3" s="501"/>
      <c r="F3" s="502"/>
      <c r="G3" s="494"/>
      <c r="H3" s="495"/>
    </row>
    <row r="4" spans="1:8" x14ac:dyDescent="0.2">
      <c r="A4" s="496"/>
      <c r="B4" s="497"/>
      <c r="C4" s="503" t="s">
        <v>98</v>
      </c>
      <c r="D4" s="504"/>
      <c r="E4" s="504"/>
      <c r="F4" s="505"/>
      <c r="G4" s="496"/>
      <c r="H4" s="497"/>
    </row>
    <row r="5" spans="1:8" x14ac:dyDescent="0.2">
      <c r="A5" s="496"/>
      <c r="B5" s="497"/>
      <c r="C5" s="102"/>
      <c r="D5" s="103"/>
      <c r="E5" s="103"/>
      <c r="F5" s="104"/>
      <c r="G5" s="496"/>
      <c r="H5" s="497"/>
    </row>
    <row r="6" spans="1:8" x14ac:dyDescent="0.2">
      <c r="A6" s="496"/>
      <c r="B6" s="497"/>
      <c r="C6" s="503" t="s">
        <v>264</v>
      </c>
      <c r="D6" s="504"/>
      <c r="E6" s="504"/>
      <c r="F6" s="505"/>
      <c r="G6" s="496"/>
      <c r="H6" s="497"/>
    </row>
    <row r="7" spans="1:8" x14ac:dyDescent="0.2">
      <c r="A7" s="496"/>
      <c r="B7" s="497"/>
      <c r="C7" s="503" t="s">
        <v>211</v>
      </c>
      <c r="D7" s="504"/>
      <c r="E7" s="504"/>
      <c r="F7" s="505"/>
      <c r="G7" s="496"/>
      <c r="H7" s="497"/>
    </row>
    <row r="8" spans="1:8" ht="13.5" thickBot="1" x14ac:dyDescent="0.25">
      <c r="A8" s="498"/>
      <c r="B8" s="499"/>
      <c r="C8" s="105"/>
      <c r="D8" s="106"/>
      <c r="E8" s="106"/>
      <c r="F8" s="107"/>
      <c r="G8" s="498"/>
      <c r="H8" s="499"/>
    </row>
    <row r="10" spans="1:8" ht="13.5" thickBot="1" x14ac:dyDescent="0.25">
      <c r="A10" s="490" t="s">
        <v>212</v>
      </c>
      <c r="B10" s="490"/>
      <c r="C10" s="490"/>
      <c r="D10" s="490"/>
      <c r="E10" s="490"/>
      <c r="F10" s="490"/>
      <c r="G10" s="490"/>
      <c r="H10" s="490"/>
    </row>
    <row r="11" spans="1:8" ht="13.5" thickBot="1" x14ac:dyDescent="0.25">
      <c r="A11" s="108"/>
      <c r="B11" s="108"/>
      <c r="C11" s="108"/>
      <c r="D11" s="108"/>
      <c r="E11" s="108"/>
      <c r="F11" s="108"/>
      <c r="G11" s="394" t="s">
        <v>213</v>
      </c>
      <c r="H11" s="395"/>
    </row>
    <row r="12" spans="1:8" ht="13.5" thickBot="1" x14ac:dyDescent="0.25"/>
    <row r="13" spans="1:8" ht="12.75" customHeight="1" x14ac:dyDescent="0.2">
      <c r="A13" s="396" t="s">
        <v>518</v>
      </c>
      <c r="B13" s="397"/>
      <c r="C13" s="397"/>
      <c r="D13" s="397"/>
      <c r="E13" s="397"/>
      <c r="F13" s="397"/>
      <c r="G13" s="397"/>
      <c r="H13" s="398"/>
    </row>
    <row r="14" spans="1:8" x14ac:dyDescent="0.2">
      <c r="A14" s="399"/>
      <c r="B14" s="400"/>
      <c r="C14" s="400"/>
      <c r="D14" s="400"/>
      <c r="E14" s="400"/>
      <c r="F14" s="400"/>
      <c r="G14" s="400"/>
      <c r="H14" s="401"/>
    </row>
    <row r="15" spans="1:8" ht="63.75" customHeight="1" thickBot="1" x14ac:dyDescent="0.25">
      <c r="A15" s="402"/>
      <c r="B15" s="403"/>
      <c r="C15" s="403"/>
      <c r="D15" s="403"/>
      <c r="E15" s="403"/>
      <c r="F15" s="403"/>
      <c r="G15" s="403"/>
      <c r="H15" s="404"/>
    </row>
    <row r="16" spans="1:8" ht="13.5" thickBot="1" x14ac:dyDescent="0.25">
      <c r="A16" s="103"/>
    </row>
    <row r="17" spans="1:15" x14ac:dyDescent="0.2">
      <c r="A17" s="491" t="s">
        <v>265</v>
      </c>
      <c r="B17" s="528" t="s">
        <v>266</v>
      </c>
      <c r="C17" s="529"/>
      <c r="D17" s="529"/>
      <c r="E17" s="529"/>
      <c r="F17" s="530"/>
      <c r="G17" s="491" t="s">
        <v>216</v>
      </c>
      <c r="H17" s="493" t="s">
        <v>267</v>
      </c>
    </row>
    <row r="18" spans="1:15" ht="13.5" thickBot="1" x14ac:dyDescent="0.25">
      <c r="A18" s="492"/>
      <c r="B18" s="531"/>
      <c r="C18" s="532"/>
      <c r="D18" s="532"/>
      <c r="E18" s="532"/>
      <c r="F18" s="533"/>
      <c r="G18" s="492"/>
      <c r="H18" s="492"/>
    </row>
    <row r="19" spans="1:15" x14ac:dyDescent="0.2">
      <c r="A19" s="109" t="s">
        <v>217</v>
      </c>
    </row>
    <row r="20" spans="1:15" x14ac:dyDescent="0.2">
      <c r="A20" s="480" t="s">
        <v>1</v>
      </c>
      <c r="B20" s="480"/>
      <c r="C20" s="480" t="s">
        <v>218</v>
      </c>
      <c r="D20" s="480"/>
      <c r="E20" s="480" t="s">
        <v>219</v>
      </c>
      <c r="F20" s="480"/>
      <c r="G20" s="480" t="s">
        <v>220</v>
      </c>
      <c r="H20" s="480"/>
    </row>
    <row r="21" spans="1:15" x14ac:dyDescent="0.2">
      <c r="A21" s="487" t="s">
        <v>224</v>
      </c>
      <c r="B21" s="488"/>
      <c r="C21" s="452"/>
      <c r="D21" s="452"/>
      <c r="E21" s="526">
        <v>0.1</v>
      </c>
      <c r="F21" s="527"/>
      <c r="G21" s="452">
        <f>+G47*E21</f>
        <v>763.125</v>
      </c>
      <c r="H21" s="452"/>
    </row>
    <row r="22" spans="1:15" ht="37.5" customHeight="1" x14ac:dyDescent="0.2">
      <c r="A22" s="427" t="s">
        <v>250</v>
      </c>
      <c r="B22" s="428"/>
      <c r="C22" s="388">
        <v>150000</v>
      </c>
      <c r="D22" s="388"/>
      <c r="E22" s="525">
        <v>40</v>
      </c>
      <c r="F22" s="525"/>
      <c r="G22" s="388">
        <f>+C22/E22</f>
        <v>3750</v>
      </c>
      <c r="H22" s="388"/>
    </row>
    <row r="23" spans="1:15" x14ac:dyDescent="0.2">
      <c r="C23" s="478" t="s">
        <v>225</v>
      </c>
      <c r="D23" s="478"/>
      <c r="E23" s="478"/>
      <c r="F23" s="478"/>
      <c r="G23" s="452">
        <f>+G21+G22</f>
        <v>4513.125</v>
      </c>
      <c r="H23" s="452"/>
    </row>
    <row r="24" spans="1:15" x14ac:dyDescent="0.2">
      <c r="C24" s="110"/>
      <c r="D24" s="110"/>
      <c r="E24" s="110"/>
      <c r="F24" s="110"/>
      <c r="G24" s="111"/>
      <c r="H24" s="111"/>
    </row>
    <row r="25" spans="1:15" x14ac:dyDescent="0.2">
      <c r="A25" s="109" t="s">
        <v>226</v>
      </c>
    </row>
    <row r="26" spans="1:15" x14ac:dyDescent="0.2">
      <c r="A26" s="480" t="s">
        <v>1</v>
      </c>
      <c r="B26" s="480"/>
      <c r="C26" s="112" t="s">
        <v>227</v>
      </c>
      <c r="D26" s="112" t="s">
        <v>228</v>
      </c>
      <c r="E26" s="480" t="s">
        <v>3</v>
      </c>
      <c r="F26" s="480"/>
      <c r="G26" s="480" t="s">
        <v>220</v>
      </c>
      <c r="H26" s="480"/>
    </row>
    <row r="27" spans="1:15" x14ac:dyDescent="0.2">
      <c r="A27" s="427" t="s">
        <v>268</v>
      </c>
      <c r="B27" s="428"/>
      <c r="C27" s="124" t="s">
        <v>267</v>
      </c>
      <c r="D27" s="125">
        <v>271920</v>
      </c>
      <c r="E27" s="506">
        <v>1</v>
      </c>
      <c r="F27" s="507"/>
      <c r="G27" s="390">
        <f>+D27*E27</f>
        <v>271920</v>
      </c>
      <c r="H27" s="391"/>
    </row>
    <row r="28" spans="1:15" x14ac:dyDescent="0.2">
      <c r="A28" s="450" t="s">
        <v>459</v>
      </c>
      <c r="B28" s="451"/>
      <c r="C28" s="248" t="s">
        <v>74</v>
      </c>
      <c r="D28" s="247">
        <v>5000</v>
      </c>
      <c r="E28" s="515">
        <v>4</v>
      </c>
      <c r="F28" s="516"/>
      <c r="G28" s="517">
        <f>+D28*E28</f>
        <v>20000</v>
      </c>
      <c r="H28" s="518"/>
    </row>
    <row r="29" spans="1:15" x14ac:dyDescent="0.2">
      <c r="A29" s="450" t="s">
        <v>460</v>
      </c>
      <c r="B29" s="451"/>
      <c r="C29" s="248" t="s">
        <v>74</v>
      </c>
      <c r="D29" s="247">
        <v>18000</v>
      </c>
      <c r="E29" s="515">
        <v>4</v>
      </c>
      <c r="F29" s="516"/>
      <c r="G29" s="517">
        <f>+D29*E29</f>
        <v>72000</v>
      </c>
      <c r="H29" s="518"/>
    </row>
    <row r="30" spans="1:15" x14ac:dyDescent="0.2">
      <c r="A30" s="514" t="s">
        <v>461</v>
      </c>
      <c r="B30" s="514"/>
      <c r="C30" s="248" t="s">
        <v>74</v>
      </c>
      <c r="D30" s="247">
        <v>8000</v>
      </c>
      <c r="E30" s="515">
        <v>8</v>
      </c>
      <c r="F30" s="516"/>
      <c r="G30" s="517">
        <f>+D30*E30</f>
        <v>64000</v>
      </c>
      <c r="H30" s="518"/>
    </row>
    <row r="31" spans="1:15" ht="24" customHeight="1" x14ac:dyDescent="0.2">
      <c r="A31" s="427" t="s">
        <v>440</v>
      </c>
      <c r="B31" s="428"/>
      <c r="C31" s="124" t="s">
        <v>227</v>
      </c>
      <c r="D31" s="125">
        <f>46*3200</f>
        <v>147200</v>
      </c>
      <c r="E31" s="506">
        <v>0.33</v>
      </c>
      <c r="F31" s="507"/>
      <c r="G31" s="390">
        <f>+D31*E31</f>
        <v>48576</v>
      </c>
      <c r="H31" s="391"/>
    </row>
    <row r="32" spans="1:15" x14ac:dyDescent="0.2">
      <c r="A32" s="519" t="s">
        <v>457</v>
      </c>
      <c r="B32" s="519"/>
      <c r="C32" s="249" t="s">
        <v>458</v>
      </c>
      <c r="D32" s="246"/>
      <c r="E32" s="520">
        <v>0.17</v>
      </c>
      <c r="F32" s="520"/>
      <c r="G32" s="521">
        <f>+E32*(G31+G27+G30+G28+G29)</f>
        <v>81004.320000000007</v>
      </c>
      <c r="H32" s="522"/>
      <c r="I32" s="225"/>
      <c r="L32" s="127"/>
      <c r="M32" s="127"/>
      <c r="N32" s="127"/>
      <c r="O32" s="127"/>
    </row>
    <row r="33" spans="1:15" x14ac:dyDescent="0.2">
      <c r="A33" s="115"/>
      <c r="B33" s="115"/>
      <c r="C33" s="478" t="s">
        <v>225</v>
      </c>
      <c r="D33" s="478"/>
      <c r="E33" s="478"/>
      <c r="F33" s="478"/>
      <c r="G33" s="452">
        <f>SUM(G27:G32)</f>
        <v>557500.32000000007</v>
      </c>
      <c r="H33" s="452"/>
      <c r="L33" s="127"/>
      <c r="M33" s="127"/>
      <c r="N33" s="127"/>
      <c r="O33" s="127"/>
    </row>
    <row r="34" spans="1:15" x14ac:dyDescent="0.2">
      <c r="L34" s="127"/>
      <c r="M34" s="127"/>
      <c r="N34" s="127"/>
      <c r="O34" s="127"/>
    </row>
    <row r="35" spans="1:15" x14ac:dyDescent="0.2">
      <c r="A35" s="109" t="s">
        <v>232</v>
      </c>
      <c r="L35" s="127"/>
      <c r="M35" s="127"/>
      <c r="N35" s="127"/>
      <c r="O35" s="127"/>
    </row>
    <row r="36" spans="1:15" x14ac:dyDescent="0.2">
      <c r="A36" s="480" t="s">
        <v>233</v>
      </c>
      <c r="B36" s="480"/>
      <c r="C36" s="112" t="s">
        <v>234</v>
      </c>
      <c r="D36" s="116" t="s">
        <v>235</v>
      </c>
      <c r="E36" s="480" t="s">
        <v>236</v>
      </c>
      <c r="F36" s="480"/>
      <c r="G36" s="480" t="s">
        <v>220</v>
      </c>
      <c r="H36" s="480"/>
      <c r="L36" s="127"/>
      <c r="M36" s="127"/>
      <c r="N36" s="127"/>
      <c r="O36" s="127"/>
    </row>
    <row r="37" spans="1:15" x14ac:dyDescent="0.2">
      <c r="A37" s="427" t="s">
        <v>268</v>
      </c>
      <c r="B37" s="428"/>
      <c r="C37" s="117">
        <v>2</v>
      </c>
      <c r="D37" s="117">
        <v>938</v>
      </c>
      <c r="E37" s="452">
        <v>4</v>
      </c>
      <c r="F37" s="452"/>
      <c r="G37" s="452">
        <f>C37*D37*E37</f>
        <v>7504</v>
      </c>
      <c r="H37" s="452"/>
      <c r="L37" s="127"/>
      <c r="M37" s="127"/>
      <c r="N37" s="127"/>
      <c r="O37" s="127"/>
    </row>
    <row r="38" spans="1:15" x14ac:dyDescent="0.2">
      <c r="A38" s="427" t="s">
        <v>269</v>
      </c>
      <c r="B38" s="428"/>
      <c r="C38" s="117">
        <v>4</v>
      </c>
      <c r="D38" s="117">
        <v>938</v>
      </c>
      <c r="E38" s="452">
        <v>0.5</v>
      </c>
      <c r="F38" s="452"/>
      <c r="G38" s="452">
        <f>+C38*D38*E38</f>
        <v>1876</v>
      </c>
      <c r="H38" s="452"/>
      <c r="L38" s="127"/>
      <c r="M38" s="127"/>
      <c r="N38" s="127"/>
      <c r="O38" s="127"/>
    </row>
    <row r="39" spans="1:15" x14ac:dyDescent="0.2">
      <c r="A39" s="487" t="s">
        <v>270</v>
      </c>
      <c r="B39" s="488"/>
      <c r="C39" s="117">
        <v>2</v>
      </c>
      <c r="D39" s="117">
        <v>30</v>
      </c>
      <c r="E39" s="452">
        <v>0.5</v>
      </c>
      <c r="F39" s="452"/>
      <c r="G39" s="452">
        <f>+C39*D39*E39</f>
        <v>30</v>
      </c>
      <c r="H39" s="452"/>
    </row>
    <row r="40" spans="1:15" x14ac:dyDescent="0.2">
      <c r="A40" s="115"/>
      <c r="B40" s="115"/>
      <c r="C40" s="478" t="s">
        <v>225</v>
      </c>
      <c r="D40" s="478"/>
      <c r="E40" s="478"/>
      <c r="F40" s="478"/>
      <c r="G40" s="452">
        <f>SUM(G37:G39)</f>
        <v>9410</v>
      </c>
      <c r="H40" s="452"/>
    </row>
    <row r="42" spans="1:15" x14ac:dyDescent="0.2">
      <c r="A42" s="109" t="s">
        <v>237</v>
      </c>
    </row>
    <row r="43" spans="1:15" x14ac:dyDescent="0.2">
      <c r="A43" s="480" t="s">
        <v>238</v>
      </c>
      <c r="B43" s="480"/>
      <c r="C43" s="128" t="s">
        <v>239</v>
      </c>
      <c r="D43" s="116" t="s">
        <v>240</v>
      </c>
      <c r="E43" s="119" t="s">
        <v>241</v>
      </c>
      <c r="F43" s="120" t="s">
        <v>219</v>
      </c>
      <c r="G43" s="480" t="s">
        <v>220</v>
      </c>
      <c r="H43" s="480"/>
    </row>
    <row r="44" spans="1:15" x14ac:dyDescent="0.2">
      <c r="A44" s="437" t="s">
        <v>242</v>
      </c>
      <c r="B44" s="438"/>
      <c r="C44" s="207">
        <v>60000</v>
      </c>
      <c r="D44" s="122">
        <v>0.85</v>
      </c>
      <c r="E44" s="121">
        <f>+((C44*D44)+C44)</f>
        <v>111000</v>
      </c>
      <c r="F44" s="117">
        <v>40</v>
      </c>
      <c r="G44" s="452">
        <f>+E44/F44</f>
        <v>2775</v>
      </c>
      <c r="H44" s="452"/>
    </row>
    <row r="45" spans="1:15" x14ac:dyDescent="0.2">
      <c r="A45" s="431" t="s">
        <v>441</v>
      </c>
      <c r="B45" s="431"/>
      <c r="C45" s="207">
        <v>105000</v>
      </c>
      <c r="D45" s="122">
        <v>0.85</v>
      </c>
      <c r="E45" s="121">
        <f>+((C45*D45)+C45)</f>
        <v>194250</v>
      </c>
      <c r="F45" s="117">
        <v>40</v>
      </c>
      <c r="G45" s="452">
        <f>+E45/F45</f>
        <v>4856.25</v>
      </c>
      <c r="H45" s="452"/>
    </row>
    <row r="46" spans="1:15" x14ac:dyDescent="0.2">
      <c r="A46" s="482"/>
      <c r="B46" s="482"/>
      <c r="C46" s="121"/>
      <c r="D46" s="122"/>
      <c r="E46" s="121"/>
      <c r="F46" s="117"/>
      <c r="G46" s="452"/>
      <c r="H46" s="452"/>
    </row>
    <row r="47" spans="1:15" x14ac:dyDescent="0.2">
      <c r="A47" s="115"/>
      <c r="B47" s="115"/>
      <c r="C47" s="478" t="s">
        <v>225</v>
      </c>
      <c r="D47" s="478"/>
      <c r="E47" s="478"/>
      <c r="F47" s="478"/>
      <c r="G47" s="452">
        <f>+G44+G45</f>
        <v>7631.25</v>
      </c>
      <c r="H47" s="452"/>
    </row>
    <row r="50" spans="1:8" x14ac:dyDescent="0.2">
      <c r="A50" s="479" t="s">
        <v>244</v>
      </c>
      <c r="B50" s="479"/>
      <c r="C50" s="479"/>
      <c r="D50" s="479"/>
      <c r="E50" s="479"/>
      <c r="F50" s="479"/>
      <c r="G50" s="523">
        <f>+ROUND(G23+G33+G40+G47,0)</f>
        <v>579055</v>
      </c>
      <c r="H50" s="524"/>
    </row>
    <row r="51" spans="1:8" x14ac:dyDescent="0.2">
      <c r="G51" s="188">
        <f>+G50</f>
        <v>579055</v>
      </c>
    </row>
  </sheetData>
  <mergeCells count="76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7:B27"/>
    <mergeCell ref="E27:F27"/>
    <mergeCell ref="G27:H27"/>
    <mergeCell ref="A37:B37"/>
    <mergeCell ref="E37:F37"/>
    <mergeCell ref="G37:H37"/>
    <mergeCell ref="A31:B31"/>
    <mergeCell ref="E31:F31"/>
    <mergeCell ref="G31:H31"/>
    <mergeCell ref="C33:F33"/>
    <mergeCell ref="G33:H33"/>
    <mergeCell ref="A36:B36"/>
    <mergeCell ref="E36:F36"/>
    <mergeCell ref="G36:H36"/>
    <mergeCell ref="A38:B38"/>
    <mergeCell ref="E38:F38"/>
    <mergeCell ref="G38:H38"/>
    <mergeCell ref="A39:B39"/>
    <mergeCell ref="E39:F39"/>
    <mergeCell ref="G39:H39"/>
    <mergeCell ref="C40:F40"/>
    <mergeCell ref="G40:H40"/>
    <mergeCell ref="A43:B43"/>
    <mergeCell ref="G43:H43"/>
    <mergeCell ref="A44:B44"/>
    <mergeCell ref="G44:H44"/>
    <mergeCell ref="A50:F50"/>
    <mergeCell ref="G50:H50"/>
    <mergeCell ref="A45:B45"/>
    <mergeCell ref="G45:H45"/>
    <mergeCell ref="A46:B46"/>
    <mergeCell ref="G46:H46"/>
    <mergeCell ref="C47:F47"/>
    <mergeCell ref="G47:H47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A32:B32"/>
    <mergeCell ref="E32:F32"/>
    <mergeCell ref="G32:H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5"/>
  <sheetViews>
    <sheetView workbookViewId="0">
      <selection activeCell="G44" sqref="G44:H44"/>
    </sheetView>
  </sheetViews>
  <sheetFormatPr baseColWidth="10" defaultRowHeight="12.75" x14ac:dyDescent="0.2"/>
  <cols>
    <col min="1" max="2" width="9.28515625" style="101" customWidth="1"/>
    <col min="3" max="3" width="10.7109375" style="101" customWidth="1"/>
    <col min="4" max="4" width="12.140625" style="101" customWidth="1"/>
    <col min="5" max="6" width="11.42578125" style="101"/>
    <col min="7" max="7" width="12.85546875" style="101" customWidth="1"/>
    <col min="8" max="8" width="9.28515625" style="101" customWidth="1"/>
    <col min="9" max="256" width="11.42578125" style="101"/>
    <col min="257" max="258" width="9.28515625" style="101" customWidth="1"/>
    <col min="259" max="259" width="10.7109375" style="101" customWidth="1"/>
    <col min="260" max="260" width="12.140625" style="101" customWidth="1"/>
    <col min="261" max="262" width="11.42578125" style="101"/>
    <col min="263" max="264" width="9.28515625" style="101" customWidth="1"/>
    <col min="265" max="512" width="11.42578125" style="101"/>
    <col min="513" max="514" width="9.28515625" style="101" customWidth="1"/>
    <col min="515" max="515" width="10.7109375" style="101" customWidth="1"/>
    <col min="516" max="516" width="12.140625" style="101" customWidth="1"/>
    <col min="517" max="518" width="11.42578125" style="101"/>
    <col min="519" max="520" width="9.28515625" style="101" customWidth="1"/>
    <col min="521" max="768" width="11.42578125" style="101"/>
    <col min="769" max="770" width="9.28515625" style="101" customWidth="1"/>
    <col min="771" max="771" width="10.7109375" style="101" customWidth="1"/>
    <col min="772" max="772" width="12.140625" style="101" customWidth="1"/>
    <col min="773" max="774" width="11.42578125" style="101"/>
    <col min="775" max="776" width="9.28515625" style="101" customWidth="1"/>
    <col min="777" max="1024" width="11.42578125" style="101"/>
    <col min="1025" max="1026" width="9.28515625" style="101" customWidth="1"/>
    <col min="1027" max="1027" width="10.7109375" style="101" customWidth="1"/>
    <col min="1028" max="1028" width="12.140625" style="101" customWidth="1"/>
    <col min="1029" max="1030" width="11.42578125" style="101"/>
    <col min="1031" max="1032" width="9.28515625" style="101" customWidth="1"/>
    <col min="1033" max="1280" width="11.42578125" style="101"/>
    <col min="1281" max="1282" width="9.28515625" style="101" customWidth="1"/>
    <col min="1283" max="1283" width="10.7109375" style="101" customWidth="1"/>
    <col min="1284" max="1284" width="12.140625" style="101" customWidth="1"/>
    <col min="1285" max="1286" width="11.42578125" style="101"/>
    <col min="1287" max="1288" width="9.28515625" style="101" customWidth="1"/>
    <col min="1289" max="1536" width="11.42578125" style="101"/>
    <col min="1537" max="1538" width="9.28515625" style="101" customWidth="1"/>
    <col min="1539" max="1539" width="10.7109375" style="101" customWidth="1"/>
    <col min="1540" max="1540" width="12.140625" style="101" customWidth="1"/>
    <col min="1541" max="1542" width="11.42578125" style="101"/>
    <col min="1543" max="1544" width="9.28515625" style="101" customWidth="1"/>
    <col min="1545" max="1792" width="11.42578125" style="101"/>
    <col min="1793" max="1794" width="9.28515625" style="101" customWidth="1"/>
    <col min="1795" max="1795" width="10.7109375" style="101" customWidth="1"/>
    <col min="1796" max="1796" width="12.140625" style="101" customWidth="1"/>
    <col min="1797" max="1798" width="11.42578125" style="101"/>
    <col min="1799" max="1800" width="9.28515625" style="101" customWidth="1"/>
    <col min="1801" max="2048" width="11.42578125" style="101"/>
    <col min="2049" max="2050" width="9.28515625" style="101" customWidth="1"/>
    <col min="2051" max="2051" width="10.7109375" style="101" customWidth="1"/>
    <col min="2052" max="2052" width="12.140625" style="101" customWidth="1"/>
    <col min="2053" max="2054" width="11.42578125" style="101"/>
    <col min="2055" max="2056" width="9.28515625" style="101" customWidth="1"/>
    <col min="2057" max="2304" width="11.42578125" style="101"/>
    <col min="2305" max="2306" width="9.28515625" style="101" customWidth="1"/>
    <col min="2307" max="2307" width="10.7109375" style="101" customWidth="1"/>
    <col min="2308" max="2308" width="12.140625" style="101" customWidth="1"/>
    <col min="2309" max="2310" width="11.42578125" style="101"/>
    <col min="2311" max="2312" width="9.28515625" style="101" customWidth="1"/>
    <col min="2313" max="2560" width="11.42578125" style="101"/>
    <col min="2561" max="2562" width="9.28515625" style="101" customWidth="1"/>
    <col min="2563" max="2563" width="10.7109375" style="101" customWidth="1"/>
    <col min="2564" max="2564" width="12.140625" style="101" customWidth="1"/>
    <col min="2565" max="2566" width="11.42578125" style="101"/>
    <col min="2567" max="2568" width="9.28515625" style="101" customWidth="1"/>
    <col min="2569" max="2816" width="11.42578125" style="101"/>
    <col min="2817" max="2818" width="9.28515625" style="101" customWidth="1"/>
    <col min="2819" max="2819" width="10.7109375" style="101" customWidth="1"/>
    <col min="2820" max="2820" width="12.140625" style="101" customWidth="1"/>
    <col min="2821" max="2822" width="11.42578125" style="101"/>
    <col min="2823" max="2824" width="9.28515625" style="101" customWidth="1"/>
    <col min="2825" max="3072" width="11.42578125" style="101"/>
    <col min="3073" max="3074" width="9.28515625" style="101" customWidth="1"/>
    <col min="3075" max="3075" width="10.7109375" style="101" customWidth="1"/>
    <col min="3076" max="3076" width="12.140625" style="101" customWidth="1"/>
    <col min="3077" max="3078" width="11.42578125" style="101"/>
    <col min="3079" max="3080" width="9.28515625" style="101" customWidth="1"/>
    <col min="3081" max="3328" width="11.42578125" style="101"/>
    <col min="3329" max="3330" width="9.28515625" style="101" customWidth="1"/>
    <col min="3331" max="3331" width="10.7109375" style="101" customWidth="1"/>
    <col min="3332" max="3332" width="12.140625" style="101" customWidth="1"/>
    <col min="3333" max="3334" width="11.42578125" style="101"/>
    <col min="3335" max="3336" width="9.28515625" style="101" customWidth="1"/>
    <col min="3337" max="3584" width="11.42578125" style="101"/>
    <col min="3585" max="3586" width="9.28515625" style="101" customWidth="1"/>
    <col min="3587" max="3587" width="10.7109375" style="101" customWidth="1"/>
    <col min="3588" max="3588" width="12.140625" style="101" customWidth="1"/>
    <col min="3589" max="3590" width="11.42578125" style="101"/>
    <col min="3591" max="3592" width="9.28515625" style="101" customWidth="1"/>
    <col min="3593" max="3840" width="11.42578125" style="101"/>
    <col min="3841" max="3842" width="9.28515625" style="101" customWidth="1"/>
    <col min="3843" max="3843" width="10.7109375" style="101" customWidth="1"/>
    <col min="3844" max="3844" width="12.140625" style="101" customWidth="1"/>
    <col min="3845" max="3846" width="11.42578125" style="101"/>
    <col min="3847" max="3848" width="9.28515625" style="101" customWidth="1"/>
    <col min="3849" max="4096" width="11.42578125" style="101"/>
    <col min="4097" max="4098" width="9.28515625" style="101" customWidth="1"/>
    <col min="4099" max="4099" width="10.7109375" style="101" customWidth="1"/>
    <col min="4100" max="4100" width="12.140625" style="101" customWidth="1"/>
    <col min="4101" max="4102" width="11.42578125" style="101"/>
    <col min="4103" max="4104" width="9.28515625" style="101" customWidth="1"/>
    <col min="4105" max="4352" width="11.42578125" style="101"/>
    <col min="4353" max="4354" width="9.28515625" style="101" customWidth="1"/>
    <col min="4355" max="4355" width="10.7109375" style="101" customWidth="1"/>
    <col min="4356" max="4356" width="12.140625" style="101" customWidth="1"/>
    <col min="4357" max="4358" width="11.42578125" style="101"/>
    <col min="4359" max="4360" width="9.28515625" style="101" customWidth="1"/>
    <col min="4361" max="4608" width="11.42578125" style="101"/>
    <col min="4609" max="4610" width="9.28515625" style="101" customWidth="1"/>
    <col min="4611" max="4611" width="10.7109375" style="101" customWidth="1"/>
    <col min="4612" max="4612" width="12.140625" style="101" customWidth="1"/>
    <col min="4613" max="4614" width="11.42578125" style="101"/>
    <col min="4615" max="4616" width="9.28515625" style="101" customWidth="1"/>
    <col min="4617" max="4864" width="11.42578125" style="101"/>
    <col min="4865" max="4866" width="9.28515625" style="101" customWidth="1"/>
    <col min="4867" max="4867" width="10.7109375" style="101" customWidth="1"/>
    <col min="4868" max="4868" width="12.140625" style="101" customWidth="1"/>
    <col min="4869" max="4870" width="11.42578125" style="101"/>
    <col min="4871" max="4872" width="9.28515625" style="101" customWidth="1"/>
    <col min="4873" max="5120" width="11.42578125" style="101"/>
    <col min="5121" max="5122" width="9.28515625" style="101" customWidth="1"/>
    <col min="5123" max="5123" width="10.7109375" style="101" customWidth="1"/>
    <col min="5124" max="5124" width="12.140625" style="101" customWidth="1"/>
    <col min="5125" max="5126" width="11.42578125" style="101"/>
    <col min="5127" max="5128" width="9.28515625" style="101" customWidth="1"/>
    <col min="5129" max="5376" width="11.42578125" style="101"/>
    <col min="5377" max="5378" width="9.28515625" style="101" customWidth="1"/>
    <col min="5379" max="5379" width="10.7109375" style="101" customWidth="1"/>
    <col min="5380" max="5380" width="12.140625" style="101" customWidth="1"/>
    <col min="5381" max="5382" width="11.42578125" style="101"/>
    <col min="5383" max="5384" width="9.28515625" style="101" customWidth="1"/>
    <col min="5385" max="5632" width="11.42578125" style="101"/>
    <col min="5633" max="5634" width="9.28515625" style="101" customWidth="1"/>
    <col min="5635" max="5635" width="10.7109375" style="101" customWidth="1"/>
    <col min="5636" max="5636" width="12.140625" style="101" customWidth="1"/>
    <col min="5637" max="5638" width="11.42578125" style="101"/>
    <col min="5639" max="5640" width="9.28515625" style="101" customWidth="1"/>
    <col min="5641" max="5888" width="11.42578125" style="101"/>
    <col min="5889" max="5890" width="9.28515625" style="101" customWidth="1"/>
    <col min="5891" max="5891" width="10.7109375" style="101" customWidth="1"/>
    <col min="5892" max="5892" width="12.140625" style="101" customWidth="1"/>
    <col min="5893" max="5894" width="11.42578125" style="101"/>
    <col min="5895" max="5896" width="9.28515625" style="101" customWidth="1"/>
    <col min="5897" max="6144" width="11.42578125" style="101"/>
    <col min="6145" max="6146" width="9.28515625" style="101" customWidth="1"/>
    <col min="6147" max="6147" width="10.7109375" style="101" customWidth="1"/>
    <col min="6148" max="6148" width="12.140625" style="101" customWidth="1"/>
    <col min="6149" max="6150" width="11.42578125" style="101"/>
    <col min="6151" max="6152" width="9.28515625" style="101" customWidth="1"/>
    <col min="6153" max="6400" width="11.42578125" style="101"/>
    <col min="6401" max="6402" width="9.28515625" style="101" customWidth="1"/>
    <col min="6403" max="6403" width="10.7109375" style="101" customWidth="1"/>
    <col min="6404" max="6404" width="12.140625" style="101" customWidth="1"/>
    <col min="6405" max="6406" width="11.42578125" style="101"/>
    <col min="6407" max="6408" width="9.28515625" style="101" customWidth="1"/>
    <col min="6409" max="6656" width="11.42578125" style="101"/>
    <col min="6657" max="6658" width="9.28515625" style="101" customWidth="1"/>
    <col min="6659" max="6659" width="10.7109375" style="101" customWidth="1"/>
    <col min="6660" max="6660" width="12.140625" style="101" customWidth="1"/>
    <col min="6661" max="6662" width="11.42578125" style="101"/>
    <col min="6663" max="6664" width="9.28515625" style="101" customWidth="1"/>
    <col min="6665" max="6912" width="11.42578125" style="101"/>
    <col min="6913" max="6914" width="9.28515625" style="101" customWidth="1"/>
    <col min="6915" max="6915" width="10.7109375" style="101" customWidth="1"/>
    <col min="6916" max="6916" width="12.140625" style="101" customWidth="1"/>
    <col min="6917" max="6918" width="11.42578125" style="101"/>
    <col min="6919" max="6920" width="9.28515625" style="101" customWidth="1"/>
    <col min="6921" max="7168" width="11.42578125" style="101"/>
    <col min="7169" max="7170" width="9.28515625" style="101" customWidth="1"/>
    <col min="7171" max="7171" width="10.7109375" style="101" customWidth="1"/>
    <col min="7172" max="7172" width="12.140625" style="101" customWidth="1"/>
    <col min="7173" max="7174" width="11.42578125" style="101"/>
    <col min="7175" max="7176" width="9.28515625" style="101" customWidth="1"/>
    <col min="7177" max="7424" width="11.42578125" style="101"/>
    <col min="7425" max="7426" width="9.28515625" style="101" customWidth="1"/>
    <col min="7427" max="7427" width="10.7109375" style="101" customWidth="1"/>
    <col min="7428" max="7428" width="12.140625" style="101" customWidth="1"/>
    <col min="7429" max="7430" width="11.42578125" style="101"/>
    <col min="7431" max="7432" width="9.28515625" style="101" customWidth="1"/>
    <col min="7433" max="7680" width="11.42578125" style="101"/>
    <col min="7681" max="7682" width="9.28515625" style="101" customWidth="1"/>
    <col min="7683" max="7683" width="10.7109375" style="101" customWidth="1"/>
    <col min="7684" max="7684" width="12.140625" style="101" customWidth="1"/>
    <col min="7685" max="7686" width="11.42578125" style="101"/>
    <col min="7687" max="7688" width="9.28515625" style="101" customWidth="1"/>
    <col min="7689" max="7936" width="11.42578125" style="101"/>
    <col min="7937" max="7938" width="9.28515625" style="101" customWidth="1"/>
    <col min="7939" max="7939" width="10.7109375" style="101" customWidth="1"/>
    <col min="7940" max="7940" width="12.140625" style="101" customWidth="1"/>
    <col min="7941" max="7942" width="11.42578125" style="101"/>
    <col min="7943" max="7944" width="9.28515625" style="101" customWidth="1"/>
    <col min="7945" max="8192" width="11.42578125" style="101"/>
    <col min="8193" max="8194" width="9.28515625" style="101" customWidth="1"/>
    <col min="8195" max="8195" width="10.7109375" style="101" customWidth="1"/>
    <col min="8196" max="8196" width="12.140625" style="101" customWidth="1"/>
    <col min="8197" max="8198" width="11.42578125" style="101"/>
    <col min="8199" max="8200" width="9.28515625" style="101" customWidth="1"/>
    <col min="8201" max="8448" width="11.42578125" style="101"/>
    <col min="8449" max="8450" width="9.28515625" style="101" customWidth="1"/>
    <col min="8451" max="8451" width="10.7109375" style="101" customWidth="1"/>
    <col min="8452" max="8452" width="12.140625" style="101" customWidth="1"/>
    <col min="8453" max="8454" width="11.42578125" style="101"/>
    <col min="8455" max="8456" width="9.28515625" style="101" customWidth="1"/>
    <col min="8457" max="8704" width="11.42578125" style="101"/>
    <col min="8705" max="8706" width="9.28515625" style="101" customWidth="1"/>
    <col min="8707" max="8707" width="10.7109375" style="101" customWidth="1"/>
    <col min="8708" max="8708" width="12.140625" style="101" customWidth="1"/>
    <col min="8709" max="8710" width="11.42578125" style="101"/>
    <col min="8711" max="8712" width="9.28515625" style="101" customWidth="1"/>
    <col min="8713" max="8960" width="11.42578125" style="101"/>
    <col min="8961" max="8962" width="9.28515625" style="101" customWidth="1"/>
    <col min="8963" max="8963" width="10.7109375" style="101" customWidth="1"/>
    <col min="8964" max="8964" width="12.140625" style="101" customWidth="1"/>
    <col min="8965" max="8966" width="11.42578125" style="101"/>
    <col min="8967" max="8968" width="9.28515625" style="101" customWidth="1"/>
    <col min="8969" max="9216" width="11.42578125" style="101"/>
    <col min="9217" max="9218" width="9.28515625" style="101" customWidth="1"/>
    <col min="9219" max="9219" width="10.7109375" style="101" customWidth="1"/>
    <col min="9220" max="9220" width="12.140625" style="101" customWidth="1"/>
    <col min="9221" max="9222" width="11.42578125" style="101"/>
    <col min="9223" max="9224" width="9.28515625" style="101" customWidth="1"/>
    <col min="9225" max="9472" width="11.42578125" style="101"/>
    <col min="9473" max="9474" width="9.28515625" style="101" customWidth="1"/>
    <col min="9475" max="9475" width="10.7109375" style="101" customWidth="1"/>
    <col min="9476" max="9476" width="12.140625" style="101" customWidth="1"/>
    <col min="9477" max="9478" width="11.42578125" style="101"/>
    <col min="9479" max="9480" width="9.28515625" style="101" customWidth="1"/>
    <col min="9481" max="9728" width="11.42578125" style="101"/>
    <col min="9729" max="9730" width="9.28515625" style="101" customWidth="1"/>
    <col min="9731" max="9731" width="10.7109375" style="101" customWidth="1"/>
    <col min="9732" max="9732" width="12.140625" style="101" customWidth="1"/>
    <col min="9733" max="9734" width="11.42578125" style="101"/>
    <col min="9735" max="9736" width="9.28515625" style="101" customWidth="1"/>
    <col min="9737" max="9984" width="11.42578125" style="101"/>
    <col min="9985" max="9986" width="9.28515625" style="101" customWidth="1"/>
    <col min="9987" max="9987" width="10.7109375" style="101" customWidth="1"/>
    <col min="9988" max="9988" width="12.140625" style="101" customWidth="1"/>
    <col min="9989" max="9990" width="11.42578125" style="101"/>
    <col min="9991" max="9992" width="9.28515625" style="101" customWidth="1"/>
    <col min="9993" max="10240" width="11.42578125" style="101"/>
    <col min="10241" max="10242" width="9.28515625" style="101" customWidth="1"/>
    <col min="10243" max="10243" width="10.7109375" style="101" customWidth="1"/>
    <col min="10244" max="10244" width="12.140625" style="101" customWidth="1"/>
    <col min="10245" max="10246" width="11.42578125" style="101"/>
    <col min="10247" max="10248" width="9.28515625" style="101" customWidth="1"/>
    <col min="10249" max="10496" width="11.42578125" style="101"/>
    <col min="10497" max="10498" width="9.28515625" style="101" customWidth="1"/>
    <col min="10499" max="10499" width="10.7109375" style="101" customWidth="1"/>
    <col min="10500" max="10500" width="12.140625" style="101" customWidth="1"/>
    <col min="10501" max="10502" width="11.42578125" style="101"/>
    <col min="10503" max="10504" width="9.28515625" style="101" customWidth="1"/>
    <col min="10505" max="10752" width="11.42578125" style="101"/>
    <col min="10753" max="10754" width="9.28515625" style="101" customWidth="1"/>
    <col min="10755" max="10755" width="10.7109375" style="101" customWidth="1"/>
    <col min="10756" max="10756" width="12.140625" style="101" customWidth="1"/>
    <col min="10757" max="10758" width="11.42578125" style="101"/>
    <col min="10759" max="10760" width="9.28515625" style="101" customWidth="1"/>
    <col min="10761" max="11008" width="11.42578125" style="101"/>
    <col min="11009" max="11010" width="9.28515625" style="101" customWidth="1"/>
    <col min="11011" max="11011" width="10.7109375" style="101" customWidth="1"/>
    <col min="11012" max="11012" width="12.140625" style="101" customWidth="1"/>
    <col min="11013" max="11014" width="11.42578125" style="101"/>
    <col min="11015" max="11016" width="9.28515625" style="101" customWidth="1"/>
    <col min="11017" max="11264" width="11.42578125" style="101"/>
    <col min="11265" max="11266" width="9.28515625" style="101" customWidth="1"/>
    <col min="11267" max="11267" width="10.7109375" style="101" customWidth="1"/>
    <col min="11268" max="11268" width="12.140625" style="101" customWidth="1"/>
    <col min="11269" max="11270" width="11.42578125" style="101"/>
    <col min="11271" max="11272" width="9.28515625" style="101" customWidth="1"/>
    <col min="11273" max="11520" width="11.42578125" style="101"/>
    <col min="11521" max="11522" width="9.28515625" style="101" customWidth="1"/>
    <col min="11523" max="11523" width="10.7109375" style="101" customWidth="1"/>
    <col min="11524" max="11524" width="12.140625" style="101" customWidth="1"/>
    <col min="11525" max="11526" width="11.42578125" style="101"/>
    <col min="11527" max="11528" width="9.28515625" style="101" customWidth="1"/>
    <col min="11529" max="11776" width="11.42578125" style="101"/>
    <col min="11777" max="11778" width="9.28515625" style="101" customWidth="1"/>
    <col min="11779" max="11779" width="10.7109375" style="101" customWidth="1"/>
    <col min="11780" max="11780" width="12.140625" style="101" customWidth="1"/>
    <col min="11781" max="11782" width="11.42578125" style="101"/>
    <col min="11783" max="11784" width="9.28515625" style="101" customWidth="1"/>
    <col min="11785" max="12032" width="11.42578125" style="101"/>
    <col min="12033" max="12034" width="9.28515625" style="101" customWidth="1"/>
    <col min="12035" max="12035" width="10.7109375" style="101" customWidth="1"/>
    <col min="12036" max="12036" width="12.140625" style="101" customWidth="1"/>
    <col min="12037" max="12038" width="11.42578125" style="101"/>
    <col min="12039" max="12040" width="9.28515625" style="101" customWidth="1"/>
    <col min="12041" max="12288" width="11.42578125" style="101"/>
    <col min="12289" max="12290" width="9.28515625" style="101" customWidth="1"/>
    <col min="12291" max="12291" width="10.7109375" style="101" customWidth="1"/>
    <col min="12292" max="12292" width="12.140625" style="101" customWidth="1"/>
    <col min="12293" max="12294" width="11.42578125" style="101"/>
    <col min="12295" max="12296" width="9.28515625" style="101" customWidth="1"/>
    <col min="12297" max="12544" width="11.42578125" style="101"/>
    <col min="12545" max="12546" width="9.28515625" style="101" customWidth="1"/>
    <col min="12547" max="12547" width="10.7109375" style="101" customWidth="1"/>
    <col min="12548" max="12548" width="12.140625" style="101" customWidth="1"/>
    <col min="12549" max="12550" width="11.42578125" style="101"/>
    <col min="12551" max="12552" width="9.28515625" style="101" customWidth="1"/>
    <col min="12553" max="12800" width="11.42578125" style="101"/>
    <col min="12801" max="12802" width="9.28515625" style="101" customWidth="1"/>
    <col min="12803" max="12803" width="10.7109375" style="101" customWidth="1"/>
    <col min="12804" max="12804" width="12.140625" style="101" customWidth="1"/>
    <col min="12805" max="12806" width="11.42578125" style="101"/>
    <col min="12807" max="12808" width="9.28515625" style="101" customWidth="1"/>
    <col min="12809" max="13056" width="11.42578125" style="101"/>
    <col min="13057" max="13058" width="9.28515625" style="101" customWidth="1"/>
    <col min="13059" max="13059" width="10.7109375" style="101" customWidth="1"/>
    <col min="13060" max="13060" width="12.140625" style="101" customWidth="1"/>
    <col min="13061" max="13062" width="11.42578125" style="101"/>
    <col min="13063" max="13064" width="9.28515625" style="101" customWidth="1"/>
    <col min="13065" max="13312" width="11.42578125" style="101"/>
    <col min="13313" max="13314" width="9.28515625" style="101" customWidth="1"/>
    <col min="13315" max="13315" width="10.7109375" style="101" customWidth="1"/>
    <col min="13316" max="13316" width="12.140625" style="101" customWidth="1"/>
    <col min="13317" max="13318" width="11.42578125" style="101"/>
    <col min="13319" max="13320" width="9.28515625" style="101" customWidth="1"/>
    <col min="13321" max="13568" width="11.42578125" style="101"/>
    <col min="13569" max="13570" width="9.28515625" style="101" customWidth="1"/>
    <col min="13571" max="13571" width="10.7109375" style="101" customWidth="1"/>
    <col min="13572" max="13572" width="12.140625" style="101" customWidth="1"/>
    <col min="13573" max="13574" width="11.42578125" style="101"/>
    <col min="13575" max="13576" width="9.28515625" style="101" customWidth="1"/>
    <col min="13577" max="13824" width="11.42578125" style="101"/>
    <col min="13825" max="13826" width="9.28515625" style="101" customWidth="1"/>
    <col min="13827" max="13827" width="10.7109375" style="101" customWidth="1"/>
    <col min="13828" max="13828" width="12.140625" style="101" customWidth="1"/>
    <col min="13829" max="13830" width="11.42578125" style="101"/>
    <col min="13831" max="13832" width="9.28515625" style="101" customWidth="1"/>
    <col min="13833" max="14080" width="11.42578125" style="101"/>
    <col min="14081" max="14082" width="9.28515625" style="101" customWidth="1"/>
    <col min="14083" max="14083" width="10.7109375" style="101" customWidth="1"/>
    <col min="14084" max="14084" width="12.140625" style="101" customWidth="1"/>
    <col min="14085" max="14086" width="11.42578125" style="101"/>
    <col min="14087" max="14088" width="9.28515625" style="101" customWidth="1"/>
    <col min="14089" max="14336" width="11.42578125" style="101"/>
    <col min="14337" max="14338" width="9.28515625" style="101" customWidth="1"/>
    <col min="14339" max="14339" width="10.7109375" style="101" customWidth="1"/>
    <col min="14340" max="14340" width="12.140625" style="101" customWidth="1"/>
    <col min="14341" max="14342" width="11.42578125" style="101"/>
    <col min="14343" max="14344" width="9.28515625" style="101" customWidth="1"/>
    <col min="14345" max="14592" width="11.42578125" style="101"/>
    <col min="14593" max="14594" width="9.28515625" style="101" customWidth="1"/>
    <col min="14595" max="14595" width="10.7109375" style="101" customWidth="1"/>
    <col min="14596" max="14596" width="12.140625" style="101" customWidth="1"/>
    <col min="14597" max="14598" width="11.42578125" style="101"/>
    <col min="14599" max="14600" width="9.28515625" style="101" customWidth="1"/>
    <col min="14601" max="14848" width="11.42578125" style="101"/>
    <col min="14849" max="14850" width="9.28515625" style="101" customWidth="1"/>
    <col min="14851" max="14851" width="10.7109375" style="101" customWidth="1"/>
    <col min="14852" max="14852" width="12.140625" style="101" customWidth="1"/>
    <col min="14853" max="14854" width="11.42578125" style="101"/>
    <col min="14855" max="14856" width="9.28515625" style="101" customWidth="1"/>
    <col min="14857" max="15104" width="11.42578125" style="101"/>
    <col min="15105" max="15106" width="9.28515625" style="101" customWidth="1"/>
    <col min="15107" max="15107" width="10.7109375" style="101" customWidth="1"/>
    <col min="15108" max="15108" width="12.140625" style="101" customWidth="1"/>
    <col min="15109" max="15110" width="11.42578125" style="101"/>
    <col min="15111" max="15112" width="9.28515625" style="101" customWidth="1"/>
    <col min="15113" max="15360" width="11.42578125" style="101"/>
    <col min="15361" max="15362" width="9.28515625" style="101" customWidth="1"/>
    <col min="15363" max="15363" width="10.7109375" style="101" customWidth="1"/>
    <col min="15364" max="15364" width="12.140625" style="101" customWidth="1"/>
    <col min="15365" max="15366" width="11.42578125" style="101"/>
    <col min="15367" max="15368" width="9.28515625" style="101" customWidth="1"/>
    <col min="15369" max="15616" width="11.42578125" style="101"/>
    <col min="15617" max="15618" width="9.28515625" style="101" customWidth="1"/>
    <col min="15619" max="15619" width="10.7109375" style="101" customWidth="1"/>
    <col min="15620" max="15620" width="12.140625" style="101" customWidth="1"/>
    <col min="15621" max="15622" width="11.42578125" style="101"/>
    <col min="15623" max="15624" width="9.28515625" style="101" customWidth="1"/>
    <col min="15625" max="15872" width="11.42578125" style="101"/>
    <col min="15873" max="15874" width="9.28515625" style="101" customWidth="1"/>
    <col min="15875" max="15875" width="10.7109375" style="101" customWidth="1"/>
    <col min="15876" max="15876" width="12.140625" style="101" customWidth="1"/>
    <col min="15877" max="15878" width="11.42578125" style="101"/>
    <col min="15879" max="15880" width="9.28515625" style="101" customWidth="1"/>
    <col min="15881" max="16128" width="11.42578125" style="101"/>
    <col min="16129" max="16130" width="9.28515625" style="101" customWidth="1"/>
    <col min="16131" max="16131" width="10.7109375" style="101" customWidth="1"/>
    <col min="16132" max="16132" width="12.140625" style="101" customWidth="1"/>
    <col min="16133" max="16134" width="11.42578125" style="101"/>
    <col min="16135" max="16136" width="9.28515625" style="101" customWidth="1"/>
    <col min="16137" max="16384" width="11.42578125" style="101"/>
  </cols>
  <sheetData>
    <row r="1" spans="1:8" ht="18" x14ac:dyDescent="0.2">
      <c r="A1" s="494"/>
      <c r="B1" s="495"/>
      <c r="C1" s="549" t="s">
        <v>209</v>
      </c>
      <c r="D1" s="550"/>
      <c r="E1" s="550"/>
      <c r="F1" s="551"/>
      <c r="G1" s="494"/>
      <c r="H1" s="495"/>
    </row>
    <row r="2" spans="1:8" x14ac:dyDescent="0.2">
      <c r="A2" s="496"/>
      <c r="B2" s="497"/>
      <c r="C2" s="552" t="s">
        <v>98</v>
      </c>
      <c r="D2" s="553"/>
      <c r="E2" s="553"/>
      <c r="F2" s="554"/>
      <c r="G2" s="496"/>
      <c r="H2" s="497"/>
    </row>
    <row r="3" spans="1:8" x14ac:dyDescent="0.2">
      <c r="A3" s="496"/>
      <c r="B3" s="497"/>
      <c r="C3" s="129"/>
      <c r="D3" s="130"/>
      <c r="E3" s="130"/>
      <c r="F3" s="131"/>
      <c r="G3" s="496"/>
      <c r="H3" s="497"/>
    </row>
    <row r="4" spans="1:8" x14ac:dyDescent="0.2">
      <c r="A4" s="496"/>
      <c r="B4" s="497"/>
      <c r="C4" s="552" t="s">
        <v>210</v>
      </c>
      <c r="D4" s="553"/>
      <c r="E4" s="553"/>
      <c r="F4" s="554"/>
      <c r="G4" s="496"/>
      <c r="H4" s="497"/>
    </row>
    <row r="5" spans="1:8" x14ac:dyDescent="0.2">
      <c r="A5" s="496"/>
      <c r="B5" s="497"/>
      <c r="C5" s="552" t="s">
        <v>211</v>
      </c>
      <c r="D5" s="553"/>
      <c r="E5" s="553"/>
      <c r="F5" s="554"/>
      <c r="G5" s="496"/>
      <c r="H5" s="497"/>
    </row>
    <row r="6" spans="1:8" ht="13.5" thickBot="1" x14ac:dyDescent="0.25">
      <c r="A6" s="498"/>
      <c r="B6" s="499"/>
      <c r="C6" s="132"/>
      <c r="D6" s="133"/>
      <c r="E6" s="133"/>
      <c r="F6" s="134"/>
      <c r="G6" s="498"/>
      <c r="H6" s="499"/>
    </row>
    <row r="8" spans="1:8" ht="13.5" thickBot="1" x14ac:dyDescent="0.25">
      <c r="A8" s="543" t="s">
        <v>212</v>
      </c>
      <c r="B8" s="543"/>
      <c r="C8" s="543"/>
      <c r="D8" s="543"/>
      <c r="E8" s="543"/>
      <c r="F8" s="543"/>
      <c r="G8" s="543"/>
      <c r="H8" s="543"/>
    </row>
    <row r="9" spans="1:8" ht="13.5" thickBot="1" x14ac:dyDescent="0.25">
      <c r="A9" s="135"/>
      <c r="B9" s="135"/>
      <c r="C9" s="135"/>
      <c r="D9" s="135"/>
      <c r="E9" s="135"/>
      <c r="F9" s="135"/>
      <c r="G9" s="394" t="s">
        <v>213</v>
      </c>
      <c r="H9" s="395"/>
    </row>
    <row r="10" spans="1:8" ht="13.5" thickBot="1" x14ac:dyDescent="0.25"/>
    <row r="11" spans="1:8" ht="60" customHeight="1" x14ac:dyDescent="0.2">
      <c r="A11" s="396" t="s">
        <v>518</v>
      </c>
      <c r="B11" s="397"/>
      <c r="C11" s="397"/>
      <c r="D11" s="397"/>
      <c r="E11" s="397"/>
      <c r="F11" s="397"/>
      <c r="G11" s="397"/>
      <c r="H11" s="398"/>
    </row>
    <row r="12" spans="1:8" x14ac:dyDescent="0.2">
      <c r="A12" s="399"/>
      <c r="B12" s="400"/>
      <c r="C12" s="400"/>
      <c r="D12" s="400"/>
      <c r="E12" s="400"/>
      <c r="F12" s="400"/>
      <c r="G12" s="400"/>
      <c r="H12" s="401"/>
    </row>
    <row r="13" spans="1:8" ht="13.5" thickBot="1" x14ac:dyDescent="0.25">
      <c r="A13" s="402"/>
      <c r="B13" s="403"/>
      <c r="C13" s="403"/>
      <c r="D13" s="403"/>
      <c r="E13" s="403"/>
      <c r="F13" s="403"/>
      <c r="G13" s="403"/>
      <c r="H13" s="404"/>
    </row>
    <row r="14" spans="1:8" ht="13.5" thickBot="1" x14ac:dyDescent="0.25">
      <c r="A14" s="103"/>
    </row>
    <row r="15" spans="1:8" ht="12.75" customHeight="1" x14ac:dyDescent="0.2">
      <c r="A15" s="491" t="s">
        <v>272</v>
      </c>
      <c r="B15" s="528" t="s">
        <v>273</v>
      </c>
      <c r="C15" s="529"/>
      <c r="D15" s="529"/>
      <c r="E15" s="529"/>
      <c r="F15" s="530"/>
      <c r="G15" s="491" t="s">
        <v>216</v>
      </c>
      <c r="H15" s="547" t="s">
        <v>149</v>
      </c>
    </row>
    <row r="16" spans="1:8" ht="28.5" customHeight="1" thickBot="1" x14ac:dyDescent="0.25">
      <c r="A16" s="492"/>
      <c r="B16" s="544"/>
      <c r="C16" s="545"/>
      <c r="D16" s="545"/>
      <c r="E16" s="545"/>
      <c r="F16" s="546"/>
      <c r="G16" s="492"/>
      <c r="H16" s="548"/>
    </row>
    <row r="17" spans="1:8" x14ac:dyDescent="0.2">
      <c r="A17" s="136" t="s">
        <v>217</v>
      </c>
      <c r="B17" s="137"/>
      <c r="C17" s="137"/>
      <c r="D17" s="137"/>
      <c r="E17" s="137"/>
      <c r="F17" s="137"/>
      <c r="G17" s="137"/>
      <c r="H17" s="138"/>
    </row>
    <row r="18" spans="1:8" x14ac:dyDescent="0.2">
      <c r="A18" s="539" t="s">
        <v>1</v>
      </c>
      <c r="B18" s="539"/>
      <c r="C18" s="539" t="s">
        <v>218</v>
      </c>
      <c r="D18" s="539"/>
      <c r="E18" s="539" t="s">
        <v>219</v>
      </c>
      <c r="F18" s="539"/>
      <c r="G18" s="539" t="s">
        <v>220</v>
      </c>
      <c r="H18" s="539"/>
    </row>
    <row r="19" spans="1:8" x14ac:dyDescent="0.2">
      <c r="A19" s="540" t="s">
        <v>274</v>
      </c>
      <c r="B19" s="541"/>
      <c r="C19" s="388">
        <v>90000</v>
      </c>
      <c r="D19" s="388"/>
      <c r="E19" s="389">
        <v>50</v>
      </c>
      <c r="F19" s="389"/>
      <c r="G19" s="388">
        <f>+C19/E19</f>
        <v>1800</v>
      </c>
      <c r="H19" s="388"/>
    </row>
    <row r="20" spans="1:8" x14ac:dyDescent="0.2">
      <c r="A20" s="540" t="s">
        <v>221</v>
      </c>
      <c r="B20" s="541"/>
      <c r="C20" s="388">
        <v>45000</v>
      </c>
      <c r="D20" s="388"/>
      <c r="E20" s="389">
        <v>50</v>
      </c>
      <c r="F20" s="389"/>
      <c r="G20" s="388">
        <f>+C20/E20</f>
        <v>900</v>
      </c>
      <c r="H20" s="388"/>
    </row>
    <row r="21" spans="1:8" ht="25.5" customHeight="1" x14ac:dyDescent="0.2">
      <c r="A21" s="427" t="s">
        <v>275</v>
      </c>
      <c r="B21" s="428"/>
      <c r="C21" s="388">
        <v>550000</v>
      </c>
      <c r="D21" s="388"/>
      <c r="E21" s="389">
        <v>50</v>
      </c>
      <c r="F21" s="389"/>
      <c r="G21" s="388">
        <f>+C21/E21</f>
        <v>11000</v>
      </c>
      <c r="H21" s="388"/>
    </row>
    <row r="22" spans="1:8" ht="25.5" customHeight="1" x14ac:dyDescent="0.2">
      <c r="A22" s="386" t="s">
        <v>276</v>
      </c>
      <c r="B22" s="387"/>
      <c r="C22" s="388">
        <v>85000</v>
      </c>
      <c r="D22" s="388"/>
      <c r="E22" s="389">
        <v>100</v>
      </c>
      <c r="F22" s="389"/>
      <c r="G22" s="388">
        <f>+C22/E22</f>
        <v>850</v>
      </c>
      <c r="H22" s="388"/>
    </row>
    <row r="23" spans="1:8" x14ac:dyDescent="0.2">
      <c r="A23" s="540" t="s">
        <v>224</v>
      </c>
      <c r="B23" s="541"/>
      <c r="C23" s="388"/>
      <c r="D23" s="388"/>
      <c r="E23" s="542">
        <v>0.1</v>
      </c>
      <c r="F23" s="525"/>
      <c r="G23" s="388">
        <f>+E23*G42</f>
        <v>1517</v>
      </c>
      <c r="H23" s="388"/>
    </row>
    <row r="24" spans="1:8" x14ac:dyDescent="0.2">
      <c r="A24" s="137"/>
      <c r="B24" s="137"/>
      <c r="C24" s="535" t="s">
        <v>225</v>
      </c>
      <c r="D24" s="535"/>
      <c r="E24" s="535"/>
      <c r="F24" s="535"/>
      <c r="G24" s="388">
        <f>SUM(G19:H23)</f>
        <v>16067</v>
      </c>
      <c r="H24" s="388"/>
    </row>
    <row r="25" spans="1:8" x14ac:dyDescent="0.2">
      <c r="C25" s="110"/>
      <c r="D25" s="110"/>
      <c r="E25" s="110"/>
      <c r="F25" s="110"/>
      <c r="G25" s="111"/>
      <c r="H25" s="111"/>
    </row>
    <row r="26" spans="1:8" x14ac:dyDescent="0.2">
      <c r="A26" s="136" t="s">
        <v>226</v>
      </c>
      <c r="B26" s="137"/>
      <c r="C26" s="137"/>
      <c r="D26" s="137"/>
      <c r="E26" s="137"/>
      <c r="F26" s="137"/>
      <c r="G26" s="137"/>
      <c r="H26" s="137"/>
    </row>
    <row r="27" spans="1:8" x14ac:dyDescent="0.2">
      <c r="A27" s="539" t="s">
        <v>1</v>
      </c>
      <c r="B27" s="539"/>
      <c r="C27" s="139" t="s">
        <v>227</v>
      </c>
      <c r="D27" s="139" t="s">
        <v>228</v>
      </c>
      <c r="E27" s="539" t="s">
        <v>3</v>
      </c>
      <c r="F27" s="539"/>
      <c r="G27" s="539" t="s">
        <v>220</v>
      </c>
      <c r="H27" s="539"/>
    </row>
    <row r="28" spans="1:8" x14ac:dyDescent="0.2">
      <c r="A28" s="540" t="s">
        <v>229</v>
      </c>
      <c r="B28" s="541"/>
      <c r="C28" s="140" t="s">
        <v>230</v>
      </c>
      <c r="D28" s="140">
        <v>80000</v>
      </c>
      <c r="E28" s="389">
        <v>0.2</v>
      </c>
      <c r="F28" s="389"/>
      <c r="G28" s="390">
        <f>+D28*E28</f>
        <v>16000</v>
      </c>
      <c r="H28" s="391"/>
    </row>
    <row r="29" spans="1:8" x14ac:dyDescent="0.2">
      <c r="A29" s="540" t="s">
        <v>231</v>
      </c>
      <c r="B29" s="541"/>
      <c r="C29" s="140" t="s">
        <v>230</v>
      </c>
      <c r="D29" s="140">
        <v>15000</v>
      </c>
      <c r="E29" s="389">
        <v>0.2</v>
      </c>
      <c r="F29" s="389"/>
      <c r="G29" s="390">
        <f>+D29*E29</f>
        <v>3000</v>
      </c>
      <c r="H29" s="391"/>
    </row>
    <row r="30" spans="1:8" ht="34.5" customHeight="1" x14ac:dyDescent="0.2">
      <c r="A30" s="427" t="s">
        <v>277</v>
      </c>
      <c r="B30" s="428"/>
      <c r="C30" s="140" t="s">
        <v>149</v>
      </c>
      <c r="D30" s="141">
        <v>90000</v>
      </c>
      <c r="E30" s="389">
        <v>1.2</v>
      </c>
      <c r="F30" s="389"/>
      <c r="G30" s="390">
        <f>+D30*E30</f>
        <v>108000</v>
      </c>
      <c r="H30" s="391"/>
    </row>
    <row r="31" spans="1:8" x14ac:dyDescent="0.2">
      <c r="A31" s="142"/>
      <c r="B31" s="142"/>
      <c r="C31" s="535" t="s">
        <v>225</v>
      </c>
      <c r="D31" s="535"/>
      <c r="E31" s="535"/>
      <c r="F31" s="535"/>
      <c r="G31" s="388">
        <f>SUM(G28:G30)</f>
        <v>127000</v>
      </c>
      <c r="H31" s="388"/>
    </row>
    <row r="33" spans="1:8" x14ac:dyDescent="0.2">
      <c r="A33" s="136" t="s">
        <v>232</v>
      </c>
      <c r="B33" s="137"/>
      <c r="C33" s="137"/>
      <c r="D33" s="137"/>
      <c r="E33" s="137"/>
      <c r="F33" s="137"/>
      <c r="G33" s="137"/>
      <c r="H33" s="137"/>
    </row>
    <row r="34" spans="1:8" x14ac:dyDescent="0.2">
      <c r="A34" s="539" t="s">
        <v>233</v>
      </c>
      <c r="B34" s="539"/>
      <c r="C34" s="143" t="s">
        <v>234</v>
      </c>
      <c r="D34" s="139" t="s">
        <v>235</v>
      </c>
      <c r="E34" s="539" t="s">
        <v>236</v>
      </c>
      <c r="F34" s="539"/>
      <c r="G34" s="539" t="s">
        <v>220</v>
      </c>
      <c r="H34" s="539"/>
    </row>
    <row r="35" spans="1:8" ht="35.25" customHeight="1" x14ac:dyDescent="0.2">
      <c r="A35" s="427" t="s">
        <v>278</v>
      </c>
      <c r="B35" s="428"/>
      <c r="C35" s="124">
        <v>1.2</v>
      </c>
      <c r="D35" s="124">
        <v>70</v>
      </c>
      <c r="E35" s="390">
        <v>1000</v>
      </c>
      <c r="F35" s="391"/>
      <c r="G35" s="390">
        <f>+D35*E35*C35</f>
        <v>84000</v>
      </c>
      <c r="H35" s="391"/>
    </row>
    <row r="36" spans="1:8" x14ac:dyDescent="0.2">
      <c r="A36" s="142"/>
      <c r="B36" s="142"/>
      <c r="C36" s="535" t="s">
        <v>225</v>
      </c>
      <c r="D36" s="535"/>
      <c r="E36" s="535"/>
      <c r="F36" s="535"/>
      <c r="G36" s="388">
        <f>+G35</f>
        <v>84000</v>
      </c>
      <c r="H36" s="388"/>
    </row>
    <row r="38" spans="1:8" x14ac:dyDescent="0.2">
      <c r="A38" s="136" t="s">
        <v>237</v>
      </c>
      <c r="B38" s="137"/>
      <c r="C38" s="137"/>
      <c r="D38" s="137"/>
      <c r="E38" s="137"/>
      <c r="F38" s="137"/>
      <c r="G38" s="137"/>
      <c r="H38" s="137"/>
    </row>
    <row r="39" spans="1:8" x14ac:dyDescent="0.2">
      <c r="A39" s="539" t="s">
        <v>238</v>
      </c>
      <c r="B39" s="539"/>
      <c r="C39" s="143" t="s">
        <v>239</v>
      </c>
      <c r="D39" s="144" t="s">
        <v>240</v>
      </c>
      <c r="E39" s="145" t="s">
        <v>241</v>
      </c>
      <c r="F39" s="146" t="s">
        <v>219</v>
      </c>
      <c r="G39" s="539" t="s">
        <v>220</v>
      </c>
      <c r="H39" s="539"/>
    </row>
    <row r="40" spans="1:8" x14ac:dyDescent="0.2">
      <c r="A40" s="540" t="s">
        <v>242</v>
      </c>
      <c r="B40" s="541"/>
      <c r="C40" s="140">
        <v>60000</v>
      </c>
      <c r="D40" s="147">
        <v>0.85</v>
      </c>
      <c r="E40" s="140">
        <f>+((C40*D40)+C40)</f>
        <v>111000</v>
      </c>
      <c r="F40" s="124">
        <v>50</v>
      </c>
      <c r="G40" s="388">
        <f>+E40/F40</f>
        <v>2220</v>
      </c>
      <c r="H40" s="388"/>
    </row>
    <row r="41" spans="1:8" x14ac:dyDescent="0.2">
      <c r="A41" s="534" t="s">
        <v>243</v>
      </c>
      <c r="B41" s="534"/>
      <c r="C41" s="140">
        <v>350000</v>
      </c>
      <c r="D41" s="147">
        <v>0.85</v>
      </c>
      <c r="E41" s="140">
        <f>+((C41*D41)+C41)</f>
        <v>647500</v>
      </c>
      <c r="F41" s="124">
        <v>50</v>
      </c>
      <c r="G41" s="388">
        <f>+E41/F41</f>
        <v>12950</v>
      </c>
      <c r="H41" s="388"/>
    </row>
    <row r="42" spans="1:8" x14ac:dyDescent="0.2">
      <c r="A42" s="142"/>
      <c r="B42" s="142"/>
      <c r="C42" s="535" t="s">
        <v>225</v>
      </c>
      <c r="D42" s="535"/>
      <c r="E42" s="535"/>
      <c r="F42" s="535"/>
      <c r="G42" s="388">
        <f>SUM(G40:H41)</f>
        <v>15170</v>
      </c>
      <c r="H42" s="388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536" t="s">
        <v>244</v>
      </c>
      <c r="B44" s="536"/>
      <c r="C44" s="536"/>
      <c r="D44" s="536"/>
      <c r="E44" s="536"/>
      <c r="F44" s="536"/>
      <c r="G44" s="537">
        <f>+ROUND(G24+G31+G36+G42,0)</f>
        <v>242237</v>
      </c>
      <c r="H44" s="538"/>
    </row>
    <row r="45" spans="1:8" x14ac:dyDescent="0.2">
      <c r="G45" s="189">
        <f>+G44</f>
        <v>242237</v>
      </c>
    </row>
  </sheetData>
  <mergeCells count="71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5:B35"/>
    <mergeCell ref="E35:F35"/>
    <mergeCell ref="G35:H35"/>
    <mergeCell ref="A29:B29"/>
    <mergeCell ref="E29:F29"/>
    <mergeCell ref="G29:H29"/>
    <mergeCell ref="A30:B30"/>
    <mergeCell ref="E30:F30"/>
    <mergeCell ref="G30:H30"/>
    <mergeCell ref="C31:F31"/>
    <mergeCell ref="G31:H31"/>
    <mergeCell ref="A34:B34"/>
    <mergeCell ref="E34:F34"/>
    <mergeCell ref="G34:H34"/>
    <mergeCell ref="C36:F36"/>
    <mergeCell ref="G36:H36"/>
    <mergeCell ref="A39:B39"/>
    <mergeCell ref="G39:H39"/>
    <mergeCell ref="A40:B40"/>
    <mergeCell ref="G40:H40"/>
    <mergeCell ref="A41:B41"/>
    <mergeCell ref="G41:H41"/>
    <mergeCell ref="C42:F42"/>
    <mergeCell ref="G42:H42"/>
    <mergeCell ref="A44:F44"/>
    <mergeCell ref="G44:H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2</vt:i4>
      </vt:variant>
    </vt:vector>
  </HeadingPairs>
  <TitlesOfParts>
    <vt:vector size="39" baseType="lpstr">
      <vt:lpstr>Mant. BTA-BEL</vt:lpstr>
      <vt:lpstr>BTA-BEL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10</vt:lpstr>
      <vt:lpstr>11</vt:lpstr>
      <vt:lpstr>12-34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1.31</vt:lpstr>
      <vt:lpstr>1.34</vt:lpstr>
      <vt:lpstr>1.35</vt:lpstr>
      <vt:lpstr>1.36</vt:lpstr>
      <vt:lpstr>1.37</vt:lpstr>
      <vt:lpstr>1.38</vt:lpstr>
      <vt:lpstr>'BTA-BEL'!Área_de_impresión</vt:lpstr>
      <vt:lpstr>'Mant. BTA-BEL'!Área_de_impresión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Estupiñan Jaramillo</dc:creator>
  <cp:lastModifiedBy>Roger Rodriguez Moreno</cp:lastModifiedBy>
  <cp:lastPrinted>2017-02-03T19:50:04Z</cp:lastPrinted>
  <dcterms:created xsi:type="dcterms:W3CDTF">2016-01-13T14:35:34Z</dcterms:created>
  <dcterms:modified xsi:type="dcterms:W3CDTF">2017-03-06T14:09:20Z</dcterms:modified>
</cp:coreProperties>
</file>